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always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oja\Documents\code\std-curve\"/>
    </mc:Choice>
  </mc:AlternateContent>
  <bookViews>
    <workbookView xWindow="0" yWindow="0" windowWidth="16344" windowHeight="5748" firstSheet="7" activeTab="11"/>
  </bookViews>
  <sheets>
    <sheet name="Read_Me" sheetId="12" r:id="rId1"/>
    <sheet name="Lab_Code" sheetId="1" r:id="rId2"/>
    <sheet name="Method_Summary" sheetId="24" r:id="rId3"/>
    <sheet name="Std_Curve_Data" sheetId="3" r:id="rId4"/>
    <sheet name="Std_Curve_Summary" sheetId="4" r:id="rId5"/>
    <sheet name="qPCR_QC_Data" sheetId="8" r:id="rId6"/>
    <sheet name="dPCR_QC_Data" sheetId="26" r:id="rId7"/>
    <sheet name="ESV_CF_Calc" sheetId="25" r:id="rId8"/>
    <sheet name="qPCR_Sample_Data" sheetId="6" r:id="rId9"/>
    <sheet name="dPCR_Sample_Data" sheetId="27" r:id="rId10"/>
    <sheet name="Qualifier_Flowchart" sheetId="9" r:id="rId11"/>
    <sheet name="Dropdown_Data" sheetId="10" r:id="rId12"/>
    <sheet name="Version_Notes_Internal" sheetId="29" r:id="rId13"/>
    <sheet name="validation" sheetId="11" state="veryHidden" r:id="rId14"/>
  </sheets>
  <definedNames>
    <definedName name="_xlnm._FilterDatabase" localSheetId="5" hidden="1">qPCR_QC_Data!$B$5:$V$33</definedName>
    <definedName name="influenza_list">Dropdown_Data!$I$2:$I$3</definedName>
    <definedName name="influenza_rsv" localSheetId="6">Dropdown_Data!$I$2:$I$5</definedName>
    <definedName name="influenza_rsv" localSheetId="9">Dropdown_Data!$I$2:$I$5</definedName>
    <definedName name="influenza_rsv" localSheetId="7">Dropdown_Data!$I$2:$I$5</definedName>
    <definedName name="influenza_rsv">Dropdown_Data!$I$2:$I$5</definedName>
    <definedName name="long_list" localSheetId="6">Dropdown_Data!$H$2:$H$40</definedName>
    <definedName name="long_list" localSheetId="9">Dropdown_Data!$H$2:$H$40</definedName>
    <definedName name="long_list" localSheetId="7">Dropdown_Data!$H$2:$H$40</definedName>
    <definedName name="long_list">Dropdown_Data!$H$2:$H$40</definedName>
    <definedName name="_xlnm.Print_Area" localSheetId="1">Lab_Code!$A$1:$H$61</definedName>
    <definedName name="_xlnm.Print_Area" localSheetId="0">Read_Me!$A$1:$O$35</definedName>
    <definedName name="rsv_list">Dropdown_Data!$I$4:$I$5</definedName>
    <definedName name="Z_95CD56FE_1162_4AE7_88D2_9EB3DF57F0D2_.wvu.Cols" localSheetId="3" hidden="1">Std_Curve_Data!#REF!</definedName>
    <definedName name="Z_95CD56FE_1162_4AE7_88D2_9EB3DF57F0D2_.wvu.Rows" localSheetId="4" hidden="1">Std_Curve_Summary!#REF!</definedName>
  </definedNames>
  <calcPr calcId="162913"/>
  <customWorkbookViews>
    <customWorkbookView name="Chris Adam - Personal View" guid="{95CD56FE-1162-4AE7-88D2-9EB3DF57F0D2}" mergeInterval="0" personalView="1" maximized="1" xWindow="-8" yWindow="-8" windowWidth="1936" windowHeight="1053" activeSheetId="7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5" l="1"/>
  <c r="AL21" i="27" l="1"/>
  <c r="I8" i="25"/>
  <c r="F18" i="24" l="1"/>
  <c r="G8" i="24" l="1"/>
  <c r="G18" i="24"/>
  <c r="G31" i="24"/>
  <c r="B9" i="27" l="1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8" i="27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8" i="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5" i="26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5" i="8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" i="3"/>
  <c r="E1" i="1"/>
  <c r="AZ6" i="26" l="1"/>
  <c r="AZ7" i="26"/>
  <c r="AZ8" i="26"/>
  <c r="AZ9" i="26"/>
  <c r="AZ10" i="26"/>
  <c r="AZ11" i="26"/>
  <c r="AZ12" i="26"/>
  <c r="AZ13" i="26"/>
  <c r="AZ14" i="26"/>
  <c r="AZ15" i="26"/>
  <c r="AZ16" i="26"/>
  <c r="AZ17" i="26"/>
  <c r="AZ18" i="26"/>
  <c r="AZ19" i="26"/>
  <c r="AZ20" i="26"/>
  <c r="AY6" i="26"/>
  <c r="AY7" i="26"/>
  <c r="AY8" i="26"/>
  <c r="AY9" i="26"/>
  <c r="AY10" i="26"/>
  <c r="AY11" i="26"/>
  <c r="AY12" i="26"/>
  <c r="AY13" i="26"/>
  <c r="AY14" i="26"/>
  <c r="AY15" i="26"/>
  <c r="AY16" i="26"/>
  <c r="AY17" i="26"/>
  <c r="AY18" i="26"/>
  <c r="AY19" i="26"/>
  <c r="AY20" i="26"/>
  <c r="AX6" i="26"/>
  <c r="AX7" i="26"/>
  <c r="AX8" i="26"/>
  <c r="AX9" i="26"/>
  <c r="AX10" i="26"/>
  <c r="AX11" i="26"/>
  <c r="AX12" i="26"/>
  <c r="AX13" i="26"/>
  <c r="AX14" i="26"/>
  <c r="AX15" i="26"/>
  <c r="AX16" i="26"/>
  <c r="AX17" i="26"/>
  <c r="AX18" i="26"/>
  <c r="AX19" i="26"/>
  <c r="AX20" i="26"/>
  <c r="AZ9" i="27"/>
  <c r="AZ10" i="27"/>
  <c r="AZ11" i="27"/>
  <c r="AZ12" i="27"/>
  <c r="AZ13" i="27"/>
  <c r="AZ14" i="27"/>
  <c r="AZ15" i="27"/>
  <c r="AZ16" i="27"/>
  <c r="AZ17" i="27"/>
  <c r="AZ18" i="27"/>
  <c r="AZ19" i="27"/>
  <c r="T34" i="8"/>
  <c r="U34" i="8"/>
  <c r="V34" i="8"/>
  <c r="T35" i="8"/>
  <c r="U35" i="8"/>
  <c r="V35" i="8"/>
  <c r="AO16" i="26" l="1"/>
  <c r="AO11" i="26"/>
  <c r="T6" i="8" l="1"/>
  <c r="U6" i="8"/>
  <c r="V6" i="8"/>
  <c r="T7" i="8"/>
  <c r="U7" i="8"/>
  <c r="V7" i="8"/>
  <c r="T8" i="8"/>
  <c r="U8" i="8"/>
  <c r="V8" i="8"/>
  <c r="T9" i="8"/>
  <c r="U9" i="8"/>
  <c r="V9" i="8"/>
  <c r="T10" i="8"/>
  <c r="U10" i="8"/>
  <c r="V10" i="8"/>
  <c r="T11" i="8"/>
  <c r="U11" i="8"/>
  <c r="V11" i="8"/>
  <c r="T12" i="8"/>
  <c r="U12" i="8"/>
  <c r="V12" i="8"/>
  <c r="T13" i="8"/>
  <c r="U13" i="8"/>
  <c r="V13" i="8"/>
  <c r="T14" i="8"/>
  <c r="U14" i="8"/>
  <c r="V14" i="8"/>
  <c r="T15" i="8"/>
  <c r="U15" i="8"/>
  <c r="V15" i="8"/>
  <c r="T16" i="8"/>
  <c r="U16" i="8"/>
  <c r="V16" i="8"/>
  <c r="T17" i="8"/>
  <c r="U17" i="8"/>
  <c r="V17" i="8"/>
  <c r="T18" i="8"/>
  <c r="U18" i="8"/>
  <c r="V18" i="8"/>
  <c r="T19" i="8"/>
  <c r="U19" i="8"/>
  <c r="V19" i="8"/>
  <c r="T20" i="8"/>
  <c r="U20" i="8"/>
  <c r="V20" i="8"/>
  <c r="T21" i="8"/>
  <c r="U21" i="8"/>
  <c r="V21" i="8"/>
  <c r="T22" i="8"/>
  <c r="U22" i="8"/>
  <c r="V22" i="8"/>
  <c r="T23" i="8"/>
  <c r="U23" i="8"/>
  <c r="V23" i="8"/>
  <c r="T24" i="8"/>
  <c r="U24" i="8"/>
  <c r="V24" i="8"/>
  <c r="T25" i="8"/>
  <c r="U25" i="8"/>
  <c r="V25" i="8"/>
  <c r="T26" i="8"/>
  <c r="U26" i="8"/>
  <c r="V26" i="8"/>
  <c r="T27" i="8"/>
  <c r="U27" i="8"/>
  <c r="V27" i="8"/>
  <c r="T28" i="8"/>
  <c r="U28" i="8"/>
  <c r="V28" i="8"/>
  <c r="T29" i="8"/>
  <c r="U29" i="8"/>
  <c r="V29" i="8"/>
  <c r="T30" i="8"/>
  <c r="U30" i="8"/>
  <c r="V30" i="8"/>
  <c r="T31" i="8"/>
  <c r="U31" i="8"/>
  <c r="V31" i="8"/>
  <c r="T32" i="8"/>
  <c r="U32" i="8"/>
  <c r="V32" i="8"/>
  <c r="T33" i="8"/>
  <c r="U33" i="8"/>
  <c r="V33" i="8"/>
  <c r="U5" i="8"/>
  <c r="V5" i="8"/>
  <c r="T5" i="8"/>
  <c r="H31" i="24" l="1"/>
  <c r="I31" i="24"/>
  <c r="J31" i="24"/>
  <c r="K31" i="24"/>
  <c r="L31" i="24"/>
  <c r="M31" i="24"/>
  <c r="N31" i="24"/>
  <c r="O31" i="24"/>
  <c r="F31" i="24"/>
  <c r="B2" i="27" l="1"/>
  <c r="B1" i="27"/>
  <c r="AL9" i="27"/>
  <c r="AM9" i="27"/>
  <c r="AN9" i="27"/>
  <c r="AL10" i="27"/>
  <c r="AM10" i="27"/>
  <c r="AN10" i="27"/>
  <c r="AL11" i="27"/>
  <c r="AM11" i="27"/>
  <c r="AN11" i="27"/>
  <c r="AL12" i="27"/>
  <c r="AM12" i="27"/>
  <c r="AN12" i="27"/>
  <c r="AL13" i="27"/>
  <c r="AM13" i="27"/>
  <c r="AN13" i="27"/>
  <c r="AL14" i="27"/>
  <c r="AM14" i="27"/>
  <c r="AN14" i="27"/>
  <c r="AL15" i="27"/>
  <c r="AM15" i="27"/>
  <c r="AN15" i="27"/>
  <c r="AL16" i="27"/>
  <c r="AM16" i="27"/>
  <c r="AN16" i="27"/>
  <c r="AL17" i="27"/>
  <c r="AM17" i="27"/>
  <c r="AN17" i="27"/>
  <c r="AL18" i="27"/>
  <c r="AM18" i="27"/>
  <c r="AN18" i="27"/>
  <c r="AL19" i="27"/>
  <c r="AM19" i="27"/>
  <c r="AN19" i="27"/>
  <c r="AL20" i="27"/>
  <c r="AM20" i="27"/>
  <c r="AN20" i="27"/>
  <c r="AM21" i="27"/>
  <c r="AN21" i="27"/>
  <c r="AL22" i="27"/>
  <c r="AM22" i="27"/>
  <c r="AN22" i="27"/>
  <c r="AL23" i="27"/>
  <c r="AM23" i="27"/>
  <c r="AN23" i="27"/>
  <c r="AM8" i="27"/>
  <c r="AN8" i="27"/>
  <c r="AL8" i="27"/>
  <c r="AL6" i="26" l="1"/>
  <c r="AM6" i="26"/>
  <c r="AN6" i="26"/>
  <c r="AL7" i="26"/>
  <c r="AM7" i="26"/>
  <c r="AN7" i="26"/>
  <c r="AL8" i="26"/>
  <c r="AM8" i="26"/>
  <c r="AN8" i="26"/>
  <c r="AL9" i="26"/>
  <c r="AM9" i="26"/>
  <c r="AN9" i="26"/>
  <c r="AL10" i="26"/>
  <c r="AM10" i="26"/>
  <c r="AN10" i="26"/>
  <c r="AL11" i="26"/>
  <c r="AM11" i="26"/>
  <c r="AN11" i="26"/>
  <c r="AL12" i="26"/>
  <c r="AM12" i="26"/>
  <c r="AN12" i="26"/>
  <c r="AL13" i="26"/>
  <c r="AM13" i="26"/>
  <c r="AN13" i="26"/>
  <c r="AL14" i="26"/>
  <c r="AM14" i="26"/>
  <c r="AN14" i="26"/>
  <c r="AL15" i="26"/>
  <c r="AM15" i="26"/>
  <c r="AN15" i="26"/>
  <c r="AL16" i="26"/>
  <c r="AM16" i="26"/>
  <c r="AN16" i="26"/>
  <c r="AL17" i="26"/>
  <c r="AM17" i="26"/>
  <c r="AN17" i="26"/>
  <c r="AL18" i="26"/>
  <c r="AM18" i="26"/>
  <c r="AN18" i="26"/>
  <c r="AL19" i="26"/>
  <c r="AM19" i="26"/>
  <c r="AN19" i="26"/>
  <c r="AL20" i="26"/>
  <c r="AM20" i="26"/>
  <c r="AN20" i="26"/>
  <c r="AM5" i="26"/>
  <c r="AN5" i="26"/>
  <c r="AL5" i="26"/>
  <c r="AQ23" i="27"/>
  <c r="AT23" i="27" s="1"/>
  <c r="AW23" i="27" s="1"/>
  <c r="AZ23" i="27" s="1"/>
  <c r="AP23" i="27"/>
  <c r="AS23" i="27" s="1"/>
  <c r="AV23" i="27" s="1"/>
  <c r="AY23" i="27" s="1"/>
  <c r="AO23" i="27"/>
  <c r="AR23" i="27" s="1"/>
  <c r="AU23" i="27" s="1"/>
  <c r="AX23" i="27" s="1"/>
  <c r="AQ22" i="27"/>
  <c r="AT22" i="27" s="1"/>
  <c r="AW22" i="27" s="1"/>
  <c r="AZ22" i="27" s="1"/>
  <c r="AP22" i="27"/>
  <c r="AS22" i="27" s="1"/>
  <c r="AV22" i="27" s="1"/>
  <c r="AY22" i="27" s="1"/>
  <c r="AO22" i="27"/>
  <c r="AR22" i="27" s="1"/>
  <c r="AU22" i="27" s="1"/>
  <c r="AX22" i="27" s="1"/>
  <c r="AQ21" i="27"/>
  <c r="AT21" i="27" s="1"/>
  <c r="AW21" i="27" s="1"/>
  <c r="AZ21" i="27" s="1"/>
  <c r="AP21" i="27"/>
  <c r="AS21" i="27" s="1"/>
  <c r="AV21" i="27" s="1"/>
  <c r="AY21" i="27" s="1"/>
  <c r="AO21" i="27"/>
  <c r="AR21" i="27" s="1"/>
  <c r="AU21" i="27" s="1"/>
  <c r="AX21" i="27" s="1"/>
  <c r="AQ20" i="27"/>
  <c r="AT20" i="27" s="1"/>
  <c r="AW20" i="27" s="1"/>
  <c r="AZ20" i="27" s="1"/>
  <c r="AP20" i="27"/>
  <c r="AS20" i="27" s="1"/>
  <c r="AV20" i="27" s="1"/>
  <c r="AY20" i="27" s="1"/>
  <c r="AO20" i="27"/>
  <c r="AR20" i="27" s="1"/>
  <c r="AU20" i="27" s="1"/>
  <c r="AX20" i="27" s="1"/>
  <c r="AW19" i="27"/>
  <c r="AT19" i="27"/>
  <c r="AQ19" i="27"/>
  <c r="AP19" i="27"/>
  <c r="AS19" i="27" s="1"/>
  <c r="AV19" i="27" s="1"/>
  <c r="AY19" i="27" s="1"/>
  <c r="AO19" i="27"/>
  <c r="AR19" i="27" s="1"/>
  <c r="AU19" i="27" s="1"/>
  <c r="AX19" i="27" s="1"/>
  <c r="AW18" i="27"/>
  <c r="AT18" i="27"/>
  <c r="AQ18" i="27"/>
  <c r="AP18" i="27"/>
  <c r="AS18" i="27" s="1"/>
  <c r="AV18" i="27" s="1"/>
  <c r="AY18" i="27" s="1"/>
  <c r="AO18" i="27"/>
  <c r="AR18" i="27" s="1"/>
  <c r="AU18" i="27" s="1"/>
  <c r="AX18" i="27" s="1"/>
  <c r="AW17" i="27"/>
  <c r="AT17" i="27"/>
  <c r="AQ17" i="27"/>
  <c r="AP17" i="27"/>
  <c r="AS17" i="27" s="1"/>
  <c r="AV17" i="27" s="1"/>
  <c r="AY17" i="27" s="1"/>
  <c r="AO17" i="27"/>
  <c r="AR17" i="27" s="1"/>
  <c r="AU17" i="27" s="1"/>
  <c r="AX17" i="27" s="1"/>
  <c r="AW16" i="27"/>
  <c r="AT16" i="27"/>
  <c r="AQ16" i="27"/>
  <c r="AP16" i="27"/>
  <c r="AS16" i="27" s="1"/>
  <c r="AV16" i="27" s="1"/>
  <c r="AY16" i="27" s="1"/>
  <c r="AO16" i="27"/>
  <c r="AR16" i="27" s="1"/>
  <c r="AU16" i="27" s="1"/>
  <c r="AX16" i="27" s="1"/>
  <c r="AW15" i="27"/>
  <c r="AT15" i="27"/>
  <c r="AQ15" i="27"/>
  <c r="AP15" i="27"/>
  <c r="AS15" i="27" s="1"/>
  <c r="AV15" i="27" s="1"/>
  <c r="AY15" i="27" s="1"/>
  <c r="AO15" i="27"/>
  <c r="AR15" i="27" s="1"/>
  <c r="AU15" i="27" s="1"/>
  <c r="AX15" i="27" s="1"/>
  <c r="AW14" i="27"/>
  <c r="AT14" i="27"/>
  <c r="AQ14" i="27"/>
  <c r="AP14" i="27"/>
  <c r="AS14" i="27" s="1"/>
  <c r="AV14" i="27" s="1"/>
  <c r="AY14" i="27" s="1"/>
  <c r="AO14" i="27"/>
  <c r="AR14" i="27" s="1"/>
  <c r="AU14" i="27" s="1"/>
  <c r="AX14" i="27" s="1"/>
  <c r="AW13" i="27"/>
  <c r="AT13" i="27"/>
  <c r="AQ13" i="27"/>
  <c r="AP13" i="27"/>
  <c r="AS13" i="27" s="1"/>
  <c r="AV13" i="27" s="1"/>
  <c r="AY13" i="27" s="1"/>
  <c r="AO13" i="27"/>
  <c r="AR13" i="27" s="1"/>
  <c r="AU13" i="27" s="1"/>
  <c r="AX13" i="27" s="1"/>
  <c r="AW12" i="27"/>
  <c r="AT12" i="27"/>
  <c r="AQ12" i="27"/>
  <c r="AP12" i="27"/>
  <c r="AS12" i="27" s="1"/>
  <c r="AV12" i="27" s="1"/>
  <c r="AY12" i="27" s="1"/>
  <c r="AO12" i="27"/>
  <c r="AR12" i="27" s="1"/>
  <c r="AU12" i="27" s="1"/>
  <c r="AX12" i="27" s="1"/>
  <c r="AW11" i="27"/>
  <c r="AT11" i="27"/>
  <c r="AQ11" i="27"/>
  <c r="AP11" i="27"/>
  <c r="AS11" i="27" s="1"/>
  <c r="AV11" i="27" s="1"/>
  <c r="AY11" i="27" s="1"/>
  <c r="AO11" i="27"/>
  <c r="AR11" i="27" s="1"/>
  <c r="AU11" i="27" s="1"/>
  <c r="AX11" i="27" s="1"/>
  <c r="AW10" i="27"/>
  <c r="AT10" i="27"/>
  <c r="AQ10" i="27"/>
  <c r="AP10" i="27"/>
  <c r="AS10" i="27" s="1"/>
  <c r="AV10" i="27" s="1"/>
  <c r="AY10" i="27" s="1"/>
  <c r="AO10" i="27"/>
  <c r="AR10" i="27" s="1"/>
  <c r="AU10" i="27" s="1"/>
  <c r="AX10" i="27" s="1"/>
  <c r="AW9" i="27"/>
  <c r="AT9" i="27"/>
  <c r="AQ9" i="27"/>
  <c r="AP9" i="27"/>
  <c r="AS9" i="27" s="1"/>
  <c r="AV9" i="27" s="1"/>
  <c r="AY9" i="27" s="1"/>
  <c r="AO9" i="27"/>
  <c r="AR9" i="27" s="1"/>
  <c r="AU9" i="27" s="1"/>
  <c r="AX9" i="27" s="1"/>
  <c r="AQ8" i="27"/>
  <c r="AT8" i="27" s="1"/>
  <c r="AW8" i="27" s="1"/>
  <c r="AZ8" i="27" s="1"/>
  <c r="AP8" i="27"/>
  <c r="AS8" i="27" s="1"/>
  <c r="AV8" i="27" s="1"/>
  <c r="AY8" i="27" s="1"/>
  <c r="AO8" i="27"/>
  <c r="AR8" i="27" s="1"/>
  <c r="AU8" i="27" s="1"/>
  <c r="AX8" i="27" s="1"/>
  <c r="AG7" i="27"/>
  <c r="AF7" i="27"/>
  <c r="AE7" i="27"/>
  <c r="AW20" i="26"/>
  <c r="AT20" i="26"/>
  <c r="AQ20" i="26"/>
  <c r="AP20" i="26"/>
  <c r="AS20" i="26" s="1"/>
  <c r="AV20" i="26" s="1"/>
  <c r="AO20" i="26"/>
  <c r="AR20" i="26" s="1"/>
  <c r="AU20" i="26" s="1"/>
  <c r="AW19" i="26"/>
  <c r="AT19" i="26"/>
  <c r="AQ19" i="26"/>
  <c r="AP19" i="26"/>
  <c r="AS19" i="26" s="1"/>
  <c r="AV19" i="26" s="1"/>
  <c r="AO19" i="26"/>
  <c r="AR19" i="26" s="1"/>
  <c r="AU19" i="26" s="1"/>
  <c r="AW18" i="26"/>
  <c r="AT18" i="26"/>
  <c r="AQ18" i="26"/>
  <c r="AP18" i="26"/>
  <c r="AS18" i="26" s="1"/>
  <c r="AV18" i="26" s="1"/>
  <c r="AO18" i="26"/>
  <c r="AR18" i="26" s="1"/>
  <c r="AU18" i="26" s="1"/>
  <c r="AW17" i="26"/>
  <c r="AT17" i="26"/>
  <c r="AQ17" i="26"/>
  <c r="AP17" i="26"/>
  <c r="AS17" i="26" s="1"/>
  <c r="AV17" i="26" s="1"/>
  <c r="AO17" i="26"/>
  <c r="AR17" i="26" s="1"/>
  <c r="AU17" i="26" s="1"/>
  <c r="AW16" i="26"/>
  <c r="AT16" i="26"/>
  <c r="AR16" i="26"/>
  <c r="AU16" i="26" s="1"/>
  <c r="AQ16" i="26"/>
  <c r="AP16" i="26"/>
  <c r="AS16" i="26" s="1"/>
  <c r="AV16" i="26" s="1"/>
  <c r="AW15" i="26"/>
  <c r="AT15" i="26"/>
  <c r="AQ15" i="26"/>
  <c r="AP15" i="26"/>
  <c r="AS15" i="26" s="1"/>
  <c r="AV15" i="26" s="1"/>
  <c r="AO15" i="26"/>
  <c r="AR15" i="26" s="1"/>
  <c r="AU15" i="26" s="1"/>
  <c r="AW14" i="26"/>
  <c r="AT14" i="26"/>
  <c r="AQ14" i="26"/>
  <c r="AP14" i="26"/>
  <c r="AS14" i="26" s="1"/>
  <c r="AV14" i="26" s="1"/>
  <c r="AO14" i="26"/>
  <c r="AR14" i="26" s="1"/>
  <c r="AU14" i="26" s="1"/>
  <c r="AW13" i="26"/>
  <c r="AT13" i="26"/>
  <c r="AQ13" i="26"/>
  <c r="AP13" i="26"/>
  <c r="AS13" i="26" s="1"/>
  <c r="AV13" i="26" s="1"/>
  <c r="AO13" i="26"/>
  <c r="AR13" i="26" s="1"/>
  <c r="AU13" i="26" s="1"/>
  <c r="AW12" i="26"/>
  <c r="AT12" i="26"/>
  <c r="AQ12" i="26"/>
  <c r="AP12" i="26"/>
  <c r="AS12" i="26" s="1"/>
  <c r="AV12" i="26" s="1"/>
  <c r="AO12" i="26"/>
  <c r="AR12" i="26" s="1"/>
  <c r="AU12" i="26" s="1"/>
  <c r="AW11" i="26"/>
  <c r="AT11" i="26"/>
  <c r="AR11" i="26"/>
  <c r="AU11" i="26" s="1"/>
  <c r="AQ11" i="26"/>
  <c r="AP11" i="26"/>
  <c r="AS11" i="26" s="1"/>
  <c r="AV11" i="26" s="1"/>
  <c r="AW10" i="26"/>
  <c r="AT10" i="26"/>
  <c r="AQ10" i="26"/>
  <c r="AP10" i="26"/>
  <c r="AS10" i="26" s="1"/>
  <c r="AV10" i="26" s="1"/>
  <c r="AO10" i="26"/>
  <c r="AR10" i="26" s="1"/>
  <c r="AU10" i="26" s="1"/>
  <c r="AW9" i="26"/>
  <c r="AT9" i="26"/>
  <c r="AQ9" i="26"/>
  <c r="AP9" i="26"/>
  <c r="AS9" i="26" s="1"/>
  <c r="AV9" i="26" s="1"/>
  <c r="AO9" i="26"/>
  <c r="AR9" i="26" s="1"/>
  <c r="AU9" i="26" s="1"/>
  <c r="AW8" i="26"/>
  <c r="AT8" i="26"/>
  <c r="AQ8" i="26"/>
  <c r="AP8" i="26"/>
  <c r="AS8" i="26" s="1"/>
  <c r="AV8" i="26" s="1"/>
  <c r="AO8" i="26"/>
  <c r="AR8" i="26" s="1"/>
  <c r="AU8" i="26" s="1"/>
  <c r="AW7" i="26"/>
  <c r="AT7" i="26"/>
  <c r="AQ7" i="26"/>
  <c r="AP7" i="26"/>
  <c r="AS7" i="26" s="1"/>
  <c r="AV7" i="26" s="1"/>
  <c r="AO7" i="26"/>
  <c r="AR7" i="26" s="1"/>
  <c r="AU7" i="26" s="1"/>
  <c r="AW6" i="26"/>
  <c r="AT6" i="26"/>
  <c r="AQ6" i="26"/>
  <c r="AP6" i="26"/>
  <c r="AS6" i="26" s="1"/>
  <c r="AV6" i="26" s="1"/>
  <c r="AO6" i="26"/>
  <c r="AR6" i="26" s="1"/>
  <c r="AU6" i="26" s="1"/>
  <c r="AT5" i="26"/>
  <c r="AW5" i="26" s="1"/>
  <c r="AZ5" i="26" s="1"/>
  <c r="AQ5" i="26"/>
  <c r="AP5" i="26"/>
  <c r="AS5" i="26" s="1"/>
  <c r="AV5" i="26" s="1"/>
  <c r="AY5" i="26" s="1"/>
  <c r="AO5" i="26"/>
  <c r="AR5" i="26" s="1"/>
  <c r="AU5" i="26" s="1"/>
  <c r="AX5" i="26" s="1"/>
  <c r="AG4" i="26"/>
  <c r="AF4" i="26"/>
  <c r="AE4" i="26"/>
  <c r="AO4" i="26"/>
  <c r="Y46" i="25"/>
  <c r="Y45" i="25"/>
  <c r="Y42" i="25"/>
  <c r="Y41" i="25"/>
  <c r="V41" i="25"/>
  <c r="V30" i="25"/>
  <c r="C44" i="25"/>
  <c r="C45" i="25" s="1"/>
  <c r="C46" i="25" s="1"/>
  <c r="C47" i="25" s="1"/>
  <c r="C31" i="25"/>
  <c r="C33" i="25" s="1"/>
  <c r="C30" i="25"/>
  <c r="C17" i="25"/>
  <c r="C18" i="25" s="1"/>
  <c r="C19" i="25" s="1"/>
  <c r="Y19" i="25"/>
  <c r="Y18" i="25"/>
  <c r="Y15" i="25"/>
  <c r="Y14" i="25"/>
  <c r="V14" i="25"/>
  <c r="I7" i="25"/>
  <c r="V8" i="25"/>
  <c r="H18" i="24"/>
  <c r="I18" i="24"/>
  <c r="J18" i="24"/>
  <c r="K18" i="24"/>
  <c r="L18" i="24"/>
  <c r="M18" i="24"/>
  <c r="N18" i="24"/>
  <c r="O18" i="24"/>
  <c r="E31" i="24"/>
  <c r="E18" i="24"/>
  <c r="O8" i="24"/>
  <c r="N8" i="24"/>
  <c r="M8" i="24"/>
  <c r="L8" i="24"/>
  <c r="K8" i="24"/>
  <c r="J8" i="24"/>
  <c r="I8" i="24"/>
  <c r="H8" i="24"/>
  <c r="F8" i="24"/>
  <c r="Y9" i="25" l="1"/>
  <c r="C12" i="25"/>
  <c r="I13" i="25"/>
  <c r="AG8" i="25"/>
  <c r="AC15" i="25"/>
  <c r="AG14" i="25" s="1"/>
  <c r="I29" i="25"/>
  <c r="I28" i="25"/>
  <c r="C32" i="25"/>
  <c r="AC19" i="25" l="1"/>
  <c r="AG18" i="25" s="1"/>
  <c r="C20" i="25"/>
  <c r="I14" i="25" s="1"/>
  <c r="I41" i="25"/>
  <c r="Y31" i="25"/>
  <c r="AG30" i="25" s="1"/>
  <c r="C40" i="25"/>
  <c r="AC46" i="25" l="1"/>
  <c r="AG45" i="25" s="1"/>
  <c r="AC42" i="25"/>
  <c r="AG41" i="25" s="1"/>
  <c r="C48" i="25"/>
  <c r="I42" i="25" s="1"/>
  <c r="B2" i="6" l="1"/>
  <c r="B1" i="6"/>
  <c r="AA24" i="6" l="1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B4" i="4"/>
  <c r="B5" i="4"/>
  <c r="B6" i="4"/>
  <c r="B7" i="4"/>
  <c r="B8" i="4"/>
  <c r="B9" i="4"/>
  <c r="R8" i="11" l="1"/>
  <c r="R11" i="11"/>
  <c r="R10" i="11"/>
  <c r="R16" i="11" s="1"/>
  <c r="R9" i="11"/>
  <c r="Q20" i="11"/>
  <c r="R20" i="11" s="1"/>
  <c r="L20" i="11"/>
  <c r="G20" i="11"/>
  <c r="B20" i="11"/>
  <c r="B21" i="11" s="1"/>
  <c r="B22" i="11" s="1"/>
  <c r="B23" i="11" s="1"/>
  <c r="B24" i="11" s="1"/>
  <c r="B25" i="11" s="1"/>
  <c r="M11" i="11"/>
  <c r="M10" i="11"/>
  <c r="M16" i="11" s="1"/>
  <c r="M9" i="11"/>
  <c r="M8" i="11"/>
  <c r="H11" i="11"/>
  <c r="H10" i="11"/>
  <c r="H16" i="11" s="1"/>
  <c r="H9" i="11"/>
  <c r="H8" i="11"/>
  <c r="S20" i="11" l="1"/>
  <c r="B26" i="11"/>
  <c r="E26" i="11" s="1"/>
  <c r="Q21" i="11"/>
  <c r="L21" i="11"/>
  <c r="G21" i="11"/>
  <c r="C11" i="11"/>
  <c r="C10" i="11"/>
  <c r="C16" i="11" s="1"/>
  <c r="C9" i="11"/>
  <c r="C8" i="11"/>
  <c r="C25" i="11"/>
  <c r="C24" i="11"/>
  <c r="H20" i="11"/>
  <c r="E25" i="11"/>
  <c r="M20" i="11"/>
  <c r="C20" i="11"/>
  <c r="T20" i="11"/>
  <c r="E20" i="11"/>
  <c r="D20" i="11" l="1"/>
  <c r="R14" i="11"/>
  <c r="I20" i="11"/>
  <c r="N20" i="11"/>
  <c r="D24" i="11"/>
  <c r="D25" i="11"/>
  <c r="B27" i="11"/>
  <c r="Q22" i="11"/>
  <c r="L22" i="11"/>
  <c r="G22" i="11"/>
  <c r="R15" i="11"/>
  <c r="R17" i="11" s="1"/>
  <c r="R13" i="11"/>
  <c r="T21" i="11"/>
  <c r="C21" i="11"/>
  <c r="O21" i="11"/>
  <c r="E21" i="11"/>
  <c r="M21" i="11"/>
  <c r="J20" i="11"/>
  <c r="R21" i="11"/>
  <c r="E23" i="11"/>
  <c r="H21" i="11"/>
  <c r="C23" i="11"/>
  <c r="E22" i="11"/>
  <c r="O20" i="11"/>
  <c r="C26" i="11"/>
  <c r="C22" i="11"/>
  <c r="J21" i="11"/>
  <c r="E24" i="11"/>
  <c r="I21" i="11" l="1"/>
  <c r="D23" i="11"/>
  <c r="D26" i="11"/>
  <c r="N21" i="11"/>
  <c r="S21" i="11"/>
  <c r="D21" i="11"/>
  <c r="D22" i="11"/>
  <c r="B28" i="11"/>
  <c r="Q23" i="11"/>
  <c r="L23" i="11"/>
  <c r="G23" i="11"/>
  <c r="C13" i="11"/>
  <c r="C14" i="11"/>
  <c r="C15" i="11"/>
  <c r="C17" i="11" s="1"/>
  <c r="T22" i="11"/>
  <c r="J22" i="11"/>
  <c r="O22" i="11"/>
  <c r="R22" i="11"/>
  <c r="E27" i="11"/>
  <c r="H22" i="11"/>
  <c r="M22" i="11"/>
  <c r="C27" i="11"/>
  <c r="N22" i="11" l="1"/>
  <c r="S22" i="11"/>
  <c r="D27" i="11"/>
  <c r="I22" i="11"/>
  <c r="B29" i="11"/>
  <c r="Q24" i="11"/>
  <c r="Q25" i="11" s="1"/>
  <c r="L24" i="11"/>
  <c r="L25" i="11" s="1"/>
  <c r="G24" i="11"/>
  <c r="G25" i="11" s="1"/>
  <c r="R23" i="11"/>
  <c r="O23" i="11"/>
  <c r="J23" i="11"/>
  <c r="T23" i="11"/>
  <c r="M23" i="11"/>
  <c r="E28" i="11"/>
  <c r="H23" i="11"/>
  <c r="C28" i="11"/>
  <c r="D28" i="11" l="1"/>
  <c r="N23" i="11"/>
  <c r="I23" i="11"/>
  <c r="S23" i="11"/>
  <c r="Q26" i="11"/>
  <c r="G26" i="11"/>
  <c r="L26" i="11"/>
  <c r="J25" i="11"/>
  <c r="J24" i="11"/>
  <c r="R25" i="11"/>
  <c r="E29" i="11"/>
  <c r="T24" i="11"/>
  <c r="M24" i="11"/>
  <c r="R24" i="11"/>
  <c r="T25" i="11"/>
  <c r="M25" i="11"/>
  <c r="H24" i="11"/>
  <c r="C29" i="11"/>
  <c r="H25" i="11"/>
  <c r="O24" i="11"/>
  <c r="O25" i="11"/>
  <c r="I24" i="11" l="1"/>
  <c r="N25" i="11"/>
  <c r="N24" i="11"/>
  <c r="S24" i="11"/>
  <c r="I25" i="11"/>
  <c r="D29" i="11"/>
  <c r="S25" i="11"/>
  <c r="L27" i="11"/>
  <c r="G27" i="11"/>
  <c r="Q27" i="11"/>
  <c r="M14" i="11"/>
  <c r="H15" i="11"/>
  <c r="H17" i="11" s="1"/>
  <c r="M15" i="11"/>
  <c r="M17" i="11" s="1"/>
  <c r="M13" i="11"/>
  <c r="H13" i="11"/>
  <c r="H14" i="11"/>
  <c r="R26" i="11"/>
  <c r="J26" i="11"/>
  <c r="M26" i="11"/>
  <c r="O26" i="11"/>
  <c r="T26" i="11"/>
  <c r="H26" i="11"/>
  <c r="N26" i="11" l="1"/>
  <c r="S26" i="11"/>
  <c r="I26" i="11"/>
  <c r="G28" i="11"/>
  <c r="L28" i="11"/>
  <c r="Q28" i="11"/>
  <c r="O27" i="11"/>
  <c r="R27" i="11"/>
  <c r="J27" i="11"/>
  <c r="T27" i="11"/>
  <c r="H27" i="11"/>
  <c r="M27" i="11"/>
  <c r="N27" i="11" l="1"/>
  <c r="I27" i="11"/>
  <c r="S27" i="11"/>
  <c r="L29" i="11"/>
  <c r="Q29" i="11"/>
  <c r="G29" i="11"/>
  <c r="T28" i="11"/>
  <c r="J28" i="11"/>
  <c r="R28" i="11"/>
  <c r="O28" i="11"/>
  <c r="M28" i="11"/>
  <c r="H28" i="11"/>
  <c r="S28" i="11" l="1"/>
  <c r="N28" i="11"/>
  <c r="I28" i="11"/>
  <c r="J29" i="11"/>
  <c r="T29" i="11"/>
  <c r="R29" i="11"/>
  <c r="H29" i="11"/>
  <c r="M29" i="11"/>
  <c r="O29" i="11"/>
  <c r="I29" i="11" l="1"/>
  <c r="S29" i="11"/>
  <c r="N29" i="11"/>
</calcChain>
</file>

<file path=xl/comments1.xml><?xml version="1.0" encoding="utf-8"?>
<comments xmlns="http://schemas.openxmlformats.org/spreadsheetml/2006/main">
  <authors>
    <author>OCWA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SARS-CoV-2, PMMoV, HCoV-229E, crAssphage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only for SARS-CoV-2: N1, N2, E, other?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SARS-CoV-2, PMMoV, HCoV-229E, crAssphage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only for SARS-CoV-2: N1, N2, E, other?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SARS-CoV-2, PMMoV, HCoV-229E, crAssphage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only for SARS-CoV-2: N1, N2, E, other?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SARS-CoV-2, PMMoV, HCoV-229E, crAssphage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OCWA:</t>
        </r>
        <r>
          <rPr>
            <sz val="9"/>
            <color indexed="81"/>
            <rFont val="Tahoma"/>
            <family val="2"/>
          </rPr>
          <t xml:space="preserve">
only for SARS-CoV-2: N1, N2, E, other?</t>
        </r>
      </text>
    </comment>
  </commentList>
</comments>
</file>

<file path=xl/sharedStrings.xml><?xml version="1.0" encoding="utf-8"?>
<sst xmlns="http://schemas.openxmlformats.org/spreadsheetml/2006/main" count="2080" uniqueCount="721">
  <si>
    <t>Laboratory</t>
  </si>
  <si>
    <t>Type</t>
  </si>
  <si>
    <t>Target</t>
  </si>
  <si>
    <t>Target_Gene(s)</t>
  </si>
  <si>
    <t>Fraction</t>
  </si>
  <si>
    <t>Result_units</t>
  </si>
  <si>
    <t>Notes</t>
  </si>
  <si>
    <t>Sample</t>
  </si>
  <si>
    <t>A</t>
  </si>
  <si>
    <t>B</t>
  </si>
  <si>
    <t>SARS-CoV-2</t>
  </si>
  <si>
    <t>N1</t>
  </si>
  <si>
    <t>Supernatant</t>
  </si>
  <si>
    <t>gene copies/mL</t>
  </si>
  <si>
    <t>N2</t>
  </si>
  <si>
    <t>E</t>
  </si>
  <si>
    <t>HCoV-229E</t>
  </si>
  <si>
    <t>PMMoV</t>
  </si>
  <si>
    <t>crAssphage</t>
  </si>
  <si>
    <t>Mock</t>
  </si>
  <si>
    <t>Biological_Replicate</t>
  </si>
  <si>
    <t>Whole processing blank</t>
  </si>
  <si>
    <t>Extraction blank</t>
  </si>
  <si>
    <t>Negative control</t>
  </si>
  <si>
    <t>Technical_Replicate_1_CycleNo</t>
  </si>
  <si>
    <t>Technical_Replicate_2_CycleNo</t>
  </si>
  <si>
    <t>Technical_Replicate_3_CycleNo</t>
  </si>
  <si>
    <t>Technical_Replicate_1_Result</t>
  </si>
  <si>
    <t>Technical_Replicate_2_Result</t>
  </si>
  <si>
    <t>Technical_Replicate_3_Result</t>
  </si>
  <si>
    <t>Sample_Site</t>
  </si>
  <si>
    <t>Sample_Date</t>
  </si>
  <si>
    <t>QC</t>
  </si>
  <si>
    <t>No template control</t>
  </si>
  <si>
    <t>Lab_ID</t>
  </si>
  <si>
    <t>University of Ottawa</t>
  </si>
  <si>
    <t>Ottawa</t>
  </si>
  <si>
    <t>ON</t>
  </si>
  <si>
    <t>University</t>
  </si>
  <si>
    <t>University of Waterloo</t>
  </si>
  <si>
    <t>Waterloo</t>
  </si>
  <si>
    <t>University of Windsor</t>
  </si>
  <si>
    <t>Windsor</t>
  </si>
  <si>
    <t>Toronto</t>
  </si>
  <si>
    <t>University of Guelph-Goodridge</t>
  </si>
  <si>
    <t>Guelph</t>
  </si>
  <si>
    <t>University of Guelph - Habash</t>
  </si>
  <si>
    <t>Queen’s University</t>
  </si>
  <si>
    <t>Kingston</t>
  </si>
  <si>
    <t>Carleton University</t>
  </si>
  <si>
    <t>Ontario Technology University</t>
  </si>
  <si>
    <t>Oshawa</t>
  </si>
  <si>
    <t>HSNRI</t>
  </si>
  <si>
    <t>Public Research Lab</t>
  </si>
  <si>
    <t>Hamilton</t>
  </si>
  <si>
    <t>University of Toronto</t>
  </si>
  <si>
    <t>Trent University</t>
  </si>
  <si>
    <t>Peterborough</t>
  </si>
  <si>
    <t>Western University</t>
  </si>
  <si>
    <t>London</t>
  </si>
  <si>
    <t>Mississauga</t>
  </si>
  <si>
    <t>Commercial</t>
  </si>
  <si>
    <t>SGS Labs</t>
  </si>
  <si>
    <t>SiRem Laboratory</t>
  </si>
  <si>
    <t>PHAC-NML – Mangat</t>
  </si>
  <si>
    <t>Winnipeg</t>
  </si>
  <si>
    <t>MB</t>
  </si>
  <si>
    <t>Federal Public Health Lab</t>
  </si>
  <si>
    <t>PHAC-NML - Landgraff</t>
  </si>
  <si>
    <t>BC CDC PHL</t>
  </si>
  <si>
    <t>Vancouver</t>
  </si>
  <si>
    <t>BC</t>
  </si>
  <si>
    <t>Provincial Public Health Lab</t>
  </si>
  <si>
    <t>Edmonton</t>
  </si>
  <si>
    <t>AB</t>
  </si>
  <si>
    <t>Taiga Environmental Laboratory</t>
  </si>
  <si>
    <t>Yellowknife</t>
  </si>
  <si>
    <t>NT</t>
  </si>
  <si>
    <t>Territorial Environmental Lab</t>
  </si>
  <si>
    <t>Polytechnique Montreal</t>
  </si>
  <si>
    <t>Montreal</t>
  </si>
  <si>
    <t>Toxicology Centre, University of Saskatchewan</t>
  </si>
  <si>
    <t>Saskatoon</t>
  </si>
  <si>
    <t>SK</t>
  </si>
  <si>
    <t>University of Calgary</t>
  </si>
  <si>
    <t>Calgary</t>
  </si>
  <si>
    <t>McGill University</t>
  </si>
  <si>
    <t xml:space="preserve">Univ. Laval </t>
  </si>
  <si>
    <t>Quebec City</t>
  </si>
  <si>
    <t>Longueuil</t>
  </si>
  <si>
    <t>Promega</t>
  </si>
  <si>
    <t>Madison</t>
  </si>
  <si>
    <t>WI</t>
  </si>
  <si>
    <t>LuminUltra Technologies</t>
  </si>
  <si>
    <t>Miami Lakes</t>
  </si>
  <si>
    <t>FL</t>
  </si>
  <si>
    <t>LAB_ID</t>
  </si>
  <si>
    <t>Technical Replicate 1</t>
  </si>
  <si>
    <t>Technical Replicate 2</t>
  </si>
  <si>
    <t>Technical Replicate 3</t>
  </si>
  <si>
    <t>Ct</t>
  </si>
  <si>
    <t>Cycle delay to be deemed as inhibition</t>
  </si>
  <si>
    <t xml:space="preserve">Samples are diluted 1:10 and the shift in PMMoV is compared to the expected value </t>
  </si>
  <si>
    <t>Qiagen QIAamp Viral Mini kit (Qiagen, USA)</t>
  </si>
  <si>
    <t>Instrument</t>
  </si>
  <si>
    <t>Mastermix</t>
  </si>
  <si>
    <t>Reverse 
Transcription reaction</t>
  </si>
  <si>
    <t>Polymerase 
activation</t>
  </si>
  <si>
    <t>Denaturation, Annealing / Extension</t>
  </si>
  <si>
    <t>95˚C (2 min)</t>
  </si>
  <si>
    <t>PMMoV, Xeno etc</t>
  </si>
  <si>
    <t>PowerMicrobiome (Qiagen, USA)</t>
  </si>
  <si>
    <t>mg</t>
  </si>
  <si>
    <t>Yes</t>
  </si>
  <si>
    <t>Supernatant or Total
Method used</t>
  </si>
  <si>
    <t xml:space="preserve">Mix 15 mL wastewater with 0.25% (v/v) Tween-20
Centrifugation 4000 x G (20 min.) @ 4˚C
Pellet is reserved separatley for extration, the entire pellet is used.
Supernatant decanted into Amicon (10 kDa, Millipore Sigma, USA) , centrifugation 4000 x G (30 min.)
250 µL of wastewater viral concentrate obtained per sample </t>
  </si>
  <si>
    <t>Concentrate 
Volume
(mL)</t>
  </si>
  <si>
    <t>No</t>
  </si>
  <si>
    <t>&gt;2 cycles from expected - 3.3218</t>
  </si>
  <si>
    <t>QS5</t>
  </si>
  <si>
    <t>25˚C (2 min.); 
50˚C (15 min.)</t>
  </si>
  <si>
    <t>25˚C (2 min.);
50˚C (15 min.)</t>
  </si>
  <si>
    <t>Taqpath 1-step CG</t>
  </si>
  <si>
    <t>Did you use your own process control?
(Yes/No)</t>
  </si>
  <si>
    <t>Custom
Process Control
Details</t>
  </si>
  <si>
    <t xml:space="preserve">Summary of concentration pipeline
</t>
  </si>
  <si>
    <t>Xeno</t>
  </si>
  <si>
    <t>Laboratory
Code</t>
  </si>
  <si>
    <t>EXAMPLE</t>
  </si>
  <si>
    <t>Quantity In
If all the collected solids are processed please use your Process Volume as the "Quantity In" and indicate mL as the the unit</t>
  </si>
  <si>
    <t>Notes (e.g., corrective steps for inhibition)</t>
  </si>
  <si>
    <t>Description of Inhibition Control Application, and steps to resolve</t>
  </si>
  <si>
    <t>N</t>
  </si>
  <si>
    <t>Spike (A/B/N)</t>
  </si>
  <si>
    <t>gene copies/reaction</t>
  </si>
  <si>
    <t>NA</t>
  </si>
  <si>
    <t>Conc_std (for Standard Curves)</t>
  </si>
  <si>
    <t xml:space="preserve">Automatic Baseline (if applicable) </t>
  </si>
  <si>
    <t>Baseline End (if applicable)</t>
  </si>
  <si>
    <t>Baseline Start (if applicable)</t>
  </si>
  <si>
    <t>Slope</t>
  </si>
  <si>
    <t>Efficiency (%)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</si>
  <si>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</si>
  <si>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Y-intercept</t>
  </si>
  <si>
    <t>Ct Threshold</t>
  </si>
  <si>
    <t>Automatic or Manual Cycle threshold</t>
  </si>
  <si>
    <t>Manual</t>
  </si>
  <si>
    <t>Solids</t>
  </si>
  <si>
    <t>Total</t>
  </si>
  <si>
    <t>n/a</t>
  </si>
  <si>
    <t>Inhibition-endogenous, diluted</t>
  </si>
  <si>
    <t>Inhibition-external, diluted</t>
  </si>
  <si>
    <t>Inhibition-external, baseline</t>
  </si>
  <si>
    <t>Inhibition-external, spike</t>
  </si>
  <si>
    <t>Yes/No</t>
  </si>
  <si>
    <t>Value Type</t>
  </si>
  <si>
    <t>decimal greater than 0</t>
  </si>
  <si>
    <t>mg/mL</t>
  </si>
  <si>
    <t>MAX</t>
  </si>
  <si>
    <t>ND</t>
  </si>
  <si>
    <t>Varies</t>
  </si>
  <si>
    <t>ng/ul DNA/RNA extract</t>
  </si>
  <si>
    <t>gene copies/uL</t>
  </si>
  <si>
    <t>Inhibition-endogenous</t>
  </si>
  <si>
    <t>N1/N2</t>
  </si>
  <si>
    <t>BCoV</t>
  </si>
  <si>
    <t>Synthetic human RNaseP DNA</t>
  </si>
  <si>
    <t>FRNA Genotype 2</t>
  </si>
  <si>
    <t>BRSV</t>
  </si>
  <si>
    <t>Promega-developed</t>
  </si>
  <si>
    <t>HCoV-OC43</t>
  </si>
  <si>
    <t>Mouse ACTB</t>
  </si>
  <si>
    <t>Salmon DNA</t>
  </si>
  <si>
    <t>Internal RNA postive control</t>
    <phoneticPr fontId="0" type="noConversion"/>
  </si>
  <si>
    <t>MHV</t>
  </si>
  <si>
    <t xml:space="preserve">Zebrafish </t>
  </si>
  <si>
    <t>WNV</t>
  </si>
  <si>
    <t>&lt;Enter a decimal&gt;</t>
  </si>
  <si>
    <t>QC Type</t>
  </si>
  <si>
    <t>Positive control</t>
  </si>
  <si>
    <t xml:space="preserve">No reverse transcriptase </t>
  </si>
  <si>
    <t>McMaster University (St. Joseph's Healthcare Hamilton)</t>
  </si>
  <si>
    <t>Dalhousie University</t>
  </si>
  <si>
    <t>University of Regina</t>
  </si>
  <si>
    <t>Halifax</t>
  </si>
  <si>
    <t>NS</t>
  </si>
  <si>
    <t>Regina</t>
  </si>
  <si>
    <t>Entered</t>
  </si>
  <si>
    <t>Claculated</t>
  </si>
  <si>
    <t>ratio (autogenerated)</t>
  </si>
  <si>
    <t>Used in Standard Curve? (Y/N)</t>
  </si>
  <si>
    <t>row</t>
  </si>
  <si>
    <t>Efficiency (%) (use entered data)</t>
  </si>
  <si>
    <t>Efficiency (%) (use entered curve)</t>
  </si>
  <si>
    <t>data</t>
  </si>
  <si>
    <t>Conc_std</t>
  </si>
  <si>
    <t>Average_ct</t>
  </si>
  <si>
    <t>Conc_std (log)</t>
  </si>
  <si>
    <t>Data point No</t>
  </si>
  <si>
    <t>Method Code</t>
  </si>
  <si>
    <t>Method_Used</t>
  </si>
  <si>
    <t>Qualifier</t>
  </si>
  <si>
    <t>FI</t>
  </si>
  <si>
    <t>AI</t>
  </si>
  <si>
    <t>J</t>
  </si>
  <si>
    <t>UJ</t>
  </si>
  <si>
    <t>sample concentration estimate extrapolated</t>
  </si>
  <si>
    <t>no qualifier</t>
  </si>
  <si>
    <t>Qualifier notes</t>
  </si>
  <si>
    <t xml:space="preserve"> </t>
  </si>
  <si>
    <t>Indicator_TR1</t>
  </si>
  <si>
    <t>Indicator_TR2</t>
  </si>
  <si>
    <t>Indicator_TR3</t>
  </si>
  <si>
    <t>Technical_Replicate_1_Result_mL</t>
  </si>
  <si>
    <t>Technical_Replicate_1_Result_mg</t>
  </si>
  <si>
    <r>
      <t xml:space="preserve">Conc. Estimate </t>
    </r>
    <r>
      <rPr>
        <b/>
        <i/>
        <sz val="11"/>
        <color rgb="FFFF0000"/>
        <rFont val="Calibri"/>
        <family val="2"/>
        <scheme val="minor"/>
      </rPr>
      <t>(gc/mL)</t>
    </r>
  </si>
  <si>
    <r>
      <t>Conc. Estimate</t>
    </r>
    <r>
      <rPr>
        <b/>
        <i/>
        <sz val="11"/>
        <color theme="5"/>
        <rFont val="Calibri"/>
        <family val="2"/>
        <scheme val="minor"/>
      </rPr>
      <t xml:space="preserve"> (gc/mg)</t>
    </r>
  </si>
  <si>
    <t>Biobot Analytics</t>
  </si>
  <si>
    <t>Cambridge</t>
  </si>
  <si>
    <t>MA</t>
  </si>
  <si>
    <t>EDX</t>
  </si>
  <si>
    <t>Standard Materials</t>
  </si>
  <si>
    <t>Standard_Material</t>
  </si>
  <si>
    <t>Lentivirus</t>
  </si>
  <si>
    <t>Qualifier_TR1</t>
  </si>
  <si>
    <t>Technical_Replicate_2_Result_mL</t>
  </si>
  <si>
    <t>Technical_Replicate_2_Result_mg</t>
  </si>
  <si>
    <t>Qualifier_TR2</t>
  </si>
  <si>
    <t>Technical_Replicate_3_Result_mL</t>
  </si>
  <si>
    <t>Technical_Replicate_3_Result_mg</t>
  </si>
  <si>
    <t>Qualifier_TR3</t>
  </si>
  <si>
    <t>Wastewater Process Volume (mL)</t>
  </si>
  <si>
    <t>Water added to dilute the sample (mL)</t>
  </si>
  <si>
    <t>Qualifier_Notes_1</t>
  </si>
  <si>
    <t>Qualifier_Notes_2</t>
  </si>
  <si>
    <t>Qualifier_Notes_3</t>
  </si>
  <si>
    <t>CF</t>
  </si>
  <si>
    <t>ESV (mL)</t>
  </si>
  <si>
    <t>Y_intercept</t>
  </si>
  <si>
    <t>Standard Curve</t>
  </si>
  <si>
    <t>ATCC</t>
  </si>
  <si>
    <t>ddPCR pooled sample</t>
  </si>
  <si>
    <t>TWIST</t>
  </si>
  <si>
    <t>Sample Volume</t>
  </si>
  <si>
    <t>Volume after concentration</t>
  </si>
  <si>
    <t>Volume of concentrate used for RNA extraction</t>
  </si>
  <si>
    <t>Volume of diluted sample assayed</t>
  </si>
  <si>
    <t>Volume after RNA extraction</t>
  </si>
  <si>
    <t>ESV =</t>
  </si>
  <si>
    <t>Value</t>
  </si>
  <si>
    <t>Parameter</t>
  </si>
  <si>
    <t>The volume of the sample taken from the distributed sample</t>
  </si>
  <si>
    <t>The volume/weight of the sample after concentration</t>
  </si>
  <si>
    <t>Unit</t>
  </si>
  <si>
    <t>mL</t>
  </si>
  <si>
    <t>uL</t>
  </si>
  <si>
    <t>Volume of the RNA solution after RNA extraction (i.e. the Eluate volume)</t>
  </si>
  <si>
    <t>Volume of diluted sample assayed (i.e. the template volume)</t>
  </si>
  <si>
    <t>mL/mL</t>
  </si>
  <si>
    <t xml:space="preserve">ESV = </t>
  </si>
  <si>
    <t xml:space="preserve">CF = </t>
  </si>
  <si>
    <t>Dilution factor of the sample (DF = volume after dilution / volume before dilution)</t>
  </si>
  <si>
    <t>Qualifier_Notes</t>
  </si>
  <si>
    <t>Spiked extraction blank (229E &amp; MHV)</t>
  </si>
  <si>
    <t>MS2</t>
  </si>
  <si>
    <t>N63</t>
  </si>
  <si>
    <t>D63G</t>
  </si>
  <si>
    <t>S69-70-DEL (BA.1)</t>
  </si>
  <si>
    <t>Cycle Number</t>
  </si>
  <si>
    <t>Used for quantification?</t>
  </si>
  <si>
    <t>Quan_indicator</t>
  </si>
  <si>
    <t>IDEXX</t>
  </si>
  <si>
    <t>ME</t>
  </si>
  <si>
    <t>Bureau Veritas</t>
  </si>
  <si>
    <t>Eurofins EnvironeX Laboratory</t>
  </si>
  <si>
    <t>Technical_Replicate_X_Result</t>
  </si>
  <si>
    <t>Technical_Replicate_X_CycleNo</t>
  </si>
  <si>
    <t>Elution Vol. (µL) (Sup/Tot)</t>
  </si>
  <si>
    <t>Elution Vol. (µL) (Solids)</t>
  </si>
  <si>
    <t>S_E484K_WT</t>
  </si>
  <si>
    <t>S_E484K_V</t>
  </si>
  <si>
    <t>N_D377Y_WT</t>
  </si>
  <si>
    <t>N_D377Y_V</t>
  </si>
  <si>
    <t>N200: Universal</t>
  </si>
  <si>
    <t>N200: Delta</t>
  </si>
  <si>
    <t>N200: Omicron/Alpha</t>
  </si>
  <si>
    <t>https://www.ontario.ca/page/protocol-analyzing-wastewater-samples</t>
  </si>
  <si>
    <t>Kraken Sense</t>
  </si>
  <si>
    <t>CHU-Dumont, Laboratoire de microbiologie</t>
  </si>
  <si>
    <t>Moncton</t>
  </si>
  <si>
    <t>Oakville</t>
  </si>
  <si>
    <t>NB</t>
  </si>
  <si>
    <t>Provincial Environmental Lab</t>
  </si>
  <si>
    <t>Public Health Lab</t>
  </si>
  <si>
    <t>Greater Sudbury</t>
  </si>
  <si>
    <t>Selwyn</t>
  </si>
  <si>
    <t>UQAR</t>
  </si>
  <si>
    <t>McMaster University - Li (Engineering)</t>
  </si>
  <si>
    <t>Rimouski</t>
  </si>
  <si>
    <t>Dilution Factor of wastewater sample (If Applicable)</t>
  </si>
  <si>
    <t>Dilution Factor post-extraction (if applicable)</t>
  </si>
  <si>
    <t>D3N_VAR (BA.5)</t>
  </si>
  <si>
    <t>L11F_WT (BA. 4)</t>
  </si>
  <si>
    <t>L11F_V (BA. 4)</t>
  </si>
  <si>
    <t>F157L_WT (BA. 2.75)</t>
  </si>
  <si>
    <t>F157L_V (BA. 2.75)</t>
  </si>
  <si>
    <t>D3N_WT (BA.5)</t>
  </si>
  <si>
    <t>S_L452_WT (BA. 2)</t>
  </si>
  <si>
    <t>S_L452_Q (BA. 2.12.1)</t>
  </si>
  <si>
    <t>S_L452_R (BA.4/5)</t>
  </si>
  <si>
    <t>N460K_WT (BA. 2.75)</t>
  </si>
  <si>
    <t>N460K_V (BA. 2.75)</t>
  </si>
  <si>
    <t>S413R_WT (BA. 2)</t>
  </si>
  <si>
    <t>S413R_V (BA. 2)</t>
  </si>
  <si>
    <t>S_N501Y_V (Omicron Total)</t>
  </si>
  <si>
    <t>SDel_VO (BA. 1)</t>
  </si>
  <si>
    <t>SDel_V (BA. 4/5)</t>
  </si>
  <si>
    <t>SDel_WT (BA. 4/5)</t>
  </si>
  <si>
    <t>S_N501Y_WT (Other)</t>
  </si>
  <si>
    <t>S69-70-WT (BA. 4/5)</t>
  </si>
  <si>
    <t>N200-R203M (Delta)</t>
  </si>
  <si>
    <t>N200-R203K (Omicron Total)</t>
  </si>
  <si>
    <t>Integer &gt; 0</t>
  </si>
  <si>
    <t>Decimal &gt; 0</t>
  </si>
  <si>
    <t>Decimal &gt; 0; if each biological/technical replicate has a unique ESV/CF, report them individually in the Notes column of the appropriate Sample and/or QC tabs</t>
  </si>
  <si>
    <t>Text</t>
  </si>
  <si>
    <t>Start here =&gt;</t>
  </si>
  <si>
    <t>Text; please note details of concentration steps taken (ie. Centrifugation, filtration, )</t>
  </si>
  <si>
    <t>PLEASE COMPLETE THE FOLLOWING METHOD SUMMARY (YELLOW HIGHLIGHTED CELLS)</t>
  </si>
  <si>
    <t>Cell Shading Legend</t>
  </si>
  <si>
    <t>User input required</t>
  </si>
  <si>
    <t>Excel calculated cells</t>
  </si>
  <si>
    <t>User required to input their unique Lab Code.  The date of sample generation and site ID will be pre-populated.</t>
  </si>
  <si>
    <t>Method_Summary</t>
  </si>
  <si>
    <t>Worksheet Name Key</t>
  </si>
  <si>
    <t>Read only cells for titles, labels, and descriptions</t>
  </si>
  <si>
    <t>Read only worksheet for reference</t>
  </si>
  <si>
    <t>Worksheet Tab Colour Legend</t>
  </si>
  <si>
    <t>Lab_Code</t>
  </si>
  <si>
    <t>Std_Curve_Calc</t>
  </si>
  <si>
    <t>Std_Curve_Summary</t>
  </si>
  <si>
    <t>ESV_CF_Calc</t>
  </si>
  <si>
    <t>Read_Me</t>
  </si>
  <si>
    <t>Std_Curve_Data</t>
  </si>
  <si>
    <t>Qualifier Flowchart</t>
  </si>
  <si>
    <t>Dropdown_Data</t>
  </si>
  <si>
    <t>Contains the data that populates the various dropdown lists.  If required new items can be added (please document in the Notes section of the applicable worksheet).</t>
  </si>
  <si>
    <t>Flowchart from, "Protocol for Evaluations of RT-qPCR Performance Characteristics" to assist with determining qualifiers.</t>
  </si>
  <si>
    <t>Contains name key and legends to assist user with input (this worksheet).</t>
  </si>
  <si>
    <t>Vienna</t>
  </si>
  <si>
    <t>Country</t>
  </si>
  <si>
    <t>United States</t>
  </si>
  <si>
    <t>Austria</t>
  </si>
  <si>
    <t>-</t>
  </si>
  <si>
    <t>Province/State</t>
  </si>
  <si>
    <t>Canada</t>
  </si>
  <si>
    <t>Quebec</t>
  </si>
  <si>
    <t>ENTER YOUR LAB_ID BASED ON THE TABLE BELOW:</t>
  </si>
  <si>
    <t>Input data about the laboratory methods used for analysis.</t>
  </si>
  <si>
    <t>Extraction Kits</t>
  </si>
  <si>
    <t>AllPrep PowerViral DNA/RNA Kit - QIAGEN</t>
  </si>
  <si>
    <t>Cepheid Xpert® Xpress SARS-CoV-2</t>
  </si>
  <si>
    <t>MagMAX™-96 Viral RNA Isolation Kit</t>
  </si>
  <si>
    <t>MagNA Pure 96 DNA and Viral NA Large Volume Kit</t>
  </si>
  <si>
    <t>NucleoMag RNA kit for magnetic bead based RNA purification</t>
  </si>
  <si>
    <t>NucliSENS® easyMag® | bioMérieux</t>
  </si>
  <si>
    <t>QIAamp Viral RNA mini kit - QIAprep&amp;amp Viral RNA mini kit</t>
  </si>
  <si>
    <t>Calculator</t>
  </si>
  <si>
    <t xml:space="preserve"> If you have any questions do not hesitate to contact our team at: </t>
  </si>
  <si>
    <r>
      <t xml:space="preserve">MELCC - </t>
    </r>
    <r>
      <rPr>
        <sz val="8"/>
        <color rgb="FF000000"/>
        <rFont val="Calibri"/>
        <family val="2"/>
        <scheme val="minor"/>
      </rPr>
      <t>Ministère de l'Environnement et de la Lutte contre les changements climatiques du Québec</t>
    </r>
  </si>
  <si>
    <t>Volume (before)</t>
  </si>
  <si>
    <t>Volume (after)</t>
  </si>
  <si>
    <t>Volume (taken for analysis)</t>
  </si>
  <si>
    <t>Mass after concentration</t>
  </si>
  <si>
    <t>Mass of concentrate used for RNA extraction</t>
  </si>
  <si>
    <t>Dilution factor (1 = no dilution)</t>
  </si>
  <si>
    <t>CF=</t>
  </si>
  <si>
    <t>Dry weight total solids concentration of wastewater before (measured)</t>
  </si>
  <si>
    <t>Dry weight total solids concentration of wastewater after (measured)</t>
  </si>
  <si>
    <t>Dry weight total solids concentration of wastewater in aliquot (calculated)</t>
  </si>
  <si>
    <t>Volume of the RNA solution after RNA extraction (i.e. the Eluate volume) (wet)</t>
  </si>
  <si>
    <t>Volume of diluted sample assayed (i.e. the template volume) (wet)</t>
  </si>
  <si>
    <t>Starting Volume</t>
  </si>
  <si>
    <t>Starting Total Solids Content</t>
  </si>
  <si>
    <t>Total Solids after removing aliquot for analysis</t>
  </si>
  <si>
    <t>Volume after removing aliquot for analysis</t>
  </si>
  <si>
    <t>Volume of aliquot taken for analysis</t>
  </si>
  <si>
    <t>Mass balance solids content of aliquot</t>
  </si>
  <si>
    <t>Total Solids content of aliquot</t>
  </si>
  <si>
    <t>The mass of the sample after concentration (wet)</t>
  </si>
  <si>
    <t>The mass of the sample used for analysis (wet)</t>
  </si>
  <si>
    <t>Volume of the original wastewater represented</t>
  </si>
  <si>
    <t>Dry weight solids based on mass balance in aliquot taken for analysis (calculated)</t>
  </si>
  <si>
    <t>The dry weight solids of the aliquot analyzed would have been derived from this original wastewater volume based on the original total solids concentration (calculated)</t>
  </si>
  <si>
    <t>N: Ingenetix</t>
  </si>
  <si>
    <t>Influenza A</t>
  </si>
  <si>
    <t>Influenza B</t>
  </si>
  <si>
    <t>RSV</t>
  </si>
  <si>
    <t>RSV A</t>
  </si>
  <si>
    <t>RSV B</t>
  </si>
  <si>
    <t>Influenza: M1</t>
  </si>
  <si>
    <t>RSV: N</t>
  </si>
  <si>
    <t>RSV: NS2</t>
  </si>
  <si>
    <t>Concatenated Plasmid</t>
  </si>
  <si>
    <t>in-house/g-block</t>
  </si>
  <si>
    <t>Influenza: NS</t>
  </si>
  <si>
    <t>Influenza_RSV_Gene(s)</t>
  </si>
  <si>
    <t>Toronto Metropolitan University</t>
  </si>
  <si>
    <t>TU Wien - Technische Universität Wien</t>
  </si>
  <si>
    <t xml:space="preserve">Date Processed/Concentrated: </t>
  </si>
  <si>
    <t>Date Extracted:</t>
  </si>
  <si>
    <t>Date Analyzed (quantification):</t>
  </si>
  <si>
    <t>Example of user input</t>
  </si>
  <si>
    <t>INSPQ</t>
  </si>
  <si>
    <t>Galenvs Sciences Inc.</t>
  </si>
  <si>
    <t xml:space="preserve">University of Iowa </t>
  </si>
  <si>
    <t>Saskatchewan Health Authority</t>
  </si>
  <si>
    <t>City/Region</t>
  </si>
  <si>
    <t>Coralville</t>
  </si>
  <si>
    <t>Forward Primer Sequence</t>
  </si>
  <si>
    <t>Reverse Primer Sequence</t>
  </si>
  <si>
    <t>Probe Sequence</t>
  </si>
  <si>
    <t xml:space="preserve">5' - </t>
  </si>
  <si>
    <t>- 3'</t>
  </si>
  <si>
    <t>Forward_Primer_Sequence</t>
  </si>
  <si>
    <t>GACCCCAAAATCAGCGAAAT</t>
  </si>
  <si>
    <t>dPCR</t>
  </si>
  <si>
    <t>ddPCR</t>
  </si>
  <si>
    <t>Reverse_Primer_Sequence</t>
  </si>
  <si>
    <t>Std. Material Quant.</t>
  </si>
  <si>
    <t>Other</t>
  </si>
  <si>
    <t>Not Verified</t>
  </si>
  <si>
    <t>No qualifier</t>
  </si>
  <si>
    <t>Negative control failed; sample concentration estimate reported (within linear range)</t>
  </si>
  <si>
    <t>Failed inhibition</t>
  </si>
  <si>
    <t>Addressed inhibition; sample concentration estimate reported</t>
  </si>
  <si>
    <t>Non-detect in sample</t>
  </si>
  <si>
    <t>Sample concentration estimate extrapolated</t>
  </si>
  <si>
    <t>Trace concentration detected</t>
  </si>
  <si>
    <t>TCTGGTTACTGCCAGTTGAATCTG</t>
  </si>
  <si>
    <t>F_5</t>
  </si>
  <si>
    <t>F_3</t>
  </si>
  <si>
    <t>R_5</t>
  </si>
  <si>
    <t>R_3</t>
  </si>
  <si>
    <t>P_5</t>
  </si>
  <si>
    <t>P_3</t>
  </si>
  <si>
    <t>FAM-ACCCCGCATTACGTTTGGTGGACC-BHQ1</t>
  </si>
  <si>
    <t>&lt;Add in "Dropdown_Data" Tab&gt;</t>
  </si>
  <si>
    <t>Method used to verify std. material quantity</t>
  </si>
  <si>
    <t>IA</t>
  </si>
  <si>
    <t>Probe_Sequence</t>
  </si>
  <si>
    <t>Quarrie</t>
  </si>
  <si>
    <t>N1/E</t>
  </si>
  <si>
    <t>FAM</t>
  </si>
  <si>
    <t>HEX</t>
  </si>
  <si>
    <t>Vircell</t>
  </si>
  <si>
    <t>VetMAX - Xeno</t>
  </si>
  <si>
    <t>Asuragen</t>
  </si>
  <si>
    <t>magnetiQ RNA/DNA Wastewater Extraction Kit - Galenvs</t>
  </si>
  <si>
    <t>Template_Volume_uL</t>
  </si>
  <si>
    <t>qPCR_Sample_Data</t>
  </si>
  <si>
    <t>dPCR_Sample_Data</t>
  </si>
  <si>
    <t>qPCR_QC_Data</t>
  </si>
  <si>
    <t>dPCR_QC_Data</t>
  </si>
  <si>
    <t>Platform</t>
  </si>
  <si>
    <t>qPCR - Input quality control data here.</t>
  </si>
  <si>
    <t>dPCR - Input quality control data here.</t>
  </si>
  <si>
    <t>qPCR - Input wastewater sample analysis data.  Please remember to input inhibition raw data as well.</t>
  </si>
  <si>
    <t xml:space="preserve">dPCR - Input wastewater sample analysis data.  </t>
  </si>
  <si>
    <t>Input raw data from standard curve calibrations.</t>
  </si>
  <si>
    <t>Summarize the raw standard curve calibrations.</t>
  </si>
  <si>
    <t>dPCR - specific worksheet</t>
  </si>
  <si>
    <t>Worksheet that requires user input (both dPCR and qPCR)</t>
  </si>
  <si>
    <t>qPCR - specific worksheet</t>
  </si>
  <si>
    <t>Please verify that data is inputted into the correct tabs based on the platform(s) used. qPCR platforms = BROWN tabs, dPCR = PURPLE tabs</t>
  </si>
  <si>
    <t>qPCR</t>
  </si>
  <si>
    <t>University of Alberta - Pang</t>
  </si>
  <si>
    <t>Morgan State University</t>
  </si>
  <si>
    <t>Baltimore</t>
  </si>
  <si>
    <t>MD</t>
  </si>
  <si>
    <t>25˚C (2 min.); 
50˚C (15 min.) [SARS-CoV-2], 30˚C (1 min.); 
55˚C (15 min.) [PMMoV]</t>
  </si>
  <si>
    <t>95˚C (2 min) [SARS-CoV-2]; 95˚C (2.5 min) [PMMoV];</t>
  </si>
  <si>
    <t>25˚C (2 min.);
50˚C (15 min.) [SARS-CoV-2 &amp; PMMoV]</t>
  </si>
  <si>
    <t>5 [SARS-CoV-2], 2 [PMMoV]</t>
  </si>
  <si>
    <t>Solids fraction analyzed? (Yes / No)</t>
  </si>
  <si>
    <t>If applicable:
Is the entire pellet processed? (Yes / No)</t>
  </si>
  <si>
    <t>Quantity In
Unit</t>
  </si>
  <si>
    <t>Particle-associated extraction method</t>
  </si>
  <si>
    <t>If applicable: Solids fraction analyzed separately (Yes / No)</t>
  </si>
  <si>
    <t>Volume of Diluent added to the elution volume (µL)</t>
  </si>
  <si>
    <t>Template Volume (µL)</t>
  </si>
  <si>
    <t>Final Reaction Volume (µL)</t>
  </si>
  <si>
    <t>Instrument threshold cycle</t>
  </si>
  <si>
    <t>Inhibition Indicator</t>
  </si>
  <si>
    <t>QUANTIFICATION</t>
  </si>
  <si>
    <t>RT-qPCR</t>
  </si>
  <si>
    <t>One-step or two-step</t>
  </si>
  <si>
    <t>One-step</t>
  </si>
  <si>
    <t>Instrument(s) &amp; plate type [if applicable]</t>
  </si>
  <si>
    <t>QuantStudio 3D Digital Real-Time PCR System</t>
  </si>
  <si>
    <t>Absolute Q™ 1-step RT-dPCR Master Mix (4X)</t>
  </si>
  <si>
    <t>Positive spike-in control within ±25% of the target content expected value</t>
  </si>
  <si>
    <t>Threshold to be deemed as inhibition</t>
  </si>
  <si>
    <t>Positive spike-in 25% lower than expected value</t>
  </si>
  <si>
    <t>RT-dPCR</t>
  </si>
  <si>
    <t>Start here ↓</t>
  </si>
  <si>
    <t>Enter here if more methods are used ↓</t>
  </si>
  <si>
    <t>IF RNA EXTRACT IS DILUTED (e.g., to address inhibition)</t>
  </si>
  <si>
    <t xml:space="preserve">RNA extracts stored at -80C prior to quantification.
</t>
  </si>
  <si>
    <t>PELLET-BASED METHOD EXTRACTION STEP</t>
  </si>
  <si>
    <t>EXTRACTION</t>
  </si>
  <si>
    <t>PREPARATION/CONCENTRATION</t>
  </si>
  <si>
    <t>Is this the method used in regular wastewater monitoring activities?</t>
  </si>
  <si>
    <t>SAMPLE PREPARATION, 
CONCENTRATION STEPS</t>
  </si>
  <si>
    <t>If not diluted then leave blank; Otherwise enter the actual volume of the water</t>
  </si>
  <si>
    <t>Auto-generated based on previous selection</t>
  </si>
  <si>
    <t>decimal &gt;0; if not diluted leave blank</t>
  </si>
  <si>
    <t>Volume of concentrate extracted
(µL)</t>
  </si>
  <si>
    <t>Instrument threshold: Automatic or Manual</t>
  </si>
  <si>
    <t>x</t>
  </si>
  <si>
    <t>20 [all targets]</t>
  </si>
  <si>
    <t>Storage / freezing of concentrates
Prior to extraction? (include temperature/condition)</t>
  </si>
  <si>
    <t>Storage / freezing of RNA extracts prior to quantification? (include temperature/condition)</t>
  </si>
  <si>
    <t>Standard curve parameters (copies/reaction as concentration units)</t>
  </si>
  <si>
    <t>Observed Ct</t>
  </si>
  <si>
    <t>Sample of interest concentration estimate</t>
  </si>
  <si>
    <t>copies</t>
  </si>
  <si>
    <t>reaction</t>
  </si>
  <si>
    <t>=</t>
  </si>
  <si>
    <t>Intercept</t>
  </si>
  <si>
    <t>mL wastewater</t>
  </si>
  <si>
    <t>Observed partitions</t>
  </si>
  <si>
    <t>Theoretical concentration estimate (manufacturer reported volume)</t>
  </si>
  <si>
    <t>positive partitions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</si>
  <si>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 reaction mixture</t>
    </r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</si>
  <si>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 template</t>
    </r>
  </si>
  <si>
    <t>valid partitions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</si>
  <si>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 template</t>
    </r>
  </si>
  <si>
    <t>if dPCR platform is used</t>
  </si>
  <si>
    <t>Volume of original wastewater represented by each µL of template</t>
  </si>
  <si>
    <t>µL</t>
  </si>
  <si>
    <t>total reaction mixture volume including template and mastermix</t>
  </si>
  <si>
    <t>Machine output concentration estimate (incorporates volume adjustment factor)</t>
  </si>
  <si>
    <t>nL</t>
  </si>
  <si>
    <t>Manufacturer reported partition volume</t>
  </si>
  <si>
    <t>#</t>
  </si>
  <si>
    <r>
      <t xml:space="preserve">Average number of </t>
    </r>
    <r>
      <rPr>
        <i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partitions</t>
    </r>
  </si>
  <si>
    <t>Average total analyzed reaction mixture volume</t>
  </si>
  <si>
    <r>
      <t xml:space="preserve">average non-analyzed volume (i.e., dead volume, </t>
    </r>
    <r>
      <rPr>
        <sz val="11"/>
        <color theme="1"/>
        <rFont val="Calibri"/>
        <family val="2"/>
      </rPr>
      <t>µL) - not used in concentration calculations</t>
    </r>
  </si>
  <si>
    <t>%</t>
  </si>
  <si>
    <t>average dead-volume  fraction of a PCR reaction that is loaded onto a dPCR plate or chip but is not transferred into the reaction compartments and is therefore not analyzed (%) - not used in concentration calculations</t>
  </si>
  <si>
    <t>Average volume of template actually processed in dPCR reaction (not used in concentration calculations)</t>
  </si>
  <si>
    <t>Average volume of original wastewater sample processed in dPCR reaction (impacts dPCR sensitivity)</t>
  </si>
  <si>
    <t>dESV =</t>
  </si>
  <si>
    <t>Average volume of template actually processed in dPCR reaction - not used in concentration calculations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</si>
  <si>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</si>
  <si>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Method relies on volumetric back-calculation of target concentration estimate in wastewater</t>
  </si>
  <si>
    <t>Method relies on mass-based back-calculation (using Total Solids) of target concentration estimate in wastewater</t>
  </si>
  <si>
    <r>
      <t xml:space="preserve">N.B. the ESV of the </t>
    </r>
    <r>
      <rPr>
        <i/>
        <sz val="11"/>
        <color theme="1"/>
        <rFont val="Calibri"/>
        <family val="2"/>
        <scheme val="minor"/>
      </rPr>
      <t>entire</t>
    </r>
    <r>
      <rPr>
        <sz val="11"/>
        <color theme="1"/>
        <rFont val="Calibri"/>
        <family val="2"/>
        <scheme val="minor"/>
      </rPr>
      <t xml:space="preserve"> template volume remains the same as that in qPCR.</t>
    </r>
  </si>
  <si>
    <t>CONCENTRATION ESTIMATE CALCULATION VERIFICATION</t>
  </si>
  <si>
    <t>Partitions</t>
  </si>
  <si>
    <t>Theoretical Calculated Conc. Estimate (gc/uL reaction mix)</t>
  </si>
  <si>
    <r>
      <t xml:space="preserve">Machine Calculated Conc. Estimate </t>
    </r>
    <r>
      <rPr>
        <b/>
        <i/>
        <sz val="11"/>
        <color rgb="FFFF0000"/>
        <rFont val="Calibri"/>
        <family val="2"/>
        <scheme val="minor"/>
      </rPr>
      <t>(gc/uL reaction mix)</t>
    </r>
  </si>
  <si>
    <t>Theoretical Calculated Conc. Estimate Using Machine Conc. Estimate (gc/mL WW)</t>
  </si>
  <si>
    <r>
      <t>Conc. Estimate</t>
    </r>
    <r>
      <rPr>
        <b/>
        <i/>
        <sz val="11"/>
        <color theme="5"/>
        <rFont val="Calibri"/>
        <family val="2"/>
        <scheme val="minor"/>
      </rPr>
      <t xml:space="preserve"> (gc/mL WW)</t>
    </r>
  </si>
  <si>
    <t>Percent difference (%)</t>
  </si>
  <si>
    <t>dESV (mL)</t>
  </si>
  <si>
    <t>Rxn_Mix_Total_Volume_uL</t>
  </si>
  <si>
    <t>ValidPartition_Rep_1</t>
  </si>
  <si>
    <t>PosPart_Rep_1</t>
  </si>
  <si>
    <t>NegPart_Rep_1</t>
  </si>
  <si>
    <t>ValidPartition_Rep_2</t>
  </si>
  <si>
    <t>PosPart_Rep_2</t>
  </si>
  <si>
    <t>NegPart_Rep_2</t>
  </si>
  <si>
    <t>ValidPartition_Rep_3</t>
  </si>
  <si>
    <t>PosPart_Rep_3</t>
  </si>
  <si>
    <t>NegPart_Rep_3</t>
  </si>
  <si>
    <t>Theo_Rep_1</t>
  </si>
  <si>
    <t>Theo_Rep_2</t>
  </si>
  <si>
    <t>Theo_Rep_3</t>
  </si>
  <si>
    <t>Theo_Rep_Result_1_mL</t>
  </si>
  <si>
    <t>Theo_Rep_Result_2_mL</t>
  </si>
  <si>
    <t>Theo_Rep_Result_3_mL</t>
  </si>
  <si>
    <t>MachTech_Rep_1_Result_uL</t>
  </si>
  <si>
    <t>MachTech_Rep_2_Result_uL</t>
  </si>
  <si>
    <t>MachTech_Rep_3_Result_uL</t>
  </si>
  <si>
    <t>Perc_Diff_1</t>
  </si>
  <si>
    <t>Perc_Diff_2</t>
  </si>
  <si>
    <t>Perc_Diff_3</t>
  </si>
  <si>
    <r>
      <t xml:space="preserve">Do </t>
    </r>
    <r>
      <rPr>
        <b/>
        <sz val="18"/>
        <color theme="1"/>
        <rFont val="Calibri"/>
        <family val="2"/>
        <scheme val="minor"/>
      </rPr>
      <t>NOT</t>
    </r>
    <r>
      <rPr>
        <sz val="18"/>
        <color theme="1"/>
        <rFont val="Calibri"/>
        <family val="2"/>
        <scheme val="minor"/>
      </rPr>
      <t xml:space="preserve"> use a different method code if the pre-analytical steps (i.e., concentration/extraction steps) are the same. For example, if two targets (PMMoV and SARS-CoV-2) are characterized from the </t>
    </r>
    <r>
      <rPr>
        <b/>
        <sz val="18"/>
        <color theme="1"/>
        <rFont val="Calibri"/>
        <family val="2"/>
        <scheme val="minor"/>
      </rPr>
      <t>SAME</t>
    </r>
    <r>
      <rPr>
        <sz val="18"/>
        <color theme="1"/>
        <rFont val="Calibri"/>
        <family val="2"/>
        <scheme val="minor"/>
      </rPr>
      <t xml:space="preserve"> RNA extract, the method is regarded as the </t>
    </r>
    <r>
      <rPr>
        <b/>
        <sz val="18"/>
        <color theme="1"/>
        <rFont val="Calibri"/>
        <family val="2"/>
        <scheme val="minor"/>
      </rPr>
      <t>same</t>
    </r>
    <r>
      <rPr>
        <sz val="18"/>
        <color theme="1"/>
        <rFont val="Calibri"/>
        <family val="2"/>
        <scheme val="minor"/>
      </rPr>
      <t xml:space="preserve"> and should be described in the </t>
    </r>
    <r>
      <rPr>
        <b/>
        <sz val="18"/>
        <color theme="1"/>
        <rFont val="Calibri"/>
        <family val="2"/>
        <scheme val="minor"/>
      </rPr>
      <t>same</t>
    </r>
    <r>
      <rPr>
        <sz val="18"/>
        <color theme="1"/>
        <rFont val="Calibri"/>
        <family val="2"/>
        <scheme val="minor"/>
      </rPr>
      <t xml:space="preserve"> method column entry. Differences in thermocycling conditions can be noted per the example. </t>
    </r>
  </si>
  <si>
    <t>Theoretical_Partition_Volume_nL</t>
  </si>
  <si>
    <t>var_name</t>
  </si>
  <si>
    <t>Method_ID</t>
  </si>
  <si>
    <t>Regular</t>
  </si>
  <si>
    <t>Solids_sep</t>
  </si>
  <si>
    <t>Pellet</t>
  </si>
  <si>
    <t>Conc_pipe</t>
  </si>
  <si>
    <t>WW_mL</t>
  </si>
  <si>
    <t>Dil_mL</t>
  </si>
  <si>
    <t>Conc_mL</t>
  </si>
  <si>
    <t>Prep_freeze</t>
  </si>
  <si>
    <t>Pellet_extract</t>
  </si>
  <si>
    <t>Pellet_quant</t>
  </si>
  <si>
    <t>Pellet_unit</t>
  </si>
  <si>
    <t>Pellet_elut</t>
  </si>
  <si>
    <t>Super_total</t>
  </si>
  <si>
    <t>Suptot_ext_uL</t>
  </si>
  <si>
    <t>Suptot_elut</t>
  </si>
  <si>
    <t>Extract_freeze</t>
  </si>
  <si>
    <t>Diluent_uL</t>
  </si>
  <si>
    <t>WW_dil_factor</t>
  </si>
  <si>
    <t>Ext_dil_factor</t>
  </si>
  <si>
    <t>qPCR_dPCR</t>
  </si>
  <si>
    <t>qPCR_inst</t>
  </si>
  <si>
    <t>qPCR_steps</t>
  </si>
  <si>
    <t>qPCR_RT</t>
  </si>
  <si>
    <t>qPCR_PA</t>
  </si>
  <si>
    <t>qPCR_denat</t>
  </si>
  <si>
    <t>qPCR_master</t>
  </si>
  <si>
    <t>qPCR_template</t>
  </si>
  <si>
    <t>qPCR_final_vol</t>
  </si>
  <si>
    <t>qPCR_thresh</t>
  </si>
  <si>
    <t>qPCR_thresh_cycle</t>
  </si>
  <si>
    <t>qPCR_inhib</t>
  </si>
  <si>
    <t>qPCR_inhib_desc</t>
  </si>
  <si>
    <t>qPCR_cycle_delay</t>
  </si>
  <si>
    <t>qPCR_control</t>
  </si>
  <si>
    <t>qPCR_control_desc</t>
  </si>
  <si>
    <t>dPCR_inst</t>
  </si>
  <si>
    <t>dPCR_steps</t>
  </si>
  <si>
    <t>dPCR_RT</t>
  </si>
  <si>
    <t>dPCR_PA</t>
  </si>
  <si>
    <t>dPCR_denat</t>
  </si>
  <si>
    <t>dPCR_master</t>
  </si>
  <si>
    <t>dPCR_template</t>
  </si>
  <si>
    <t>dPCR_final_vol</t>
  </si>
  <si>
    <t>dPCR_thresh</t>
  </si>
  <si>
    <t>dPCR_inhib</t>
  </si>
  <si>
    <t>dPCR_inhib_desc</t>
  </si>
  <si>
    <t>dPCR_inhib_thresh</t>
  </si>
  <si>
    <t>dPCR_control</t>
  </si>
  <si>
    <t>dPCR_control_desc</t>
  </si>
  <si>
    <t>Round</t>
  </si>
  <si>
    <t>Change Log</t>
  </si>
  <si>
    <t>Modified_by</t>
  </si>
  <si>
    <t>-dPCR specific sheets added
-ESV calculator re-done to consolidate and add dPCR
-Method summary sheet transposed for viewability improvement
-Method summary sheet had a variable name column added (hidden column D)
-green calculated columns protected (no password) to prevent inadvertant modification</t>
  </si>
  <si>
    <t>Alex Chik
Chris Adam</t>
  </si>
  <si>
    <t>Round_Date</t>
  </si>
  <si>
    <t>Calculator to assist with determination of ESV, dESV, and CF values.</t>
  </si>
  <si>
    <t>Alberta Precision Laboratories (Public Health Laboratory)</t>
  </si>
  <si>
    <t>Rey</t>
  </si>
  <si>
    <t>The volume/weight of the sample used for extraction (if entire pellet used, this volume matches "Volume after concentration"</t>
  </si>
  <si>
    <t>Verily</t>
  </si>
  <si>
    <t>Marshall University</t>
  </si>
  <si>
    <t>Huntington</t>
  </si>
  <si>
    <t>WV</t>
  </si>
  <si>
    <t>San Francisco</t>
  </si>
  <si>
    <t>CA</t>
  </si>
  <si>
    <t>decimal greater than 0 
OR text input for range of baslines, target-specific</t>
  </si>
  <si>
    <t>r</t>
  </si>
  <si>
    <t>MachTech_Rep_1_95percentLowBound_uL</t>
  </si>
  <si>
    <t>MachTech_Rep_1_95percentUpBound_uL</t>
  </si>
  <si>
    <t>MachTech_Rep_3_95percentLowBound_uL</t>
  </si>
  <si>
    <t>MachTech_Rep_3_95percentUpBound_uL</t>
  </si>
  <si>
    <t>MachTech_Rep_2_95percentUpBound_uL</t>
  </si>
  <si>
    <t>MachTech_Rep_2_95percentLowBound_uL</t>
  </si>
  <si>
    <t>Jane Ho
Chris Adam</t>
  </si>
  <si>
    <t>-added new participants
- removed RNA extract sheets from Quarrie round's one-off
per feedback from labs:
- clarified input type for Methods tab qPCR threshold cycles (confirmed no restriction on entering text vs. decimal value)
- added hover elaboration on concentrate volume in Methods tab
- added blank columns in dPCR_QC_data, dPCR_Sample_Data for 95% CI, moved calculated/check columns to the end
- edited validation lock on dPCR_QC_data to accept 0 partitions (prev. &gt;0)
-updated data validation restriction on Lab number
-added Qualifier dropdowns and notes for qPCR_QC_Data same as dPCR_QC_Data</t>
  </si>
  <si>
    <t>RNeasy PowerFecal Pro Kit - QIAGEN</t>
  </si>
  <si>
    <t>Skywalker</t>
  </si>
  <si>
    <t>Method Used</t>
  </si>
  <si>
    <t>Negative Partitions - Calculated</t>
  </si>
  <si>
    <t xml:space="preserve">
Chris Adam</t>
  </si>
  <si>
    <t>Sample condition:</t>
  </si>
  <si>
    <t>Public Health Ontario</t>
  </si>
  <si>
    <t xml:space="preserve">-fixed 'Method Used' dropdown list in all applicable sheets
-moved calculated validation check columns in dPCR_QC_Data to end same as dPCR_Sample_Data
-corrected dESV formula error in ESV_CF_Calc sheet
-remove internal standard curve plot sheet </t>
  </si>
  <si>
    <t>Rhode Island Department of Health</t>
  </si>
  <si>
    <t>State Public Health Lab</t>
  </si>
  <si>
    <t>Providence</t>
  </si>
  <si>
    <t>RI</t>
  </si>
  <si>
    <t>Tarkin</t>
  </si>
  <si>
    <t>Long-term_curve</t>
  </si>
  <si>
    <t>Concentration Estimate</t>
  </si>
  <si>
    <t>-added QMS header
-simplified redundant top rows in std_curve and _Data sheets for ease of data entry
-removed concatenated string columns from most worksheets and off-loaded to R to simplify data entry
-moved calculated Qualifier columns to after the 'Notes' columns for visibility
-changed visible comment bubbles that interfered with viewing to be popup tooltips when clicking on applicable cells
-added a 'Long-term_curve' column in Std_Curve_Summary to track participants using a long-term standard curve to quantify concentration estimates reported</t>
  </si>
  <si>
    <t xml:space="preserve">Welcome to OCWA's reporting template!  Below you will find naming keys and legends to assist you with data entry. </t>
  </si>
  <si>
    <t>Labstats@ocwa.com</t>
  </si>
  <si>
    <t>Unduli</t>
  </si>
  <si>
    <t>University of Prince Edward Island</t>
  </si>
  <si>
    <t>Charlottetown</t>
  </si>
  <si>
    <t>PEI</t>
  </si>
  <si>
    <t>SUPERNATANT/ TOTAL-BASED METHOD EXTRACTION STEP</t>
  </si>
  <si>
    <t>qPCR, dPCR, or both</t>
  </si>
  <si>
    <r>
      <t xml:space="preserve">   </t>
    </r>
    <r>
      <rPr>
        <b/>
        <sz val="14"/>
        <color theme="1"/>
        <rFont val="Calibri"/>
        <family val="2"/>
        <scheme val="minor"/>
      </rPr>
      <t>Notes</t>
    </r>
  </si>
  <si>
    <t xml:space="preserve">  Notes</t>
  </si>
  <si>
    <t>RNA-Extract</t>
  </si>
  <si>
    <t>ExtractRun-Mock</t>
  </si>
  <si>
    <t>ExtractRun-Extraction blank</t>
  </si>
  <si>
    <t>ExtractRun-Negative control</t>
  </si>
  <si>
    <t xml:space="preserve">ExtractRun-No reverse transcriptase </t>
  </si>
  <si>
    <t>ExtractRun-No template control</t>
  </si>
  <si>
    <t>ExtractRun-Positive control</t>
  </si>
  <si>
    <t>ExtractRun-Whole processing blank</t>
  </si>
  <si>
    <t>ExtractRun-Spiked extraction blank (229E &amp; MHV)</t>
  </si>
  <si>
    <t>-updated Round specific details
-updated lab ID list
-minor formatting tweaks on Method_Summary tab
-added RNA extract options to 'Type' and 'QC Type' dropdown menus</t>
  </si>
  <si>
    <t xml:space="preserve">
Chris Adam
Jane Ho</t>
  </si>
  <si>
    <t>CFX96 [SARS-CoV-2], QS5 [PMMoV]</t>
  </si>
  <si>
    <t>Samples are spiked with 200 copies of EDX SARS-CoV-2 Standard and the shift in Ct is compared to positive controls which only contain EDX template and no sample</t>
  </si>
  <si>
    <t>&gt;1 cycle from expected</t>
  </si>
  <si>
    <t>N/A</t>
  </si>
  <si>
    <t>QuantStudio Absolute Q Digital PCR System (Applied Biosystems)</t>
  </si>
  <si>
    <t>1,2,3</t>
  </si>
  <si>
    <t>Influenza A and B</t>
  </si>
  <si>
    <t xml:space="preserve">4-6 °C </t>
  </si>
  <si>
    <t xml:space="preserve">Waste Water RNA Extract </t>
  </si>
  <si>
    <t>OCWA_Notes</t>
  </si>
  <si>
    <t>both</t>
  </si>
  <si>
    <t>SampleLab</t>
  </si>
  <si>
    <t>Somewhere</t>
  </si>
  <si>
    <t>Here</t>
  </si>
  <si>
    <t>There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</si>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</sst>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0;\-###0.00"/>
    <numFmt numFmtId="165" formatCode="0.000"/>
    <numFmt numFmtId="166" formatCode="0.0"/>
    <numFmt numFmtId="167" formatCode="yyyy\-mm\-dd;@"/>
    <numFmt numFmtId="168" formatCode="#,##0.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sz val="10"/>
      <color rgb="FF242424"/>
      <name val="Segoe UI"/>
      <family val="2"/>
    </font>
    <font>
      <sz val="11"/>
      <color rgb="FF242424"/>
      <name val="Calibri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24"/>
      <color theme="10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B4A1CF"/>
        <bgColor indexed="64"/>
      </patternFill>
    </fill>
    <fill>
      <patternFill patternType="solid">
        <fgColor rgb="FFD4B7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/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thick">
        <color theme="5" tint="-0.499984740745262"/>
      </right>
      <top/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/>
      <right style="thick">
        <color theme="5" tint="-0.499984740745262"/>
      </right>
      <top/>
      <bottom/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3" fillId="0" borderId="0" xfId="1" applyFont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2" fillId="0" borderId="0" xfId="1"/>
    <xf numFmtId="0" fontId="1" fillId="0" borderId="0" xfId="0" applyFont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49" fontId="5" fillId="0" borderId="1" xfId="0" applyNumberFormat="1" applyFont="1" applyBorder="1" applyAlignment="1">
      <alignment horizontal="justify" vertic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justify" vertical="center" wrapText="1"/>
    </xf>
    <xf numFmtId="0" fontId="2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49" fontId="5" fillId="0" borderId="6" xfId="0" applyNumberFormat="1" applyFont="1" applyBorder="1" applyAlignment="1">
      <alignment horizontal="justify" vertical="center" wrapText="1"/>
    </xf>
    <xf numFmtId="0" fontId="0" fillId="0" borderId="6" xfId="0" applyBorder="1" applyAlignment="1">
      <alignment wrapText="1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4" fillId="0" borderId="0" xfId="0" applyFont="1"/>
    <xf numFmtId="0" fontId="0" fillId="3" borderId="1" xfId="0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6" fontId="0" fillId="2" borderId="1" xfId="0" applyNumberForma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7" borderId="1" xfId="0" applyFill="1" applyBorder="1"/>
    <xf numFmtId="0" fontId="0" fillId="6" borderId="1" xfId="0" applyFill="1" applyBorder="1" applyProtection="1">
      <protection locked="0"/>
    </xf>
    <xf numFmtId="49" fontId="0" fillId="6" borderId="1" xfId="0" applyNumberFormat="1" applyFill="1" applyBorder="1" applyProtection="1">
      <protection locked="0"/>
    </xf>
    <xf numFmtId="22" fontId="0" fillId="7" borderId="1" xfId="0" applyNumberFormat="1" applyFill="1" applyBorder="1"/>
    <xf numFmtId="22" fontId="1" fillId="7" borderId="1" xfId="0" applyNumberFormat="1" applyFont="1" applyFill="1" applyBorder="1"/>
    <xf numFmtId="164" fontId="0" fillId="6" borderId="1" xfId="0" applyNumberForma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11" fontId="0" fillId="6" borderId="1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 applyProtection="1">
      <alignment horizontal="right"/>
      <protection locked="0"/>
    </xf>
    <xf numFmtId="0" fontId="1" fillId="0" borderId="1" xfId="0" quotePrefix="1" applyFont="1" applyBorder="1" applyAlignment="1">
      <alignment horizontal="center" wrapText="1"/>
    </xf>
    <xf numFmtId="0" fontId="0" fillId="0" borderId="0" xfId="0" applyAlignment="1" applyProtection="1">
      <alignment wrapText="1"/>
      <protection locked="0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 applyProtection="1">
      <alignment horizontal="left" wrapText="1"/>
      <protection locked="0"/>
    </xf>
    <xf numFmtId="0" fontId="9" fillId="0" borderId="0" xfId="0" applyFont="1" applyAlignment="1">
      <alignment horizontal="left" vertical="center"/>
    </xf>
    <xf numFmtId="0" fontId="0" fillId="9" borderId="1" xfId="0" applyFill="1" applyBorder="1"/>
    <xf numFmtId="0" fontId="0" fillId="10" borderId="1" xfId="0" applyFill="1" applyBorder="1"/>
    <xf numFmtId="0" fontId="30" fillId="0" borderId="0" xfId="0" applyFont="1" applyAlignment="1" applyProtection="1">
      <alignment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0" fillId="4" borderId="0" xfId="0" applyFill="1" applyProtection="1">
      <protection locked="0"/>
    </xf>
    <xf numFmtId="0" fontId="34" fillId="0" borderId="0" xfId="0" applyFont="1" applyProtection="1"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9" fillId="0" borderId="0" xfId="0" applyFont="1" applyProtection="1">
      <protection locked="0"/>
    </xf>
    <xf numFmtId="0" fontId="0" fillId="11" borderId="0" xfId="0" applyFill="1"/>
    <xf numFmtId="2" fontId="0" fillId="11" borderId="0" xfId="0" applyNumberFormat="1" applyFill="1"/>
    <xf numFmtId="0" fontId="0" fillId="11" borderId="10" xfId="0" applyFill="1" applyBorder="1"/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1" fillId="9" borderId="0" xfId="0" applyFont="1" applyFill="1"/>
    <xf numFmtId="0" fontId="0" fillId="9" borderId="0" xfId="0" applyFill="1"/>
    <xf numFmtId="2" fontId="1" fillId="9" borderId="0" xfId="0" applyNumberFormat="1" applyFont="1" applyFill="1"/>
    <xf numFmtId="0" fontId="0" fillId="9" borderId="10" xfId="0" applyFill="1" applyBorder="1"/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vertical="center"/>
    </xf>
    <xf numFmtId="0" fontId="0" fillId="10" borderId="10" xfId="0" applyFill="1" applyBorder="1"/>
    <xf numFmtId="2" fontId="0" fillId="10" borderId="0" xfId="0" applyNumberFormat="1" applyFill="1"/>
    <xf numFmtId="0" fontId="9" fillId="0" borderId="0" xfId="0" applyFont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6" xfId="0" applyFill="1" applyBorder="1" applyAlignment="1">
      <alignment vertical="center" wrapText="1"/>
    </xf>
    <xf numFmtId="165" fontId="1" fillId="2" borderId="0" xfId="0" applyNumberFormat="1" applyFont="1" applyFill="1"/>
    <xf numFmtId="165" fontId="0" fillId="0" borderId="0" xfId="0" applyNumberFormat="1"/>
    <xf numFmtId="165" fontId="1" fillId="0" borderId="0" xfId="0" applyNumberFormat="1" applyFont="1"/>
    <xf numFmtId="0" fontId="0" fillId="10" borderId="0" xfId="0" applyFill="1" applyAlignment="1">
      <alignment vertical="center" wrapText="1"/>
    </xf>
    <xf numFmtId="0" fontId="1" fillId="10" borderId="0" xfId="0" applyFont="1" applyFill="1" applyAlignment="1">
      <alignment horizontal="right"/>
    </xf>
    <xf numFmtId="0" fontId="0" fillId="0" borderId="14" xfId="0" applyBorder="1" applyAlignment="1">
      <alignment vertical="center"/>
    </xf>
    <xf numFmtId="0" fontId="1" fillId="9" borderId="17" xfId="0" applyFont="1" applyFill="1" applyBorder="1"/>
    <xf numFmtId="0" fontId="0" fillId="0" borderId="19" xfId="0" applyBorder="1" applyAlignment="1">
      <alignment vertical="center" wrapText="1"/>
    </xf>
    <xf numFmtId="0" fontId="0" fillId="10" borderId="20" xfId="0" applyFill="1" applyBorder="1" applyAlignment="1">
      <alignment vertical="center" wrapText="1"/>
    </xf>
    <xf numFmtId="0" fontId="0" fillId="10" borderId="21" xfId="0" applyFill="1" applyBorder="1"/>
    <xf numFmtId="0" fontId="0" fillId="0" borderId="21" xfId="0" applyBorder="1"/>
    <xf numFmtId="0" fontId="0" fillId="10" borderId="22" xfId="0" applyFill="1" applyBorder="1"/>
    <xf numFmtId="0" fontId="0" fillId="10" borderId="23" xfId="0" applyFill="1" applyBorder="1"/>
    <xf numFmtId="0" fontId="1" fillId="10" borderId="23" xfId="0" applyFont="1" applyFill="1" applyBorder="1"/>
    <xf numFmtId="0" fontId="0" fillId="10" borderId="24" xfId="0" applyFill="1" applyBorder="1"/>
    <xf numFmtId="0" fontId="1" fillId="10" borderId="0" xfId="0" applyFont="1" applyFill="1" applyAlignment="1">
      <alignment horizontal="center"/>
    </xf>
    <xf numFmtId="0" fontId="1" fillId="9" borderId="26" xfId="0" applyFont="1" applyFill="1" applyBorder="1"/>
    <xf numFmtId="0" fontId="1" fillId="0" borderId="27" xfId="0" applyFont="1" applyBorder="1"/>
    <xf numFmtId="0" fontId="0" fillId="10" borderId="30" xfId="0" applyFill="1" applyBorder="1" applyAlignment="1">
      <alignment vertical="center" wrapText="1"/>
    </xf>
    <xf numFmtId="0" fontId="0" fillId="10" borderId="28" xfId="0" applyFill="1" applyBorder="1" applyAlignment="1">
      <alignment vertical="center" wrapText="1"/>
    </xf>
    <xf numFmtId="0" fontId="0" fillId="10" borderId="29" xfId="0" applyFill="1" applyBorder="1"/>
    <xf numFmtId="0" fontId="0" fillId="9" borderId="31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0" fillId="9" borderId="32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165" fontId="0" fillId="11" borderId="0" xfId="0" applyNumberFormat="1" applyFill="1"/>
    <xf numFmtId="0" fontId="1" fillId="0" borderId="21" xfId="0" applyFont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27" xfId="0" applyBorder="1"/>
    <xf numFmtId="2" fontId="0" fillId="2" borderId="1" xfId="0" applyNumberFormat="1" applyFill="1" applyBorder="1" applyProtection="1">
      <protection locked="0"/>
    </xf>
    <xf numFmtId="0" fontId="28" fillId="13" borderId="3" xfId="0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9" fillId="0" borderId="0" xfId="0" applyFont="1"/>
    <xf numFmtId="0" fontId="32" fillId="13" borderId="3" xfId="0" applyFont="1" applyFill="1" applyBorder="1" applyAlignment="1">
      <alignment vertical="center" wrapText="1"/>
    </xf>
    <xf numFmtId="0" fontId="28" fillId="13" borderId="3" xfId="0" applyFont="1" applyFill="1" applyBorder="1" applyAlignment="1">
      <alignment horizontal="center" vertical="center" wrapText="1"/>
    </xf>
    <xf numFmtId="0" fontId="28" fillId="13" borderId="3" xfId="0" applyFont="1" applyFill="1" applyBorder="1" applyAlignment="1">
      <alignment vertical="center" wrapText="1"/>
    </xf>
    <xf numFmtId="0" fontId="32" fillId="4" borderId="11" xfId="0" applyFont="1" applyFill="1" applyBorder="1" applyAlignment="1">
      <alignment horizontal="center" vertical="center" textRotation="90" wrapText="1"/>
    </xf>
    <xf numFmtId="0" fontId="0" fillId="7" borderId="1" xfId="0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vertical="center"/>
      <protection locked="0"/>
    </xf>
    <xf numFmtId="0" fontId="0" fillId="6" borderId="6" xfId="0" applyFill="1" applyBorder="1" applyAlignment="1" applyProtection="1">
      <alignment vertical="center"/>
      <protection locked="0"/>
    </xf>
    <xf numFmtId="0" fontId="0" fillId="7" borderId="4" xfId="0" applyFill="1" applyBorder="1" applyAlignment="1" applyProtection="1">
      <alignment vertical="center"/>
      <protection locked="0"/>
    </xf>
    <xf numFmtId="0" fontId="0" fillId="6" borderId="4" xfId="0" applyFill="1" applyBorder="1" applyAlignment="1" applyProtection="1">
      <alignment vertical="center"/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49" fontId="1" fillId="0" borderId="0" xfId="0" applyNumberFormat="1" applyFont="1" applyProtection="1"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15" fillId="0" borderId="0" xfId="0" applyFont="1" applyAlignment="1" applyProtection="1">
      <alignment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0" applyFont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quotePrefix="1" applyAlignment="1">
      <alignment wrapText="1"/>
    </xf>
    <xf numFmtId="2" fontId="0" fillId="6" borderId="1" xfId="0" applyNumberFormat="1" applyFill="1" applyBorder="1" applyProtection="1">
      <protection locked="0"/>
    </xf>
    <xf numFmtId="167" fontId="1" fillId="0" borderId="0" xfId="0" applyNumberFormat="1" applyFont="1"/>
    <xf numFmtId="167" fontId="0" fillId="0" borderId="0" xfId="0" applyNumberFormat="1"/>
    <xf numFmtId="0" fontId="27" fillId="0" borderId="0" xfId="0" applyFont="1" applyAlignment="1">
      <alignment wrapText="1"/>
    </xf>
    <xf numFmtId="2" fontId="0" fillId="3" borderId="1" xfId="0" applyNumberFormat="1" applyFill="1" applyBorder="1" applyAlignment="1">
      <alignment wrapText="1"/>
    </xf>
    <xf numFmtId="165" fontId="0" fillId="6" borderId="1" xfId="0" applyNumberFormat="1" applyFill="1" applyBorder="1" applyProtection="1">
      <protection locked="0"/>
    </xf>
    <xf numFmtId="165" fontId="0" fillId="3" borderId="1" xfId="0" applyNumberFormat="1" applyFill="1" applyBorder="1" applyAlignment="1">
      <alignment wrapText="1"/>
    </xf>
    <xf numFmtId="165" fontId="0" fillId="6" borderId="1" xfId="0" applyNumberForma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wrapText="1"/>
    </xf>
    <xf numFmtId="0" fontId="0" fillId="3" borderId="6" xfId="0" applyFill="1" applyBorder="1"/>
    <xf numFmtId="0" fontId="1" fillId="0" borderId="33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3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3" borderId="0" xfId="0" applyFont="1" applyFill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0" fontId="7" fillId="0" borderId="1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36" fillId="2" borderId="0" xfId="0" applyFont="1" applyFill="1" applyAlignment="1">
      <alignment vertical="center" wrapText="1"/>
    </xf>
    <xf numFmtId="0" fontId="1" fillId="16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 applyProtection="1">
      <alignment vertical="center" wrapText="1"/>
      <protection locked="0"/>
    </xf>
    <xf numFmtId="0" fontId="9" fillId="4" borderId="13" xfId="0" applyFont="1" applyFill="1" applyBorder="1" applyAlignment="1">
      <alignment horizontal="center" vertical="center"/>
    </xf>
    <xf numFmtId="0" fontId="1" fillId="0" borderId="3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38" xfId="0" applyFont="1" applyBorder="1" applyAlignment="1">
      <alignment wrapText="1"/>
    </xf>
    <xf numFmtId="0" fontId="0" fillId="17" borderId="0" xfId="0" applyFill="1" applyProtection="1">
      <protection locked="0"/>
    </xf>
    <xf numFmtId="49" fontId="0" fillId="17" borderId="0" xfId="0" applyNumberFormat="1" applyFill="1" applyAlignment="1" applyProtection="1">
      <alignment horizontal="center" vertical="center"/>
      <protection locked="0"/>
    </xf>
    <xf numFmtId="168" fontId="0" fillId="0" borderId="0" xfId="0" applyNumberFormat="1"/>
    <xf numFmtId="0" fontId="6" fillId="18" borderId="1" xfId="0" applyFont="1" applyFill="1" applyBorder="1" applyAlignment="1" applyProtection="1">
      <alignment horizontal="center"/>
      <protection locked="0"/>
    </xf>
    <xf numFmtId="0" fontId="6" fillId="19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left"/>
      <protection locked="0"/>
    </xf>
    <xf numFmtId="168" fontId="0" fillId="7" borderId="1" xfId="0" applyNumberFormat="1" applyFill="1" applyBorder="1"/>
    <xf numFmtId="0" fontId="0" fillId="7" borderId="1" xfId="0" applyFill="1" applyBorder="1" applyProtection="1">
      <protection locked="0"/>
    </xf>
    <xf numFmtId="165" fontId="0" fillId="7" borderId="1" xfId="0" applyNumberFormat="1" applyFill="1" applyBorder="1" applyProtection="1">
      <protection locked="0"/>
    </xf>
    <xf numFmtId="164" fontId="39" fillId="0" borderId="39" xfId="0" applyNumberFormat="1" applyFont="1" applyBorder="1" applyAlignment="1">
      <alignment horizontal="center" vertical="center"/>
    </xf>
    <xf numFmtId="164" fontId="39" fillId="0" borderId="1" xfId="0" applyNumberFormat="1" applyFont="1" applyBorder="1" applyAlignment="1">
      <alignment horizontal="center" vertical="center"/>
    </xf>
    <xf numFmtId="164" fontId="39" fillId="6" borderId="1" xfId="0" applyNumberFormat="1" applyFont="1" applyFill="1" applyBorder="1" applyAlignment="1">
      <alignment horizontal="center" vertical="center"/>
    </xf>
    <xf numFmtId="164" fontId="39" fillId="6" borderId="39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6" borderId="1" xfId="0" applyFill="1" applyBorder="1"/>
    <xf numFmtId="0" fontId="6" fillId="0" borderId="0" xfId="0" applyFont="1"/>
    <xf numFmtId="2" fontId="0" fillId="6" borderId="1" xfId="0" applyNumberFormat="1" applyFill="1" applyBorder="1"/>
    <xf numFmtId="2" fontId="0" fillId="0" borderId="1" xfId="0" applyNumberFormat="1" applyBorder="1"/>
    <xf numFmtId="2" fontId="0" fillId="6" borderId="1" xfId="0" applyNumberFormat="1" applyFill="1" applyBorder="1" applyAlignment="1" applyProtection="1">
      <alignment horizontal="center"/>
      <protection locked="0"/>
    </xf>
    <xf numFmtId="0" fontId="0" fillId="2" borderId="1" xfId="0" applyFont="1" applyFill="1" applyBorder="1"/>
    <xf numFmtId="0" fontId="0" fillId="6" borderId="1" xfId="0" applyFont="1" applyFill="1" applyBorder="1" applyProtection="1">
      <protection locked="0"/>
    </xf>
    <xf numFmtId="49" fontId="0" fillId="6" borderId="1" xfId="0" applyNumberFormat="1" applyFont="1" applyFill="1" applyBorder="1" applyProtection="1">
      <protection locked="0"/>
    </xf>
    <xf numFmtId="2" fontId="0" fillId="6" borderId="1" xfId="0" applyNumberFormat="1" applyFont="1" applyFill="1" applyBorder="1" applyProtection="1">
      <protection locked="0"/>
    </xf>
    <xf numFmtId="165" fontId="0" fillId="6" borderId="1" xfId="0" applyNumberFormat="1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0" borderId="0" xfId="0" applyFont="1" applyProtection="1">
      <protection locked="0"/>
    </xf>
    <xf numFmtId="0" fontId="0" fillId="20" borderId="0" xfId="0" applyFill="1" applyProtection="1">
      <protection locked="0"/>
    </xf>
    <xf numFmtId="0" fontId="0" fillId="20" borderId="0" xfId="0" applyFill="1" applyAlignment="1" applyProtection="1">
      <alignment wrapText="1"/>
      <protection locked="0"/>
    </xf>
    <xf numFmtId="0" fontId="37" fillId="8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27" fillId="0" borderId="0" xfId="0" applyFont="1" applyAlignment="1">
      <alignment horizontal="left" wrapText="1"/>
    </xf>
    <xf numFmtId="0" fontId="9" fillId="14" borderId="11" xfId="0" applyFont="1" applyFill="1" applyBorder="1" applyAlignment="1">
      <alignment horizontal="center" vertical="center" textRotation="90" wrapText="1"/>
    </xf>
    <xf numFmtId="0" fontId="9" fillId="14" borderId="12" xfId="0" applyFont="1" applyFill="1" applyBorder="1" applyAlignment="1">
      <alignment horizontal="center" vertical="center" textRotation="90" wrapText="1"/>
    </xf>
    <xf numFmtId="0" fontId="9" fillId="10" borderId="11" xfId="0" applyFont="1" applyFill="1" applyBorder="1" applyAlignment="1">
      <alignment horizontal="center" vertical="center" textRotation="90"/>
    </xf>
    <xf numFmtId="0" fontId="9" fillId="9" borderId="11" xfId="0" applyFont="1" applyFill="1" applyBorder="1" applyAlignment="1">
      <alignment horizontal="center" vertical="center" textRotation="90"/>
    </xf>
    <xf numFmtId="0" fontId="32" fillId="12" borderId="11" xfId="0" applyFont="1" applyFill="1" applyBorder="1" applyAlignment="1">
      <alignment horizontal="center" vertical="center" textRotation="90" wrapText="1"/>
    </xf>
    <xf numFmtId="0" fontId="32" fillId="13" borderId="11" xfId="0" applyFont="1" applyFill="1" applyBorder="1" applyAlignment="1">
      <alignment horizontal="center" vertical="center" textRotation="90" wrapText="1"/>
    </xf>
    <xf numFmtId="0" fontId="33" fillId="2" borderId="11" xfId="0" applyFont="1" applyFill="1" applyBorder="1" applyAlignment="1">
      <alignment horizontal="center" vertical="center" textRotation="90" wrapText="1"/>
    </xf>
    <xf numFmtId="0" fontId="30" fillId="0" borderId="0" xfId="0" applyFont="1" applyAlignment="1" applyProtection="1">
      <alignment horizontal="left" wrapText="1"/>
      <protection locked="0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32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38" fillId="0" borderId="32" xfId="0" applyFont="1" applyBorder="1" applyAlignment="1">
      <alignment horizontal="left" wrapText="1"/>
    </xf>
    <xf numFmtId="0" fontId="38" fillId="0" borderId="6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0" fontId="1" fillId="10" borderId="0" xfId="0" applyFont="1" applyFill="1" applyAlignment="1">
      <alignment horizontal="center" wrapText="1"/>
    </xf>
    <xf numFmtId="0" fontId="35" fillId="15" borderId="0" xfId="0" applyFont="1" applyFill="1" applyAlignment="1">
      <alignment horizontal="center" vertical="center" textRotation="90" wrapText="1"/>
    </xf>
    <xf numFmtId="0" fontId="27" fillId="0" borderId="0" xfId="0" applyFont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0" fillId="9" borderId="27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1" fillId="0" borderId="36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2" xfId="0" applyFill="1" applyBorder="1"/>
  </cellXfs>
  <cellStyles count="2">
    <cellStyle name="Hyperlink" xfId="1" builtinId="8"/>
    <cellStyle name="Normal" xfId="0" builtinId="0"/>
  </cellStyles>
  <dxfs count="3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numFmt numFmtId="167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797"/>
        </patternFill>
      </fill>
    </dxf>
    <dxf>
      <fill>
        <patternFill>
          <bgColor theme="7" tint="0.39994506668294322"/>
        </patternFill>
      </fill>
    </dxf>
    <dxf>
      <fill>
        <patternFill>
          <bgColor rgb="FFFF97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4A1CF"/>
      <color rgb="FFD4B79C"/>
      <color rgb="FFDDFFAB"/>
      <color rgb="FFA568D2"/>
      <color rgb="FFFEE2FB"/>
      <color rgb="FFFF9797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99060</xdr:rowOff>
    </xdr:from>
    <xdr:to>
      <xdr:col>7</xdr:col>
      <xdr:colOff>304800</xdr:colOff>
      <xdr:row>2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73240" y="99060"/>
          <a:ext cx="2872740" cy="381000"/>
        </a:xfrm>
        <a:prstGeom prst="rect">
          <a:avLst/>
        </a:prstGeom>
        <a:solidFill>
          <a:schemeClr val="lt1"/>
        </a:solidFill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Please report </a:t>
          </a:r>
          <a:r>
            <a:rPr lang="en-CA" sz="1400" u="sng"/>
            <a:t>inhibition control</a:t>
          </a:r>
          <a:r>
            <a:rPr lang="en-CA" sz="1400"/>
            <a:t> raw data</a:t>
          </a:r>
          <a:r>
            <a:rPr lang="en-CA" sz="1400" baseline="0"/>
            <a:t> in this tab</a:t>
          </a:r>
          <a:endParaRPr lang="en-CA" sz="1400"/>
        </a:p>
      </xdr:txBody>
    </xdr:sp>
    <xdr:clientData/>
  </xdr:twoCellAnchor>
  <xdr:twoCellAnchor>
    <xdr:from>
      <xdr:col>7</xdr:col>
      <xdr:colOff>579120</xdr:colOff>
      <xdr:row>0</xdr:row>
      <xdr:rowOff>68580</xdr:rowOff>
    </xdr:from>
    <xdr:to>
      <xdr:col>15</xdr:col>
      <xdr:colOff>764570</xdr:colOff>
      <xdr:row>2</xdr:row>
      <xdr:rowOff>129540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330940" y="68580"/>
          <a:ext cx="1089917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Q: I need to report something not included in the drop-down menu. How can I do this?</a:t>
          </a:r>
          <a:endParaRPr lang="en-CA">
            <a:solidFill>
              <a:sysClr val="windowText" lastClr="000000"/>
            </a:solidFill>
            <a:effectLst/>
          </a:endParaRPr>
        </a:p>
        <a:p>
          <a:pPr rtl="0" eaLnBrk="1" latinLnBrk="0" hangingPunct="1"/>
          <a:r>
            <a:rPr lang="en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A: To add more items, go to the “Dropdown_Data” spreadsheet tab, then find the appropriate category  to edit (by adding new values below</a:t>
          </a:r>
          <a:r>
            <a:rPr lang="en-CA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existing items). Once added,</a:t>
          </a:r>
          <a:r>
            <a:rPr lang="en-CA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return </a:t>
          </a:r>
          <a:r>
            <a:rPr lang="en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the original cell to input the information</a:t>
          </a:r>
          <a:r>
            <a:rPr lang="en-CA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CA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431860</xdr:colOff>
      <xdr:row>3</xdr:row>
      <xdr:rowOff>53875</xdr:rowOff>
    </xdr:from>
    <xdr:to>
      <xdr:col>35</xdr:col>
      <xdr:colOff>191850</xdr:colOff>
      <xdr:row>20</xdr:row>
      <xdr:rowOff>113658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6213" y="823346"/>
          <a:ext cx="8336225" cy="3234783"/>
        </a:xfrm>
        <a:prstGeom prst="rect">
          <a:avLst/>
        </a:prstGeom>
      </xdr:spPr>
    </xdr:pic>
    <xdr:clientData/>
  </xdr:twoCellAnchor>
  <xdr:twoCellAnchor editAs="oneCell">
    <xdr:from>
      <xdr:col>0</xdr:col>
      <xdr:colOff>481853</xdr:colOff>
      <xdr:row>3</xdr:row>
      <xdr:rowOff>56029</xdr:rowOff>
    </xdr:from>
    <xdr:to>
      <xdr:col>21</xdr:col>
      <xdr:colOff>15715</xdr:colOff>
      <xdr:row>45</xdr:row>
      <xdr:rowOff>19040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853" y="627529"/>
          <a:ext cx="12241333" cy="79640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6" totalsRowShown="0" headerRowDxfId="7">
  <autoFilter ref="A1:D6"/>
  <tableColumns count="4">
    <tableColumn id="1" name="Round"/>
    <tableColumn id="2" name="Round_Date" dataDxfId="6"/>
    <tableColumn id="3" name="Change Log"/>
    <tableColumn id="4" name="Modified_b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bstats@ocwa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www.ontario.ca/page/protocol-analyzing-wastewater-samples" TargetMode="Externa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2"/>
  <sheetViews>
    <sheetView zoomScale="115" zoomScaleNormal="115" workbookViewId="0"/>
  </sheetViews>
  <sheetFormatPr defaultColWidth="8.77734375" defaultRowHeight="14.4" x14ac:dyDescent="0.3"/>
  <cols>
    <col min="1" max="1" width="26.109375" customWidth="1"/>
    <col min="2" max="2" width="20.109375" customWidth="1"/>
    <col min="4" max="4" width="9.44140625" customWidth="1"/>
    <col min="15" max="15" width="13.44140625" customWidth="1"/>
  </cols>
  <sheetData>
    <row r="1" spans="1:16" x14ac:dyDescent="0.3">
      <c r="A1" s="1" t="s">
        <v>684</v>
      </c>
      <c r="P1" s="20"/>
    </row>
    <row r="2" spans="1:16" x14ac:dyDescent="0.3">
      <c r="A2" s="1" t="s">
        <v>368</v>
      </c>
      <c r="E2" s="20" t="s">
        <v>685</v>
      </c>
      <c r="P2" s="20"/>
    </row>
    <row r="4" spans="1:16" x14ac:dyDescent="0.3">
      <c r="A4" s="1" t="s">
        <v>474</v>
      </c>
    </row>
    <row r="6" spans="1:16" x14ac:dyDescent="0.3">
      <c r="A6" s="1" t="s">
        <v>334</v>
      </c>
    </row>
    <row r="7" spans="1:16" x14ac:dyDescent="0.3">
      <c r="A7" s="3" t="s">
        <v>342</v>
      </c>
      <c r="B7" t="s">
        <v>348</v>
      </c>
    </row>
    <row r="8" spans="1:16" x14ac:dyDescent="0.3">
      <c r="A8" s="59" t="s">
        <v>338</v>
      </c>
      <c r="B8" t="s">
        <v>332</v>
      </c>
    </row>
    <row r="9" spans="1:16" x14ac:dyDescent="0.3">
      <c r="A9" s="59" t="s">
        <v>333</v>
      </c>
      <c r="B9" t="s">
        <v>358</v>
      </c>
    </row>
    <row r="10" spans="1:16" x14ac:dyDescent="0.3">
      <c r="A10" s="59" t="s">
        <v>343</v>
      </c>
      <c r="B10" t="s">
        <v>469</v>
      </c>
    </row>
    <row r="11" spans="1:16" hidden="1" x14ac:dyDescent="0.3">
      <c r="A11" s="59" t="s">
        <v>339</v>
      </c>
    </row>
    <row r="12" spans="1:16" x14ac:dyDescent="0.3">
      <c r="A12" s="59" t="s">
        <v>340</v>
      </c>
      <c r="B12" t="s">
        <v>470</v>
      </c>
    </row>
    <row r="13" spans="1:16" x14ac:dyDescent="0.3">
      <c r="A13" s="76" t="s">
        <v>462</v>
      </c>
      <c r="B13" t="s">
        <v>465</v>
      </c>
    </row>
    <row r="14" spans="1:16" x14ac:dyDescent="0.3">
      <c r="A14" s="75" t="s">
        <v>463</v>
      </c>
      <c r="B14" t="s">
        <v>466</v>
      </c>
    </row>
    <row r="15" spans="1:16" x14ac:dyDescent="0.3">
      <c r="A15" s="18" t="s">
        <v>341</v>
      </c>
      <c r="B15" t="s">
        <v>648</v>
      </c>
    </row>
    <row r="16" spans="1:16" x14ac:dyDescent="0.3">
      <c r="A16" s="76" t="s">
        <v>460</v>
      </c>
      <c r="B16" t="s">
        <v>467</v>
      </c>
    </row>
    <row r="17" spans="1:2" x14ac:dyDescent="0.3">
      <c r="A17" s="75" t="s">
        <v>461</v>
      </c>
      <c r="B17" t="s">
        <v>468</v>
      </c>
    </row>
    <row r="18" spans="1:2" x14ac:dyDescent="0.3">
      <c r="A18" s="3" t="s">
        <v>344</v>
      </c>
      <c r="B18" t="s">
        <v>347</v>
      </c>
    </row>
    <row r="19" spans="1:2" x14ac:dyDescent="0.3">
      <c r="A19" s="3" t="s">
        <v>345</v>
      </c>
      <c r="B19" t="s">
        <v>346</v>
      </c>
    </row>
    <row r="21" spans="1:2" x14ac:dyDescent="0.3">
      <c r="A21" s="1" t="s">
        <v>329</v>
      </c>
    </row>
    <row r="22" spans="1:2" x14ac:dyDescent="0.3">
      <c r="A22" s="18"/>
      <c r="B22" t="s">
        <v>331</v>
      </c>
    </row>
    <row r="23" spans="1:2" x14ac:dyDescent="0.3">
      <c r="A23" s="59"/>
      <c r="B23" t="s">
        <v>330</v>
      </c>
    </row>
    <row r="24" spans="1:2" x14ac:dyDescent="0.3">
      <c r="A24" s="17"/>
      <c r="B24" t="s">
        <v>412</v>
      </c>
    </row>
    <row r="25" spans="1:2" x14ac:dyDescent="0.3">
      <c r="A25" s="19"/>
      <c r="B25" t="s">
        <v>335</v>
      </c>
    </row>
    <row r="27" spans="1:2" x14ac:dyDescent="0.3">
      <c r="A27" s="1" t="s">
        <v>337</v>
      </c>
    </row>
    <row r="28" spans="1:2" x14ac:dyDescent="0.3">
      <c r="A28" s="3"/>
      <c r="B28" t="s">
        <v>336</v>
      </c>
    </row>
    <row r="29" spans="1:2" x14ac:dyDescent="0.3">
      <c r="A29" s="59"/>
      <c r="B29" t="s">
        <v>472</v>
      </c>
    </row>
    <row r="30" spans="1:2" x14ac:dyDescent="0.3">
      <c r="A30" s="76"/>
      <c r="B30" t="s">
        <v>473</v>
      </c>
    </row>
    <row r="31" spans="1:2" x14ac:dyDescent="0.3">
      <c r="A31" s="75"/>
      <c r="B31" t="s">
        <v>471</v>
      </c>
    </row>
    <row r="32" spans="1:2" x14ac:dyDescent="0.3">
      <c r="A32" s="18"/>
      <c r="B32" t="s">
        <v>367</v>
      </c>
    </row>
  </sheetData>
  <hyperlinks>
    <hyperlink ref="E2" r:id="rId1"/>
  </hyperlinks>
  <pageMargins left="0.7" right="0.7" top="1.5" bottom="0.75" header="0.3" footer="0.3"/>
  <pageSetup scale="74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A1CF"/>
  </sheetPr>
  <dimension ref="A1:BA23"/>
  <sheetViews>
    <sheetView topLeftCell="BA5" zoomScaleNormal="100" workbookViewId="0">
      <selection activeCell="BA19" sqref="BA19"/>
    </sheetView>
  </sheetViews>
  <sheetFormatPr defaultColWidth="8.77734375" defaultRowHeight="14.4" x14ac:dyDescent="0.3"/>
  <cols>
    <col min="1" max="1" width="16.44140625" style="38" bestFit="1" customWidth="1"/>
    <col min="2" max="2" width="20.44140625" style="38" customWidth="1"/>
    <col min="3" max="3" width="16.44140625" style="38" customWidth="1"/>
    <col min="4" max="4" width="18.44140625" style="38" customWidth="1"/>
    <col min="5" max="5" width="26.77734375" style="38" customWidth="1"/>
    <col min="6" max="6" width="13.44140625" style="38" customWidth="1"/>
    <col min="7" max="7" width="26.109375" style="38" customWidth="1"/>
    <col min="8" max="8" width="14.109375" style="38" customWidth="1"/>
    <col min="9" max="9" width="10.77734375" style="38" bestFit="1" customWidth="1"/>
    <col min="10" max="10" width="10" style="38" customWidth="1"/>
    <col min="11" max="11" width="8" style="38" customWidth="1"/>
    <col min="12" max="12" width="10" style="38" customWidth="1"/>
    <col min="13" max="13" width="10.44140625" style="38" customWidth="1"/>
    <col min="14" max="14" width="14.109375" style="38" customWidth="1"/>
    <col min="15" max="15" width="19.44140625" style="38" customWidth="1"/>
    <col min="16" max="16" width="18.77734375" style="38" bestFit="1" customWidth="1"/>
    <col min="17" max="17" width="13.44140625" style="38" bestFit="1" customWidth="1"/>
    <col min="18" max="18" width="18.77734375" style="38" bestFit="1" customWidth="1"/>
    <col min="19" max="19" width="13.44140625" style="38" bestFit="1" customWidth="1"/>
    <col min="20" max="20" width="18.77734375" style="38" bestFit="1" customWidth="1"/>
    <col min="21" max="21" width="13.44140625" style="38" bestFit="1" customWidth="1"/>
    <col min="22" max="22" width="24.77734375" style="38" bestFit="1" customWidth="1"/>
    <col min="23" max="24" width="25.44140625" style="38" customWidth="1"/>
    <col min="25" max="25" width="24.77734375" style="38" bestFit="1" customWidth="1"/>
    <col min="26" max="27" width="25.44140625" style="38" customWidth="1"/>
    <col min="28" max="28" width="24.77734375" style="38" bestFit="1" customWidth="1"/>
    <col min="29" max="29" width="25.44140625" style="38" customWidth="1"/>
    <col min="30" max="30" width="25.77734375" style="38" customWidth="1"/>
    <col min="31" max="33" width="29.44140625" style="38" customWidth="1"/>
    <col min="34" max="34" width="12.109375" style="38" customWidth="1"/>
    <col min="35" max="35" width="12.77734375" style="38" customWidth="1"/>
    <col min="36" max="36" width="12.44140625" style="38" customWidth="1"/>
    <col min="37" max="37" width="55.77734375" style="38" customWidth="1"/>
    <col min="38" max="40" width="40.44140625" style="38" customWidth="1"/>
    <col min="41" max="41" width="27.77734375" style="38" customWidth="1"/>
    <col min="42" max="52" width="29.44140625" style="38" customWidth="1"/>
    <col min="53" max="53" width="203.88671875" style="38" bestFit="1" customWidth="1"/>
    <col min="54" max="16384" width="8.77734375" style="38"/>
  </cols>
  <sheetData>
    <row r="1" spans="1:53" x14ac:dyDescent="0.3">
      <c r="A1" s="52" t="s">
        <v>31</v>
      </c>
      <c r="B1" s="46">
        <f>Lab_Code!H1</f>
        <v>20240722</v>
      </c>
      <c r="C1" s="268" t="s">
        <v>409</v>
      </c>
      <c r="D1" s="269"/>
      <c r="E1" s="62">
        <v>45495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3" ht="15.6" x14ac:dyDescent="0.3">
      <c r="A2" s="52" t="s">
        <v>30</v>
      </c>
      <c r="B2" s="46" t="str">
        <f>Lab_Code!H2</f>
        <v>Unduli</v>
      </c>
      <c r="C2" s="268" t="s">
        <v>410</v>
      </c>
      <c r="D2" s="269"/>
      <c r="E2" s="63">
        <v>45496</v>
      </c>
      <c r="F2"/>
      <c r="G2"/>
      <c r="H2"/>
      <c r="I2"/>
      <c r="J2"/>
      <c r="K2"/>
      <c r="L2"/>
      <c r="M2"/>
      <c r="N2"/>
      <c r="O2"/>
      <c r="P2" s="50"/>
      <c r="Q2" s="50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3" x14ac:dyDescent="0.3">
      <c r="A3" s="52" t="s">
        <v>673</v>
      </c>
      <c r="B3" s="63" t="s">
        <v>712</v>
      </c>
      <c r="C3" s="268" t="s">
        <v>411</v>
      </c>
      <c r="D3" s="269"/>
      <c r="E3" s="63">
        <v>45499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3" x14ac:dyDescent="0.3">
      <c r="A4"/>
      <c r="B4" s="1"/>
      <c r="C4" s="1"/>
      <c r="D4"/>
      <c r="E4"/>
      <c r="F4"/>
      <c r="G4"/>
      <c r="H4"/>
      <c r="I4"/>
      <c r="J4"/>
      <c r="K4"/>
      <c r="L4"/>
      <c r="M4"/>
      <c r="N4"/>
      <c r="O4"/>
      <c r="P4" s="249" t="s">
        <v>560</v>
      </c>
      <c r="Q4" s="250"/>
      <c r="R4" s="250"/>
      <c r="S4" s="250"/>
      <c r="T4" s="250"/>
      <c r="U4" s="251"/>
      <c r="V4" s="249" t="s">
        <v>562</v>
      </c>
      <c r="W4" s="250"/>
      <c r="X4" s="250"/>
      <c r="Y4" s="250"/>
      <c r="Z4" s="250"/>
      <c r="AA4" s="250"/>
      <c r="AB4" s="250"/>
      <c r="AC4" s="250"/>
      <c r="AD4" s="251"/>
      <c r="AE4" s="248" t="s">
        <v>564</v>
      </c>
      <c r="AF4" s="248"/>
      <c r="AG4" s="248"/>
      <c r="AH4" s="248" t="s">
        <v>201</v>
      </c>
      <c r="AI4" s="248"/>
      <c r="AJ4" s="248"/>
      <c r="AK4" s="270" t="s">
        <v>130</v>
      </c>
      <c r="AL4" s="248" t="s">
        <v>262</v>
      </c>
      <c r="AM4" s="248"/>
      <c r="AN4" s="248"/>
      <c r="AO4" s="249" t="s">
        <v>671</v>
      </c>
      <c r="AP4" s="250"/>
      <c r="AQ4" s="251"/>
      <c r="AR4" s="249" t="s">
        <v>561</v>
      </c>
      <c r="AS4" s="250"/>
      <c r="AT4" s="251"/>
      <c r="AU4" s="249" t="s">
        <v>563</v>
      </c>
      <c r="AV4" s="250"/>
      <c r="AW4" s="251"/>
      <c r="AX4" s="249" t="s">
        <v>565</v>
      </c>
      <c r="AY4" s="250"/>
      <c r="AZ4" s="251"/>
      <c r="BA4" s="228" t="s">
        <v>714</v>
      </c>
    </row>
    <row r="5" spans="1:53" ht="28.8" x14ac:dyDescent="0.3">
      <c r="A5"/>
      <c r="B5" s="1"/>
      <c r="C5" s="1"/>
      <c r="D5"/>
      <c r="E5"/>
      <c r="F5"/>
      <c r="G5"/>
      <c r="H5"/>
      <c r="I5"/>
      <c r="J5"/>
      <c r="K5"/>
      <c r="L5"/>
      <c r="M5"/>
      <c r="N5"/>
      <c r="O5"/>
      <c r="P5" s="249" t="s">
        <v>97</v>
      </c>
      <c r="Q5" s="250"/>
      <c r="R5" s="249" t="s">
        <v>98</v>
      </c>
      <c r="S5" s="250"/>
      <c r="T5" s="249" t="s">
        <v>99</v>
      </c>
      <c r="U5" s="250"/>
      <c r="V5" s="249" t="s">
        <v>97</v>
      </c>
      <c r="W5" s="250"/>
      <c r="X5" s="250"/>
      <c r="Y5" s="249" t="s">
        <v>98</v>
      </c>
      <c r="Z5" s="250"/>
      <c r="AA5" s="250"/>
      <c r="AB5" s="249" t="s">
        <v>99</v>
      </c>
      <c r="AC5" s="250"/>
      <c r="AD5" s="250"/>
      <c r="AE5" s="191" t="s">
        <v>97</v>
      </c>
      <c r="AF5" s="191" t="s">
        <v>98</v>
      </c>
      <c r="AG5" s="191" t="s">
        <v>99</v>
      </c>
      <c r="AH5" s="191" t="s">
        <v>97</v>
      </c>
      <c r="AI5" s="191" t="s">
        <v>98</v>
      </c>
      <c r="AJ5" s="191" t="s">
        <v>99</v>
      </c>
      <c r="AK5" s="271"/>
      <c r="AL5" s="191" t="s">
        <v>97</v>
      </c>
      <c r="AM5" s="191" t="s">
        <v>98</v>
      </c>
      <c r="AN5" s="191" t="s">
        <v>99</v>
      </c>
      <c r="AO5" s="191" t="s">
        <v>97</v>
      </c>
      <c r="AP5" s="191" t="s">
        <v>98</v>
      </c>
      <c r="AQ5" s="191" t="s">
        <v>99</v>
      </c>
      <c r="AR5" s="191" t="s">
        <v>97</v>
      </c>
      <c r="AS5" s="191" t="s">
        <v>98</v>
      </c>
      <c r="AT5" s="191" t="s">
        <v>99</v>
      </c>
      <c r="AU5" s="191" t="s">
        <v>97</v>
      </c>
      <c r="AV5" s="191" t="s">
        <v>98</v>
      </c>
      <c r="AW5" s="191" t="s">
        <v>99</v>
      </c>
      <c r="AX5" s="191" t="s">
        <v>97</v>
      </c>
      <c r="AY5" s="191" t="s">
        <v>98</v>
      </c>
      <c r="AZ5" s="191" t="s">
        <v>99</v>
      </c>
      <c r="BA5" s="228"/>
    </row>
    <row r="6" spans="1:53" s="71" customFormat="1" ht="43.2" x14ac:dyDescent="0.3">
      <c r="A6" s="2"/>
      <c r="B6" s="47" t="s">
        <v>34</v>
      </c>
      <c r="C6" s="47" t="s">
        <v>200</v>
      </c>
      <c r="D6" s="47" t="s">
        <v>20</v>
      </c>
      <c r="E6" s="47" t="s">
        <v>1</v>
      </c>
      <c r="F6" s="47" t="s">
        <v>133</v>
      </c>
      <c r="G6" s="47" t="s">
        <v>2</v>
      </c>
      <c r="H6" s="47" t="s">
        <v>3</v>
      </c>
      <c r="I6" s="47" t="s">
        <v>4</v>
      </c>
      <c r="J6" s="47" t="s">
        <v>237</v>
      </c>
      <c r="K6" s="47" t="s">
        <v>236</v>
      </c>
      <c r="L6" s="47" t="s">
        <v>566</v>
      </c>
      <c r="M6" s="67" t="s">
        <v>459</v>
      </c>
      <c r="N6" s="47" t="s">
        <v>567</v>
      </c>
      <c r="O6" s="170" t="s">
        <v>590</v>
      </c>
      <c r="P6" s="47" t="s">
        <v>568</v>
      </c>
      <c r="Q6" s="47" t="s">
        <v>569</v>
      </c>
      <c r="R6" s="47" t="s">
        <v>571</v>
      </c>
      <c r="S6" s="47" t="s">
        <v>572</v>
      </c>
      <c r="T6" s="47" t="s">
        <v>574</v>
      </c>
      <c r="U6" s="47" t="s">
        <v>575</v>
      </c>
      <c r="V6" s="47" t="s">
        <v>583</v>
      </c>
      <c r="W6" s="47" t="s">
        <v>660</v>
      </c>
      <c r="X6" s="47" t="s">
        <v>661</v>
      </c>
      <c r="Y6" s="47" t="s">
        <v>584</v>
      </c>
      <c r="Z6" s="47" t="s">
        <v>665</v>
      </c>
      <c r="AA6" s="47" t="s">
        <v>664</v>
      </c>
      <c r="AB6" s="47" t="s">
        <v>585</v>
      </c>
      <c r="AC6" s="47" t="s">
        <v>662</v>
      </c>
      <c r="AD6" s="47" t="s">
        <v>663</v>
      </c>
      <c r="AE6" s="47" t="s">
        <v>213</v>
      </c>
      <c r="AF6" s="47" t="s">
        <v>225</v>
      </c>
      <c r="AG6" s="47" t="s">
        <v>228</v>
      </c>
      <c r="AH6" s="47" t="s">
        <v>224</v>
      </c>
      <c r="AI6" s="47" t="s">
        <v>227</v>
      </c>
      <c r="AJ6" s="47" t="s">
        <v>230</v>
      </c>
      <c r="AK6" s="272"/>
      <c r="AL6" s="47" t="s">
        <v>233</v>
      </c>
      <c r="AM6" s="47" t="s">
        <v>234</v>
      </c>
      <c r="AN6" s="47" t="s">
        <v>235</v>
      </c>
      <c r="AO6" s="47" t="s">
        <v>570</v>
      </c>
      <c r="AP6" s="47" t="s">
        <v>573</v>
      </c>
      <c r="AQ6" s="47" t="s">
        <v>576</v>
      </c>
      <c r="AR6" s="47" t="s">
        <v>577</v>
      </c>
      <c r="AS6" s="47" t="s">
        <v>578</v>
      </c>
      <c r="AT6" s="47" t="s">
        <v>579</v>
      </c>
      <c r="AU6" s="47" t="s">
        <v>580</v>
      </c>
      <c r="AV6" s="47" t="s">
        <v>581</v>
      </c>
      <c r="AW6" s="47" t="s">
        <v>582</v>
      </c>
      <c r="AX6" s="47" t="s">
        <v>586</v>
      </c>
      <c r="AY6" s="47" t="s">
        <v>587</v>
      </c>
      <c r="AZ6" s="47" t="s">
        <v>588</v>
      </c>
      <c r="BA6" s="229"/>
    </row>
    <row r="7" spans="1:53" x14ac:dyDescent="0.3">
      <c r="A7" s="189" t="s">
        <v>128</v>
      </c>
      <c r="B7" s="51">
        <v>99</v>
      </c>
      <c r="C7" s="51">
        <v>1</v>
      </c>
      <c r="D7" s="51">
        <v>1</v>
      </c>
      <c r="E7" s="51" t="s">
        <v>7</v>
      </c>
      <c r="F7" s="51" t="s">
        <v>8</v>
      </c>
      <c r="G7" s="51" t="s">
        <v>10</v>
      </c>
      <c r="H7" s="51" t="s">
        <v>14</v>
      </c>
      <c r="I7" s="51" t="s">
        <v>147</v>
      </c>
      <c r="J7" s="51">
        <v>2</v>
      </c>
      <c r="K7" s="51">
        <v>400</v>
      </c>
      <c r="L7" s="51">
        <v>0.90800000000000003</v>
      </c>
      <c r="M7" s="51">
        <v>5</v>
      </c>
      <c r="N7" s="51">
        <v>40</v>
      </c>
      <c r="O7" s="51">
        <v>0.91</v>
      </c>
      <c r="P7" s="51">
        <v>25457</v>
      </c>
      <c r="Q7" s="51">
        <v>68</v>
      </c>
      <c r="R7" s="51">
        <v>24356</v>
      </c>
      <c r="S7" s="51">
        <v>92</v>
      </c>
      <c r="T7" s="51">
        <v>25168</v>
      </c>
      <c r="U7" s="51">
        <v>78</v>
      </c>
      <c r="V7" s="51">
        <v>3.1575549999999999</v>
      </c>
      <c r="W7" s="51"/>
      <c r="X7" s="51"/>
      <c r="Y7" s="51">
        <v>4.2556447000000004</v>
      </c>
      <c r="Z7" s="51"/>
      <c r="AA7" s="51"/>
      <c r="AB7" s="51">
        <v>3.5588739999999999</v>
      </c>
      <c r="AC7" s="51"/>
      <c r="AD7" s="51"/>
      <c r="AE7" s="51">
        <f>V7*$N7/$J7*1.0253</f>
        <v>64.748822830000009</v>
      </c>
      <c r="AF7" s="51">
        <f>Y7*$N7/$J7*0.95583</f>
        <v>81.353457472020011</v>
      </c>
      <c r="AG7" s="51">
        <f>AB7*$N7/$J7</f>
        <v>71.177480000000003</v>
      </c>
      <c r="AH7" s="51"/>
      <c r="AI7" s="51"/>
      <c r="AJ7" s="51"/>
      <c r="AK7" s="51"/>
      <c r="AL7" s="51"/>
      <c r="AM7" s="51"/>
      <c r="AN7" s="51"/>
      <c r="AO7" s="51">
        <v>25389</v>
      </c>
      <c r="AP7" s="51">
        <v>24264</v>
      </c>
      <c r="AQ7" s="51">
        <v>25090</v>
      </c>
      <c r="AR7" s="51">
        <v>2.939280150871586</v>
      </c>
      <c r="AS7" s="51">
        <v>4.1587421538985572</v>
      </c>
      <c r="AT7" s="51">
        <v>3.410973557792321</v>
      </c>
      <c r="AU7" s="51">
        <v>58.785603017431718</v>
      </c>
      <c r="AV7" s="51">
        <v>83.174843077971147</v>
      </c>
      <c r="AW7" s="51">
        <v>68.219471155846421</v>
      </c>
      <c r="AX7" s="51"/>
      <c r="AY7" s="51"/>
      <c r="AZ7" s="51"/>
      <c r="BA7" s="228"/>
    </row>
    <row r="8" spans="1:53" x14ac:dyDescent="0.3">
      <c r="A8" s="190" t="s">
        <v>326</v>
      </c>
      <c r="B8" s="18">
        <f>Lab_Code!$C$1</f>
        <v>999</v>
      </c>
      <c r="C8" s="60">
        <v>1</v>
      </c>
      <c r="D8" s="60">
        <v>1</v>
      </c>
      <c r="E8" s="60" t="s">
        <v>7</v>
      </c>
      <c r="F8" s="60" t="s">
        <v>132</v>
      </c>
      <c r="G8" s="60" t="s">
        <v>395</v>
      </c>
      <c r="H8" s="61"/>
      <c r="I8" s="60" t="s">
        <v>148</v>
      </c>
      <c r="J8" s="172">
        <v>0.7</v>
      </c>
      <c r="K8" s="172"/>
      <c r="L8" s="172">
        <v>0.7</v>
      </c>
      <c r="M8" s="60">
        <v>5</v>
      </c>
      <c r="N8" s="60">
        <v>9</v>
      </c>
      <c r="O8" s="60">
        <v>0.432</v>
      </c>
      <c r="P8" s="60">
        <v>20000</v>
      </c>
      <c r="Q8" s="60">
        <v>0</v>
      </c>
      <c r="R8" s="60">
        <v>20000</v>
      </c>
      <c r="S8" s="60">
        <v>3</v>
      </c>
      <c r="T8" s="60"/>
      <c r="U8" s="60"/>
      <c r="V8" s="177">
        <v>0</v>
      </c>
      <c r="W8" s="177">
        <v>0</v>
      </c>
      <c r="X8" s="177">
        <v>0</v>
      </c>
      <c r="Y8" s="177">
        <v>0.34</v>
      </c>
      <c r="Z8" s="177">
        <v>0.109635338</v>
      </c>
      <c r="AA8" s="177">
        <v>1.0540264290000001</v>
      </c>
      <c r="AB8" s="177"/>
      <c r="AC8" s="177"/>
      <c r="AD8" s="177"/>
      <c r="AE8" s="177">
        <v>0</v>
      </c>
      <c r="AF8" s="177">
        <v>2.0808</v>
      </c>
      <c r="AG8" s="177"/>
      <c r="AH8" s="60" t="s">
        <v>159</v>
      </c>
      <c r="AI8" s="60" t="s">
        <v>209</v>
      </c>
      <c r="AJ8" s="60" t="s">
        <v>209</v>
      </c>
      <c r="AK8" s="177"/>
      <c r="AL8" s="44" t="str">
        <f ca="1">OFFSET(Dropdown_Data!$P$1, MATCH(dPCR_Sample_Data!AH8, Dropdown_Data!$O$2:$O$14,0), 0)</f>
        <v>Non-detect in sample</v>
      </c>
      <c r="AM8" s="44" t="str">
        <f ca="1">OFFSET(Dropdown_Data!$P$1, MATCH(dPCR_Sample_Data!AI8, Dropdown_Data!$O$2:$O$14,0), 0)</f>
        <v>No qualifier</v>
      </c>
      <c r="AN8" s="44" t="str">
        <f ca="1">OFFSET(Dropdown_Data!$P$1, MATCH(dPCR_Sample_Data!AJ8, Dropdown_Data!$O$2:$O$14,0), 0)</f>
        <v>No qualifier</v>
      </c>
      <c r="AO8" s="44">
        <f t="shared" ref="AO8:AO23" si="0">IF(ISBLANK(P8)," ",P8-Q8)</f>
        <v>20000</v>
      </c>
      <c r="AP8" s="44">
        <f t="shared" ref="AP8:AP23" si="1">IF(ISBLANK(R8)," ",R8-S8)</f>
        <v>19997</v>
      </c>
      <c r="AQ8" s="44" t="str">
        <f t="shared" ref="AQ8:AQ23" si="2">IF(ISBLANK(T8)," ",T8-U8)</f>
        <v xml:space="preserve"> </v>
      </c>
      <c r="AR8" s="44">
        <f t="shared" ref="AR8:AR23" si="3">IF(ISBLANK(P8)," ",LN(Q8/AO8+1)/$O8*1000)</f>
        <v>0</v>
      </c>
      <c r="AS8" s="44">
        <f t="shared" ref="AS8:AS23" si="4">IF(ISBLANK(R8)," ",LN(S8/AP8+1)/$O8*1000)</f>
        <v>0.34724826649328727</v>
      </c>
      <c r="AT8" s="44" t="str">
        <f t="shared" ref="AT8:AT23" si="5">IF(ISBLANK(T8)," ",LN(U8/AQ8+1)/$O8*1000)</f>
        <v xml:space="preserve"> </v>
      </c>
      <c r="AU8" s="44">
        <f t="shared" ref="AU8:AU23" si="6">IF(ISBLANK(P8)," ",AR8*$N8/$J8)</f>
        <v>0</v>
      </c>
      <c r="AV8" s="44">
        <f t="shared" ref="AV8:AV23" si="7">IF(ISBLANK(R8)," ",AS8*$N8/$J8)</f>
        <v>4.4646205691994085</v>
      </c>
      <c r="AW8" s="44" t="str">
        <f t="shared" ref="AW8:AW23" si="8">IF(ISBLANK(T8)," ",AT8*$N8/$J8)</f>
        <v xml:space="preserve"> </v>
      </c>
      <c r="AX8" s="140" t="e">
        <f t="shared" ref="AX8:AX23" si="9">IF(ISBLANK(AE8)," ",(AU8-AE8)/AU8*100)</f>
        <v>#DIV/0!</v>
      </c>
      <c r="AY8" s="140">
        <f t="shared" ref="AY8:AY23" si="10">IF(ISBLANK(AF8)," ",(AV8-AF8)/AV8*100)</f>
        <v>53.393575831391935</v>
      </c>
      <c r="AZ8" s="140" t="str">
        <f t="shared" ref="AZ8:AZ23" si="11">IF(ISBLANK(AG8)," ",(AW8-AG8)/AW8*100)</f>
        <v xml:space="preserve"> </v>
      </c>
      <c r="BA8" s="228"/>
    </row>
    <row r="9" spans="1:53" x14ac:dyDescent="0.3">
      <c r="B9" s="18">
        <f>Lab_Code!$C$1</f>
        <v>999</v>
      </c>
      <c r="C9" s="60">
        <v>1</v>
      </c>
      <c r="D9" s="60">
        <v>2</v>
      </c>
      <c r="E9" s="60" t="s">
        <v>7</v>
      </c>
      <c r="F9" s="60" t="s">
        <v>132</v>
      </c>
      <c r="G9" s="60" t="s">
        <v>395</v>
      </c>
      <c r="H9" s="61"/>
      <c r="I9" s="60" t="s">
        <v>148</v>
      </c>
      <c r="J9" s="172">
        <v>0.7</v>
      </c>
      <c r="K9" s="172"/>
      <c r="L9" s="172">
        <v>0.7</v>
      </c>
      <c r="M9" s="60">
        <v>5</v>
      </c>
      <c r="N9" s="60">
        <v>9</v>
      </c>
      <c r="O9" s="60">
        <v>0.432</v>
      </c>
      <c r="P9" s="60">
        <v>20000</v>
      </c>
      <c r="Q9" s="60">
        <v>0</v>
      </c>
      <c r="R9" s="60">
        <v>20000</v>
      </c>
      <c r="S9" s="60">
        <v>0</v>
      </c>
      <c r="T9" s="60"/>
      <c r="U9" s="60"/>
      <c r="V9" s="177">
        <v>0</v>
      </c>
      <c r="W9" s="177">
        <v>0</v>
      </c>
      <c r="X9" s="177">
        <v>0</v>
      </c>
      <c r="Y9" s="177">
        <v>0</v>
      </c>
      <c r="Z9" s="177">
        <v>0</v>
      </c>
      <c r="AA9" s="177">
        <v>0</v>
      </c>
      <c r="AB9" s="177"/>
      <c r="AC9" s="177"/>
      <c r="AD9" s="177"/>
      <c r="AE9" s="177">
        <v>0</v>
      </c>
      <c r="AF9" s="177">
        <v>0</v>
      </c>
      <c r="AG9" s="177"/>
      <c r="AH9" s="60" t="s">
        <v>159</v>
      </c>
      <c r="AI9" s="60" t="s">
        <v>159</v>
      </c>
      <c r="AJ9" s="60" t="s">
        <v>209</v>
      </c>
      <c r="AK9" s="177"/>
      <c r="AL9" s="44" t="str">
        <f ca="1">OFFSET(Dropdown_Data!$P$1, MATCH(dPCR_Sample_Data!AH9, Dropdown_Data!$O$2:$O$14,0), 0)</f>
        <v>Non-detect in sample</v>
      </c>
      <c r="AM9" s="44" t="str">
        <f ca="1">OFFSET(Dropdown_Data!$P$1, MATCH(dPCR_Sample_Data!AI9, Dropdown_Data!$O$2:$O$14,0), 0)</f>
        <v>Non-detect in sample</v>
      </c>
      <c r="AN9" s="44" t="str">
        <f ca="1">OFFSET(Dropdown_Data!$P$1, MATCH(dPCR_Sample_Data!AJ9, Dropdown_Data!$O$2:$O$14,0), 0)</f>
        <v>No qualifier</v>
      </c>
      <c r="AO9" s="44">
        <f t="shared" si="0"/>
        <v>20000</v>
      </c>
      <c r="AP9" s="44">
        <f t="shared" si="1"/>
        <v>20000</v>
      </c>
      <c r="AQ9" s="44" t="str">
        <f t="shared" si="2"/>
        <v xml:space="preserve"> </v>
      </c>
      <c r="AR9" s="44">
        <f t="shared" si="3"/>
        <v>0</v>
      </c>
      <c r="AS9" s="44">
        <f t="shared" si="4"/>
        <v>0</v>
      </c>
      <c r="AT9" s="44" t="str">
        <f t="shared" si="5"/>
        <v xml:space="preserve"> </v>
      </c>
      <c r="AU9" s="44">
        <f t="shared" si="6"/>
        <v>0</v>
      </c>
      <c r="AV9" s="44">
        <f t="shared" si="7"/>
        <v>0</v>
      </c>
      <c r="AW9" s="44" t="str">
        <f t="shared" si="8"/>
        <v xml:space="preserve"> </v>
      </c>
      <c r="AX9" s="140" t="e">
        <f t="shared" si="9"/>
        <v>#DIV/0!</v>
      </c>
      <c r="AY9" s="140" t="e">
        <f t="shared" si="10"/>
        <v>#DIV/0!</v>
      </c>
      <c r="AZ9" s="140" t="str">
        <f t="shared" si="11"/>
        <v xml:space="preserve"> </v>
      </c>
      <c r="BA9" s="228"/>
    </row>
    <row r="10" spans="1:53" x14ac:dyDescent="0.3">
      <c r="B10" s="18">
        <f>Lab_Code!$C$1</f>
        <v>999</v>
      </c>
      <c r="C10" s="60">
        <v>1</v>
      </c>
      <c r="D10" s="60">
        <v>3</v>
      </c>
      <c r="E10" s="60" t="s">
        <v>7</v>
      </c>
      <c r="F10" s="60" t="s">
        <v>132</v>
      </c>
      <c r="G10" s="60" t="s">
        <v>395</v>
      </c>
      <c r="H10" s="61"/>
      <c r="I10" s="60" t="s">
        <v>148</v>
      </c>
      <c r="J10" s="172">
        <v>0.7</v>
      </c>
      <c r="K10" s="172"/>
      <c r="L10" s="172">
        <v>0.7</v>
      </c>
      <c r="M10" s="60">
        <v>5</v>
      </c>
      <c r="N10" s="60">
        <v>9</v>
      </c>
      <c r="O10" s="60">
        <v>0.432</v>
      </c>
      <c r="P10" s="60">
        <v>20000</v>
      </c>
      <c r="Q10" s="60">
        <v>0</v>
      </c>
      <c r="R10" s="60">
        <v>20000</v>
      </c>
      <c r="S10" s="60">
        <v>1</v>
      </c>
      <c r="T10" s="60"/>
      <c r="U10" s="60"/>
      <c r="V10" s="177">
        <v>0</v>
      </c>
      <c r="W10" s="177">
        <v>0</v>
      </c>
      <c r="X10" s="177">
        <v>0</v>
      </c>
      <c r="Y10" s="177">
        <v>0.11</v>
      </c>
      <c r="Z10" s="177">
        <v>1.5940803E-2</v>
      </c>
      <c r="AA10" s="177">
        <v>0.803423573</v>
      </c>
      <c r="AB10" s="177"/>
      <c r="AC10" s="177"/>
      <c r="AD10" s="177"/>
      <c r="AE10" s="177">
        <v>0</v>
      </c>
      <c r="AF10" s="177">
        <v>0.63077142900000005</v>
      </c>
      <c r="AG10" s="177"/>
      <c r="AH10" s="60" t="s">
        <v>159</v>
      </c>
      <c r="AI10" s="60" t="s">
        <v>209</v>
      </c>
      <c r="AJ10" s="60" t="s">
        <v>209</v>
      </c>
      <c r="AK10" s="177"/>
      <c r="AL10" s="44" t="str">
        <f ca="1">OFFSET(Dropdown_Data!$P$1, MATCH(dPCR_Sample_Data!AH10, Dropdown_Data!$O$2:$O$14,0), 0)</f>
        <v>Non-detect in sample</v>
      </c>
      <c r="AM10" s="44" t="str">
        <f ca="1">OFFSET(Dropdown_Data!$P$1, MATCH(dPCR_Sample_Data!AI10, Dropdown_Data!$O$2:$O$14,0), 0)</f>
        <v>No qualifier</v>
      </c>
      <c r="AN10" s="44" t="str">
        <f ca="1">OFFSET(Dropdown_Data!$P$1, MATCH(dPCR_Sample_Data!AJ10, Dropdown_Data!$O$2:$O$14,0), 0)</f>
        <v>No qualifier</v>
      </c>
      <c r="AO10" s="44">
        <f t="shared" si="0"/>
        <v>20000</v>
      </c>
      <c r="AP10" s="44">
        <f t="shared" si="1"/>
        <v>19999</v>
      </c>
      <c r="AQ10" s="44" t="str">
        <f t="shared" si="2"/>
        <v xml:space="preserve"> </v>
      </c>
      <c r="AR10" s="44">
        <f t="shared" si="3"/>
        <v>0</v>
      </c>
      <c r="AS10" s="44">
        <f t="shared" si="4"/>
        <v>0.11574363435593382</v>
      </c>
      <c r="AT10" s="44" t="str">
        <f t="shared" si="5"/>
        <v xml:space="preserve"> </v>
      </c>
      <c r="AU10" s="44">
        <f t="shared" si="6"/>
        <v>0</v>
      </c>
      <c r="AV10" s="44">
        <f t="shared" si="7"/>
        <v>1.488132441719149</v>
      </c>
      <c r="AW10" s="44" t="str">
        <f t="shared" si="8"/>
        <v xml:space="preserve"> </v>
      </c>
      <c r="AX10" s="140" t="e">
        <f t="shared" si="9"/>
        <v>#DIV/0!</v>
      </c>
      <c r="AY10" s="140">
        <f t="shared" si="10"/>
        <v>57.613219676112429</v>
      </c>
      <c r="AZ10" s="140" t="str">
        <f t="shared" si="11"/>
        <v xml:space="preserve"> </v>
      </c>
      <c r="BA10" s="228"/>
    </row>
    <row r="11" spans="1:53" x14ac:dyDescent="0.3">
      <c r="B11" s="18">
        <f>Lab_Code!$C$1</f>
        <v>999</v>
      </c>
      <c r="C11" s="60">
        <v>1</v>
      </c>
      <c r="D11" s="60">
        <v>1</v>
      </c>
      <c r="E11" s="60" t="s">
        <v>7</v>
      </c>
      <c r="F11" s="60" t="s">
        <v>132</v>
      </c>
      <c r="G11" s="60" t="s">
        <v>396</v>
      </c>
      <c r="H11" s="61"/>
      <c r="I11" s="60" t="s">
        <v>148</v>
      </c>
      <c r="J11" s="172">
        <v>0.7</v>
      </c>
      <c r="K11" s="172"/>
      <c r="L11" s="172">
        <v>0.7</v>
      </c>
      <c r="M11" s="60">
        <v>5</v>
      </c>
      <c r="N11" s="60">
        <v>9</v>
      </c>
      <c r="O11" s="60">
        <v>0.432</v>
      </c>
      <c r="P11" s="60">
        <v>20000</v>
      </c>
      <c r="Q11" s="60">
        <v>0</v>
      </c>
      <c r="R11" s="60">
        <v>20000</v>
      </c>
      <c r="S11" s="60">
        <v>0</v>
      </c>
      <c r="T11" s="60"/>
      <c r="U11" s="60"/>
      <c r="V11" s="177">
        <v>0</v>
      </c>
      <c r="W11" s="177">
        <v>0</v>
      </c>
      <c r="X11" s="177">
        <v>0</v>
      </c>
      <c r="Y11" s="177">
        <v>0</v>
      </c>
      <c r="Z11" s="177">
        <v>0</v>
      </c>
      <c r="AA11" s="177">
        <v>0</v>
      </c>
      <c r="AB11" s="177"/>
      <c r="AC11" s="177"/>
      <c r="AD11" s="177"/>
      <c r="AE11" s="177">
        <v>0</v>
      </c>
      <c r="AF11" s="177">
        <v>0</v>
      </c>
      <c r="AG11" s="177"/>
      <c r="AH11" s="60" t="s">
        <v>159</v>
      </c>
      <c r="AI11" s="60" t="s">
        <v>159</v>
      </c>
      <c r="AJ11" s="60" t="s">
        <v>209</v>
      </c>
      <c r="AK11" s="177"/>
      <c r="AL11" s="44" t="str">
        <f ca="1">OFFSET(Dropdown_Data!$P$1, MATCH(dPCR_Sample_Data!AH11, Dropdown_Data!$O$2:$O$14,0), 0)</f>
        <v>Non-detect in sample</v>
      </c>
      <c r="AM11" s="44" t="str">
        <f ca="1">OFFSET(Dropdown_Data!$P$1, MATCH(dPCR_Sample_Data!AI11, Dropdown_Data!$O$2:$O$14,0), 0)</f>
        <v>Non-detect in sample</v>
      </c>
      <c r="AN11" s="44" t="str">
        <f ca="1">OFFSET(Dropdown_Data!$P$1, MATCH(dPCR_Sample_Data!AJ11, Dropdown_Data!$O$2:$O$14,0), 0)</f>
        <v>No qualifier</v>
      </c>
      <c r="AO11" s="44">
        <f t="shared" si="0"/>
        <v>20000</v>
      </c>
      <c r="AP11" s="44">
        <f t="shared" si="1"/>
        <v>20000</v>
      </c>
      <c r="AQ11" s="44" t="str">
        <f t="shared" si="2"/>
        <v xml:space="preserve"> </v>
      </c>
      <c r="AR11" s="44">
        <f t="shared" si="3"/>
        <v>0</v>
      </c>
      <c r="AS11" s="44">
        <f t="shared" si="4"/>
        <v>0</v>
      </c>
      <c r="AT11" s="44" t="str">
        <f t="shared" si="5"/>
        <v xml:space="preserve"> </v>
      </c>
      <c r="AU11" s="44">
        <f t="shared" si="6"/>
        <v>0</v>
      </c>
      <c r="AV11" s="44">
        <f t="shared" si="7"/>
        <v>0</v>
      </c>
      <c r="AW11" s="44" t="str">
        <f t="shared" si="8"/>
        <v xml:space="preserve"> </v>
      </c>
      <c r="AX11" s="140" t="e">
        <f t="shared" si="9"/>
        <v>#DIV/0!</v>
      </c>
      <c r="AY11" s="140" t="e">
        <f t="shared" si="10"/>
        <v>#DIV/0!</v>
      </c>
      <c r="AZ11" s="140" t="str">
        <f t="shared" si="11"/>
        <v xml:space="preserve"> </v>
      </c>
      <c r="BA11" s="228"/>
    </row>
    <row r="12" spans="1:53" x14ac:dyDescent="0.3">
      <c r="B12" s="18">
        <f>Lab_Code!$C$1</f>
        <v>999</v>
      </c>
      <c r="C12" s="60">
        <v>1</v>
      </c>
      <c r="D12" s="60">
        <v>2</v>
      </c>
      <c r="E12" s="60" t="s">
        <v>7</v>
      </c>
      <c r="F12" s="60" t="s">
        <v>132</v>
      </c>
      <c r="G12" s="60" t="s">
        <v>396</v>
      </c>
      <c r="H12" s="61"/>
      <c r="I12" s="60" t="s">
        <v>148</v>
      </c>
      <c r="J12" s="172">
        <v>0.7</v>
      </c>
      <c r="K12" s="172"/>
      <c r="L12" s="172">
        <v>0.7</v>
      </c>
      <c r="M12" s="60">
        <v>5</v>
      </c>
      <c r="N12" s="60">
        <v>9</v>
      </c>
      <c r="O12" s="60">
        <v>0.432</v>
      </c>
      <c r="P12" s="60">
        <v>20000</v>
      </c>
      <c r="Q12" s="60">
        <v>0</v>
      </c>
      <c r="R12" s="60">
        <v>20000</v>
      </c>
      <c r="S12" s="60">
        <v>0</v>
      </c>
      <c r="T12" s="60"/>
      <c r="U12" s="60"/>
      <c r="V12" s="177">
        <v>0</v>
      </c>
      <c r="W12" s="177">
        <v>0</v>
      </c>
      <c r="X12" s="177">
        <v>0</v>
      </c>
      <c r="Y12" s="177">
        <v>0</v>
      </c>
      <c r="Z12" s="177">
        <v>0</v>
      </c>
      <c r="AA12" s="177">
        <v>0</v>
      </c>
      <c r="AB12" s="177"/>
      <c r="AC12" s="177"/>
      <c r="AD12" s="177"/>
      <c r="AE12" s="177">
        <v>0</v>
      </c>
      <c r="AF12" s="177">
        <v>0</v>
      </c>
      <c r="AG12" s="177"/>
      <c r="AH12" s="60" t="s">
        <v>159</v>
      </c>
      <c r="AI12" s="60" t="s">
        <v>159</v>
      </c>
      <c r="AJ12" s="60" t="s">
        <v>209</v>
      </c>
      <c r="AK12" s="177"/>
      <c r="AL12" s="44" t="str">
        <f ca="1">OFFSET(Dropdown_Data!$P$1, MATCH(dPCR_Sample_Data!AH12, Dropdown_Data!$O$2:$O$14,0), 0)</f>
        <v>Non-detect in sample</v>
      </c>
      <c r="AM12" s="44" t="str">
        <f ca="1">OFFSET(Dropdown_Data!$P$1, MATCH(dPCR_Sample_Data!AI12, Dropdown_Data!$O$2:$O$14,0), 0)</f>
        <v>Non-detect in sample</v>
      </c>
      <c r="AN12" s="44" t="str">
        <f ca="1">OFFSET(Dropdown_Data!$P$1, MATCH(dPCR_Sample_Data!AJ12, Dropdown_Data!$O$2:$O$14,0), 0)</f>
        <v>No qualifier</v>
      </c>
      <c r="AO12" s="44">
        <f t="shared" si="0"/>
        <v>20000</v>
      </c>
      <c r="AP12" s="44">
        <f t="shared" si="1"/>
        <v>20000</v>
      </c>
      <c r="AQ12" s="44" t="str">
        <f t="shared" si="2"/>
        <v xml:space="preserve"> </v>
      </c>
      <c r="AR12" s="44">
        <f t="shared" si="3"/>
        <v>0</v>
      </c>
      <c r="AS12" s="44">
        <f t="shared" si="4"/>
        <v>0</v>
      </c>
      <c r="AT12" s="44" t="str">
        <f t="shared" si="5"/>
        <v xml:space="preserve"> </v>
      </c>
      <c r="AU12" s="44">
        <f t="shared" si="6"/>
        <v>0</v>
      </c>
      <c r="AV12" s="44">
        <f t="shared" si="7"/>
        <v>0</v>
      </c>
      <c r="AW12" s="44" t="str">
        <f t="shared" si="8"/>
        <v xml:space="preserve"> </v>
      </c>
      <c r="AX12" s="140" t="e">
        <f t="shared" si="9"/>
        <v>#DIV/0!</v>
      </c>
      <c r="AY12" s="140" t="e">
        <f t="shared" si="10"/>
        <v>#DIV/0!</v>
      </c>
      <c r="AZ12" s="140" t="str">
        <f t="shared" si="11"/>
        <v xml:space="preserve"> </v>
      </c>
      <c r="BA12" s="228"/>
    </row>
    <row r="13" spans="1:53" x14ac:dyDescent="0.3">
      <c r="B13" s="18">
        <f>Lab_Code!$C$1</f>
        <v>999</v>
      </c>
      <c r="C13" s="60">
        <v>1</v>
      </c>
      <c r="D13" s="60">
        <v>3</v>
      </c>
      <c r="E13" s="60" t="s">
        <v>7</v>
      </c>
      <c r="F13" s="60" t="s">
        <v>132</v>
      </c>
      <c r="G13" s="60" t="s">
        <v>396</v>
      </c>
      <c r="H13" s="61"/>
      <c r="I13" s="60" t="s">
        <v>148</v>
      </c>
      <c r="J13" s="172">
        <v>0.7</v>
      </c>
      <c r="K13" s="172"/>
      <c r="L13" s="172">
        <v>0.7</v>
      </c>
      <c r="M13" s="60">
        <v>5</v>
      </c>
      <c r="N13" s="60">
        <v>9</v>
      </c>
      <c r="O13" s="60">
        <v>0.432</v>
      </c>
      <c r="P13" s="60">
        <v>20000</v>
      </c>
      <c r="Q13" s="60">
        <v>0</v>
      </c>
      <c r="R13" s="60">
        <v>20000</v>
      </c>
      <c r="S13" s="60">
        <v>0</v>
      </c>
      <c r="T13" s="60"/>
      <c r="U13" s="60"/>
      <c r="V13" s="177">
        <v>0</v>
      </c>
      <c r="W13" s="177">
        <v>0</v>
      </c>
      <c r="X13" s="177">
        <v>0</v>
      </c>
      <c r="Y13" s="177">
        <v>0</v>
      </c>
      <c r="Z13" s="177">
        <v>0</v>
      </c>
      <c r="AA13" s="177">
        <v>0</v>
      </c>
      <c r="AB13" s="177"/>
      <c r="AC13" s="177"/>
      <c r="AD13" s="177"/>
      <c r="AE13" s="177">
        <v>0</v>
      </c>
      <c r="AF13" s="177">
        <v>0</v>
      </c>
      <c r="AG13" s="177"/>
      <c r="AH13" s="60" t="s">
        <v>159</v>
      </c>
      <c r="AI13" s="60" t="s">
        <v>159</v>
      </c>
      <c r="AJ13" s="60" t="s">
        <v>209</v>
      </c>
      <c r="AK13" s="177"/>
      <c r="AL13" s="44" t="str">
        <f ca="1">OFFSET(Dropdown_Data!$P$1, MATCH(dPCR_Sample_Data!AH13, Dropdown_Data!$O$2:$O$14,0), 0)</f>
        <v>Non-detect in sample</v>
      </c>
      <c r="AM13" s="44" t="str">
        <f ca="1">OFFSET(Dropdown_Data!$P$1, MATCH(dPCR_Sample_Data!AI13, Dropdown_Data!$O$2:$O$14,0), 0)</f>
        <v>Non-detect in sample</v>
      </c>
      <c r="AN13" s="44" t="str">
        <f ca="1">OFFSET(Dropdown_Data!$P$1, MATCH(dPCR_Sample_Data!AJ13, Dropdown_Data!$O$2:$O$14,0), 0)</f>
        <v>No qualifier</v>
      </c>
      <c r="AO13" s="44">
        <f t="shared" si="0"/>
        <v>20000</v>
      </c>
      <c r="AP13" s="44">
        <f t="shared" si="1"/>
        <v>20000</v>
      </c>
      <c r="AQ13" s="44" t="str">
        <f t="shared" si="2"/>
        <v xml:space="preserve"> </v>
      </c>
      <c r="AR13" s="44">
        <f t="shared" si="3"/>
        <v>0</v>
      </c>
      <c r="AS13" s="44">
        <f t="shared" si="4"/>
        <v>0</v>
      </c>
      <c r="AT13" s="44" t="str">
        <f t="shared" si="5"/>
        <v xml:space="preserve"> </v>
      </c>
      <c r="AU13" s="44">
        <f t="shared" si="6"/>
        <v>0</v>
      </c>
      <c r="AV13" s="44">
        <f t="shared" si="7"/>
        <v>0</v>
      </c>
      <c r="AW13" s="44" t="str">
        <f t="shared" si="8"/>
        <v xml:space="preserve"> </v>
      </c>
      <c r="AX13" s="140" t="e">
        <f t="shared" si="9"/>
        <v>#DIV/0!</v>
      </c>
      <c r="AY13" s="140" t="e">
        <f t="shared" si="10"/>
        <v>#DIV/0!</v>
      </c>
      <c r="AZ13" s="140" t="str">
        <f t="shared" si="11"/>
        <v xml:space="preserve"> </v>
      </c>
      <c r="BA13" s="228"/>
    </row>
    <row r="14" spans="1:53" x14ac:dyDescent="0.3">
      <c r="B14" s="18">
        <f>Lab_Code!$C$1</f>
        <v>999</v>
      </c>
      <c r="C14" s="60">
        <v>1</v>
      </c>
      <c r="D14" s="60">
        <v>1</v>
      </c>
      <c r="E14" s="60" t="s">
        <v>7</v>
      </c>
      <c r="F14" s="60" t="s">
        <v>132</v>
      </c>
      <c r="G14" s="60" t="s">
        <v>398</v>
      </c>
      <c r="H14" s="61"/>
      <c r="I14" s="60" t="s">
        <v>148</v>
      </c>
      <c r="J14" s="172">
        <v>0.7</v>
      </c>
      <c r="K14" s="172"/>
      <c r="L14" s="172">
        <v>0.7</v>
      </c>
      <c r="M14" s="60">
        <v>5</v>
      </c>
      <c r="N14" s="60">
        <v>9</v>
      </c>
      <c r="O14" s="60">
        <v>0.432</v>
      </c>
      <c r="P14" s="60">
        <v>20000</v>
      </c>
      <c r="Q14" s="60">
        <v>0</v>
      </c>
      <c r="R14" s="60">
        <v>20000</v>
      </c>
      <c r="S14" s="60">
        <v>0</v>
      </c>
      <c r="T14" s="60"/>
      <c r="U14" s="60"/>
      <c r="V14" s="177">
        <v>0</v>
      </c>
      <c r="W14" s="177">
        <v>0</v>
      </c>
      <c r="X14" s="177">
        <v>0</v>
      </c>
      <c r="Y14" s="177">
        <v>0</v>
      </c>
      <c r="Z14" s="177">
        <v>0</v>
      </c>
      <c r="AA14" s="177">
        <v>0</v>
      </c>
      <c r="AB14" s="177"/>
      <c r="AC14" s="177"/>
      <c r="AD14" s="177"/>
      <c r="AE14" s="177">
        <v>0</v>
      </c>
      <c r="AF14" s="177">
        <v>0</v>
      </c>
      <c r="AG14" s="177"/>
      <c r="AH14" s="60" t="s">
        <v>159</v>
      </c>
      <c r="AI14" s="60" t="s">
        <v>159</v>
      </c>
      <c r="AJ14" s="60" t="s">
        <v>209</v>
      </c>
      <c r="AK14" s="177"/>
      <c r="AL14" s="44" t="str">
        <f ca="1">OFFSET(Dropdown_Data!$P$1, MATCH(dPCR_Sample_Data!AH14, Dropdown_Data!$O$2:$O$14,0), 0)</f>
        <v>Non-detect in sample</v>
      </c>
      <c r="AM14" s="44" t="str">
        <f ca="1">OFFSET(Dropdown_Data!$P$1, MATCH(dPCR_Sample_Data!AI14, Dropdown_Data!$O$2:$O$14,0), 0)</f>
        <v>Non-detect in sample</v>
      </c>
      <c r="AN14" s="44" t="str">
        <f ca="1">OFFSET(Dropdown_Data!$P$1, MATCH(dPCR_Sample_Data!AJ14, Dropdown_Data!$O$2:$O$14,0), 0)</f>
        <v>No qualifier</v>
      </c>
      <c r="AO14" s="44">
        <f t="shared" si="0"/>
        <v>20000</v>
      </c>
      <c r="AP14" s="44">
        <f t="shared" si="1"/>
        <v>20000</v>
      </c>
      <c r="AQ14" s="44" t="str">
        <f t="shared" si="2"/>
        <v xml:space="preserve"> </v>
      </c>
      <c r="AR14" s="44">
        <f t="shared" si="3"/>
        <v>0</v>
      </c>
      <c r="AS14" s="44">
        <f t="shared" si="4"/>
        <v>0</v>
      </c>
      <c r="AT14" s="44" t="str">
        <f t="shared" si="5"/>
        <v xml:space="preserve"> </v>
      </c>
      <c r="AU14" s="44">
        <f t="shared" si="6"/>
        <v>0</v>
      </c>
      <c r="AV14" s="44">
        <f t="shared" si="7"/>
        <v>0</v>
      </c>
      <c r="AW14" s="44" t="str">
        <f t="shared" si="8"/>
        <v xml:space="preserve"> </v>
      </c>
      <c r="AX14" s="140" t="e">
        <f t="shared" si="9"/>
        <v>#DIV/0!</v>
      </c>
      <c r="AY14" s="140" t="e">
        <f t="shared" si="10"/>
        <v>#DIV/0!</v>
      </c>
      <c r="AZ14" s="140" t="str">
        <f t="shared" si="11"/>
        <v xml:space="preserve"> </v>
      </c>
      <c r="BA14" s="228"/>
    </row>
    <row r="15" spans="1:53" x14ac:dyDescent="0.3">
      <c r="B15" s="18">
        <f>Lab_Code!$C$1</f>
        <v>999</v>
      </c>
      <c r="C15" s="60">
        <v>1</v>
      </c>
      <c r="D15" s="60">
        <v>2</v>
      </c>
      <c r="E15" s="60" t="s">
        <v>7</v>
      </c>
      <c r="F15" s="60" t="s">
        <v>132</v>
      </c>
      <c r="G15" s="60" t="s">
        <v>398</v>
      </c>
      <c r="H15" s="61"/>
      <c r="I15" s="60" t="s">
        <v>148</v>
      </c>
      <c r="J15" s="172">
        <v>0.7</v>
      </c>
      <c r="K15" s="172"/>
      <c r="L15" s="172">
        <v>0.7</v>
      </c>
      <c r="M15" s="60">
        <v>5</v>
      </c>
      <c r="N15" s="60">
        <v>9</v>
      </c>
      <c r="O15" s="60">
        <v>0.432</v>
      </c>
      <c r="P15" s="60">
        <v>20000</v>
      </c>
      <c r="Q15" s="60">
        <v>0</v>
      </c>
      <c r="R15" s="60">
        <v>20000</v>
      </c>
      <c r="S15" s="60">
        <v>0</v>
      </c>
      <c r="T15" s="60"/>
      <c r="U15" s="60"/>
      <c r="V15" s="177">
        <v>0</v>
      </c>
      <c r="W15" s="177">
        <v>0</v>
      </c>
      <c r="X15" s="177">
        <v>0</v>
      </c>
      <c r="Y15" s="177">
        <v>0</v>
      </c>
      <c r="Z15" s="177">
        <v>0</v>
      </c>
      <c r="AA15" s="177">
        <v>0</v>
      </c>
      <c r="AB15" s="177"/>
      <c r="AC15" s="177"/>
      <c r="AD15" s="177"/>
      <c r="AE15" s="177">
        <v>0</v>
      </c>
      <c r="AF15" s="177">
        <v>0</v>
      </c>
      <c r="AG15" s="177"/>
      <c r="AH15" s="60" t="s">
        <v>159</v>
      </c>
      <c r="AI15" s="60" t="s">
        <v>159</v>
      </c>
      <c r="AJ15" s="60" t="s">
        <v>209</v>
      </c>
      <c r="AK15" s="177"/>
      <c r="AL15" s="44" t="str">
        <f ca="1">OFFSET(Dropdown_Data!$P$1, MATCH(dPCR_Sample_Data!AH15, Dropdown_Data!$O$2:$O$14,0), 0)</f>
        <v>Non-detect in sample</v>
      </c>
      <c r="AM15" s="44" t="str">
        <f ca="1">OFFSET(Dropdown_Data!$P$1, MATCH(dPCR_Sample_Data!AI15, Dropdown_Data!$O$2:$O$14,0), 0)</f>
        <v>Non-detect in sample</v>
      </c>
      <c r="AN15" s="44" t="str">
        <f ca="1">OFFSET(Dropdown_Data!$P$1, MATCH(dPCR_Sample_Data!AJ15, Dropdown_Data!$O$2:$O$14,0), 0)</f>
        <v>No qualifier</v>
      </c>
      <c r="AO15" s="44">
        <f t="shared" si="0"/>
        <v>20000</v>
      </c>
      <c r="AP15" s="44">
        <f t="shared" si="1"/>
        <v>20000</v>
      </c>
      <c r="AQ15" s="44" t="str">
        <f t="shared" si="2"/>
        <v xml:space="preserve"> </v>
      </c>
      <c r="AR15" s="44">
        <f t="shared" si="3"/>
        <v>0</v>
      </c>
      <c r="AS15" s="44">
        <f t="shared" si="4"/>
        <v>0</v>
      </c>
      <c r="AT15" s="44" t="str">
        <f t="shared" si="5"/>
        <v xml:space="preserve"> </v>
      </c>
      <c r="AU15" s="44">
        <f t="shared" si="6"/>
        <v>0</v>
      </c>
      <c r="AV15" s="44">
        <f t="shared" si="7"/>
        <v>0</v>
      </c>
      <c r="AW15" s="44" t="str">
        <f t="shared" si="8"/>
        <v xml:space="preserve"> </v>
      </c>
      <c r="AX15" s="140" t="e">
        <f t="shared" si="9"/>
        <v>#DIV/0!</v>
      </c>
      <c r="AY15" s="140" t="e">
        <f t="shared" si="10"/>
        <v>#DIV/0!</v>
      </c>
      <c r="AZ15" s="140" t="str">
        <f t="shared" si="11"/>
        <v xml:space="preserve"> </v>
      </c>
      <c r="BA15" s="228"/>
    </row>
    <row r="16" spans="1:53" x14ac:dyDescent="0.3">
      <c r="B16" s="18">
        <f>Lab_Code!$C$1</f>
        <v>999</v>
      </c>
      <c r="C16" s="60">
        <v>1</v>
      </c>
      <c r="D16" s="60">
        <v>3</v>
      </c>
      <c r="E16" s="60" t="s">
        <v>7</v>
      </c>
      <c r="F16" s="60" t="s">
        <v>132</v>
      </c>
      <c r="G16" s="60" t="s">
        <v>398</v>
      </c>
      <c r="H16" s="61"/>
      <c r="I16" s="60" t="s">
        <v>148</v>
      </c>
      <c r="J16" s="172">
        <v>0.7</v>
      </c>
      <c r="K16" s="172"/>
      <c r="L16" s="172">
        <v>0.7</v>
      </c>
      <c r="M16" s="60">
        <v>5</v>
      </c>
      <c r="N16" s="60">
        <v>9</v>
      </c>
      <c r="O16" s="60">
        <v>0.432</v>
      </c>
      <c r="P16" s="60">
        <v>20000</v>
      </c>
      <c r="Q16" s="60">
        <v>0</v>
      </c>
      <c r="R16" s="60">
        <v>20000</v>
      </c>
      <c r="S16" s="60">
        <v>0</v>
      </c>
      <c r="T16" s="60"/>
      <c r="U16" s="60"/>
      <c r="V16" s="177">
        <v>0</v>
      </c>
      <c r="W16" s="177">
        <v>0</v>
      </c>
      <c r="X16" s="177">
        <v>0</v>
      </c>
      <c r="Y16" s="177">
        <v>0</v>
      </c>
      <c r="Z16" s="177">
        <v>0</v>
      </c>
      <c r="AA16" s="177">
        <v>0</v>
      </c>
      <c r="AB16" s="177"/>
      <c r="AC16" s="177"/>
      <c r="AD16" s="177"/>
      <c r="AE16" s="177">
        <v>0</v>
      </c>
      <c r="AF16" s="177">
        <v>0</v>
      </c>
      <c r="AG16" s="177"/>
      <c r="AH16" s="60" t="s">
        <v>159</v>
      </c>
      <c r="AI16" s="60" t="s">
        <v>159</v>
      </c>
      <c r="AJ16" s="60" t="s">
        <v>209</v>
      </c>
      <c r="AK16" s="177"/>
      <c r="AL16" s="44" t="str">
        <f ca="1">OFFSET(Dropdown_Data!$P$1, MATCH(dPCR_Sample_Data!AH16, Dropdown_Data!$O$2:$O$14,0), 0)</f>
        <v>Non-detect in sample</v>
      </c>
      <c r="AM16" s="44" t="str">
        <f ca="1">OFFSET(Dropdown_Data!$P$1, MATCH(dPCR_Sample_Data!AI16, Dropdown_Data!$O$2:$O$14,0), 0)</f>
        <v>Non-detect in sample</v>
      </c>
      <c r="AN16" s="44" t="str">
        <f ca="1">OFFSET(Dropdown_Data!$P$1, MATCH(dPCR_Sample_Data!AJ16, Dropdown_Data!$O$2:$O$14,0), 0)</f>
        <v>No qualifier</v>
      </c>
      <c r="AO16" s="44">
        <f t="shared" si="0"/>
        <v>20000</v>
      </c>
      <c r="AP16" s="44">
        <f t="shared" si="1"/>
        <v>20000</v>
      </c>
      <c r="AQ16" s="44" t="str">
        <f t="shared" si="2"/>
        <v xml:space="preserve"> </v>
      </c>
      <c r="AR16" s="44">
        <f t="shared" si="3"/>
        <v>0</v>
      </c>
      <c r="AS16" s="44">
        <f t="shared" si="4"/>
        <v>0</v>
      </c>
      <c r="AT16" s="44" t="str">
        <f t="shared" si="5"/>
        <v xml:space="preserve"> </v>
      </c>
      <c r="AU16" s="44">
        <f t="shared" si="6"/>
        <v>0</v>
      </c>
      <c r="AV16" s="44">
        <f t="shared" si="7"/>
        <v>0</v>
      </c>
      <c r="AW16" s="44" t="str">
        <f t="shared" si="8"/>
        <v xml:space="preserve"> </v>
      </c>
      <c r="AX16" s="140" t="e">
        <f t="shared" si="9"/>
        <v>#DIV/0!</v>
      </c>
      <c r="AY16" s="140" t="e">
        <f t="shared" si="10"/>
        <v>#DIV/0!</v>
      </c>
      <c r="AZ16" s="140" t="str">
        <f t="shared" si="11"/>
        <v xml:space="preserve"> </v>
      </c>
      <c r="BA16" s="228"/>
    </row>
    <row r="17" spans="2:53" x14ac:dyDescent="0.3">
      <c r="B17" s="18">
        <f>Lab_Code!$C$1</f>
        <v>999</v>
      </c>
      <c r="C17" s="60">
        <v>1</v>
      </c>
      <c r="D17" s="60">
        <v>1</v>
      </c>
      <c r="E17" s="60" t="s">
        <v>7</v>
      </c>
      <c r="F17" s="60" t="s">
        <v>132</v>
      </c>
      <c r="G17" s="60" t="s">
        <v>399</v>
      </c>
      <c r="H17" s="61"/>
      <c r="I17" s="60" t="s">
        <v>148</v>
      </c>
      <c r="J17" s="172">
        <v>0.7</v>
      </c>
      <c r="K17" s="172"/>
      <c r="L17" s="172">
        <v>0.7</v>
      </c>
      <c r="M17" s="60">
        <v>5</v>
      </c>
      <c r="N17" s="60">
        <v>9</v>
      </c>
      <c r="O17" s="60">
        <v>0.432</v>
      </c>
      <c r="P17" s="60">
        <v>20000</v>
      </c>
      <c r="Q17" s="60">
        <v>0</v>
      </c>
      <c r="R17" s="60">
        <v>20000</v>
      </c>
      <c r="S17" s="60">
        <v>0</v>
      </c>
      <c r="T17" s="60"/>
      <c r="U17" s="60"/>
      <c r="V17" s="177">
        <v>0</v>
      </c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177"/>
      <c r="AC17" s="177"/>
      <c r="AD17" s="177"/>
      <c r="AE17" s="177">
        <v>0</v>
      </c>
      <c r="AF17" s="177">
        <v>0</v>
      </c>
      <c r="AG17" s="177"/>
      <c r="AH17" s="60" t="s">
        <v>159</v>
      </c>
      <c r="AI17" s="60" t="s">
        <v>159</v>
      </c>
      <c r="AJ17" s="60" t="s">
        <v>209</v>
      </c>
      <c r="AK17" s="177"/>
      <c r="AL17" s="44" t="str">
        <f ca="1">OFFSET(Dropdown_Data!$P$1, MATCH(dPCR_Sample_Data!AH17, Dropdown_Data!$O$2:$O$14,0), 0)</f>
        <v>Non-detect in sample</v>
      </c>
      <c r="AM17" s="44" t="str">
        <f ca="1">OFFSET(Dropdown_Data!$P$1, MATCH(dPCR_Sample_Data!AI17, Dropdown_Data!$O$2:$O$14,0), 0)</f>
        <v>Non-detect in sample</v>
      </c>
      <c r="AN17" s="44" t="str">
        <f ca="1">OFFSET(Dropdown_Data!$P$1, MATCH(dPCR_Sample_Data!AJ17, Dropdown_Data!$O$2:$O$14,0), 0)</f>
        <v>No qualifier</v>
      </c>
      <c r="AO17" s="44">
        <f t="shared" si="0"/>
        <v>20000</v>
      </c>
      <c r="AP17" s="44">
        <f t="shared" si="1"/>
        <v>20000</v>
      </c>
      <c r="AQ17" s="44" t="str">
        <f t="shared" si="2"/>
        <v xml:space="preserve"> </v>
      </c>
      <c r="AR17" s="44">
        <f t="shared" si="3"/>
        <v>0</v>
      </c>
      <c r="AS17" s="44">
        <f t="shared" si="4"/>
        <v>0</v>
      </c>
      <c r="AT17" s="44" t="str">
        <f t="shared" si="5"/>
        <v xml:space="preserve"> </v>
      </c>
      <c r="AU17" s="44">
        <f t="shared" si="6"/>
        <v>0</v>
      </c>
      <c r="AV17" s="44">
        <f t="shared" si="7"/>
        <v>0</v>
      </c>
      <c r="AW17" s="44" t="str">
        <f t="shared" si="8"/>
        <v xml:space="preserve"> </v>
      </c>
      <c r="AX17" s="140" t="e">
        <f t="shared" si="9"/>
        <v>#DIV/0!</v>
      </c>
      <c r="AY17" s="140" t="e">
        <f t="shared" si="10"/>
        <v>#DIV/0!</v>
      </c>
      <c r="AZ17" s="140" t="str">
        <f t="shared" si="11"/>
        <v xml:space="preserve"> </v>
      </c>
      <c r="BA17" s="228"/>
    </row>
    <row r="18" spans="2:53" x14ac:dyDescent="0.3">
      <c r="B18" s="18">
        <f>Lab_Code!$C$1</f>
        <v>999</v>
      </c>
      <c r="C18" s="60">
        <v>1</v>
      </c>
      <c r="D18" s="60">
        <v>2</v>
      </c>
      <c r="E18" s="60" t="s">
        <v>7</v>
      </c>
      <c r="F18" s="60" t="s">
        <v>132</v>
      </c>
      <c r="G18" s="60" t="s">
        <v>399</v>
      </c>
      <c r="H18" s="61"/>
      <c r="I18" s="60" t="s">
        <v>148</v>
      </c>
      <c r="J18" s="172">
        <v>0.7</v>
      </c>
      <c r="K18" s="172"/>
      <c r="L18" s="172">
        <v>0.7</v>
      </c>
      <c r="M18" s="60">
        <v>5</v>
      </c>
      <c r="N18" s="60">
        <v>9</v>
      </c>
      <c r="O18" s="60">
        <v>0.432</v>
      </c>
      <c r="P18" s="60">
        <v>20000</v>
      </c>
      <c r="Q18" s="60">
        <v>0</v>
      </c>
      <c r="R18" s="60">
        <v>20000</v>
      </c>
      <c r="S18" s="60">
        <v>0</v>
      </c>
      <c r="T18" s="60"/>
      <c r="U18" s="60"/>
      <c r="V18" s="177">
        <v>0</v>
      </c>
      <c r="W18" s="177">
        <v>0</v>
      </c>
      <c r="X18" s="177">
        <v>0</v>
      </c>
      <c r="Y18" s="177">
        <v>0</v>
      </c>
      <c r="Z18" s="177">
        <v>0</v>
      </c>
      <c r="AA18" s="177">
        <v>0</v>
      </c>
      <c r="AB18" s="177"/>
      <c r="AC18" s="177"/>
      <c r="AD18" s="177"/>
      <c r="AE18" s="177">
        <v>0</v>
      </c>
      <c r="AF18" s="177">
        <v>0</v>
      </c>
      <c r="AG18" s="177"/>
      <c r="AH18" s="60" t="s">
        <v>159</v>
      </c>
      <c r="AI18" s="60" t="s">
        <v>159</v>
      </c>
      <c r="AJ18" s="60" t="s">
        <v>209</v>
      </c>
      <c r="AK18" s="177"/>
      <c r="AL18" s="44" t="str">
        <f ca="1">OFFSET(Dropdown_Data!$P$1, MATCH(dPCR_Sample_Data!AH18, Dropdown_Data!$O$2:$O$14,0), 0)</f>
        <v>Non-detect in sample</v>
      </c>
      <c r="AM18" s="44" t="str">
        <f ca="1">OFFSET(Dropdown_Data!$P$1, MATCH(dPCR_Sample_Data!AI18, Dropdown_Data!$O$2:$O$14,0), 0)</f>
        <v>Non-detect in sample</v>
      </c>
      <c r="AN18" s="44" t="str">
        <f ca="1">OFFSET(Dropdown_Data!$P$1, MATCH(dPCR_Sample_Data!AJ18, Dropdown_Data!$O$2:$O$14,0), 0)</f>
        <v>No qualifier</v>
      </c>
      <c r="AO18" s="44">
        <f t="shared" si="0"/>
        <v>20000</v>
      </c>
      <c r="AP18" s="44">
        <f t="shared" si="1"/>
        <v>20000</v>
      </c>
      <c r="AQ18" s="44" t="str">
        <f t="shared" si="2"/>
        <v xml:space="preserve"> </v>
      </c>
      <c r="AR18" s="44">
        <f t="shared" si="3"/>
        <v>0</v>
      </c>
      <c r="AS18" s="44">
        <f t="shared" si="4"/>
        <v>0</v>
      </c>
      <c r="AT18" s="44" t="str">
        <f t="shared" si="5"/>
        <v xml:space="preserve"> </v>
      </c>
      <c r="AU18" s="44">
        <f t="shared" si="6"/>
        <v>0</v>
      </c>
      <c r="AV18" s="44">
        <f t="shared" si="7"/>
        <v>0</v>
      </c>
      <c r="AW18" s="44" t="str">
        <f t="shared" si="8"/>
        <v xml:space="preserve"> </v>
      </c>
      <c r="AX18" s="140" t="e">
        <f t="shared" si="9"/>
        <v>#DIV/0!</v>
      </c>
      <c r="AY18" s="140" t="e">
        <f t="shared" si="10"/>
        <v>#DIV/0!</v>
      </c>
      <c r="AZ18" s="140" t="str">
        <f t="shared" si="11"/>
        <v xml:space="preserve"> </v>
      </c>
      <c r="BA18" s="228"/>
    </row>
    <row r="19" spans="2:53" x14ac:dyDescent="0.3">
      <c r="B19" s="18">
        <f>Lab_Code!$C$1</f>
        <v>999</v>
      </c>
      <c r="C19" s="60">
        <v>1</v>
      </c>
      <c r="D19" s="60">
        <v>3</v>
      </c>
      <c r="E19" s="60" t="s">
        <v>7</v>
      </c>
      <c r="F19" s="60" t="s">
        <v>132</v>
      </c>
      <c r="G19" s="60" t="s">
        <v>399</v>
      </c>
      <c r="H19" s="61"/>
      <c r="I19" s="60" t="s">
        <v>148</v>
      </c>
      <c r="J19" s="172">
        <v>0.7</v>
      </c>
      <c r="K19" s="172"/>
      <c r="L19" s="172">
        <v>0.7</v>
      </c>
      <c r="M19" s="60">
        <v>5</v>
      </c>
      <c r="N19" s="60">
        <v>9</v>
      </c>
      <c r="O19" s="60">
        <v>0.432</v>
      </c>
      <c r="P19" s="60">
        <v>20000</v>
      </c>
      <c r="Q19" s="60">
        <v>0</v>
      </c>
      <c r="R19" s="60">
        <v>20000</v>
      </c>
      <c r="S19" s="60">
        <v>0</v>
      </c>
      <c r="T19" s="60"/>
      <c r="U19" s="60"/>
      <c r="V19" s="177">
        <v>0</v>
      </c>
      <c r="W19" s="177">
        <v>0</v>
      </c>
      <c r="X19" s="177">
        <v>0</v>
      </c>
      <c r="Y19" s="177">
        <v>0</v>
      </c>
      <c r="Z19" s="177">
        <v>0</v>
      </c>
      <c r="AA19" s="177">
        <v>0</v>
      </c>
      <c r="AB19" s="177"/>
      <c r="AC19" s="177"/>
      <c r="AD19" s="177"/>
      <c r="AE19" s="177">
        <v>0</v>
      </c>
      <c r="AF19" s="177">
        <v>0</v>
      </c>
      <c r="AG19" s="177"/>
      <c r="AH19" s="60" t="s">
        <v>159</v>
      </c>
      <c r="AI19" s="60" t="s">
        <v>159</v>
      </c>
      <c r="AJ19" s="60" t="s">
        <v>209</v>
      </c>
      <c r="AK19" s="177"/>
      <c r="AL19" s="44" t="str">
        <f ca="1">OFFSET(Dropdown_Data!$P$1, MATCH(dPCR_Sample_Data!AH19, Dropdown_Data!$O$2:$O$14,0), 0)</f>
        <v>Non-detect in sample</v>
      </c>
      <c r="AM19" s="44" t="str">
        <f ca="1">OFFSET(Dropdown_Data!$P$1, MATCH(dPCR_Sample_Data!AI19, Dropdown_Data!$O$2:$O$14,0), 0)</f>
        <v>Non-detect in sample</v>
      </c>
      <c r="AN19" s="44" t="str">
        <f ca="1">OFFSET(Dropdown_Data!$P$1, MATCH(dPCR_Sample_Data!AJ19, Dropdown_Data!$O$2:$O$14,0), 0)</f>
        <v>No qualifier</v>
      </c>
      <c r="AO19" s="44">
        <f t="shared" si="0"/>
        <v>20000</v>
      </c>
      <c r="AP19" s="44">
        <f t="shared" si="1"/>
        <v>20000</v>
      </c>
      <c r="AQ19" s="44" t="str">
        <f t="shared" si="2"/>
        <v xml:space="preserve"> </v>
      </c>
      <c r="AR19" s="44">
        <f t="shared" si="3"/>
        <v>0</v>
      </c>
      <c r="AS19" s="44">
        <f t="shared" si="4"/>
        <v>0</v>
      </c>
      <c r="AT19" s="44" t="str">
        <f t="shared" si="5"/>
        <v xml:space="preserve"> </v>
      </c>
      <c r="AU19" s="44">
        <f t="shared" si="6"/>
        <v>0</v>
      </c>
      <c r="AV19" s="44">
        <f t="shared" si="7"/>
        <v>0</v>
      </c>
      <c r="AW19" s="44" t="str">
        <f t="shared" si="8"/>
        <v xml:space="preserve"> </v>
      </c>
      <c r="AX19" s="140" t="e">
        <f t="shared" si="9"/>
        <v>#DIV/0!</v>
      </c>
      <c r="AY19" s="140" t="e">
        <f t="shared" si="10"/>
        <v>#DIV/0!</v>
      </c>
      <c r="AZ19" s="140" t="str">
        <f t="shared" si="11"/>
        <v xml:space="preserve"> </v>
      </c>
      <c r="BA19" s="228"/>
    </row>
    <row r="20" spans="2:53" x14ac:dyDescent="0.3">
      <c r="B20" s="18">
        <f>Lab_Code!$C$1</f>
        <v>999</v>
      </c>
      <c r="C20" s="60">
        <v>0</v>
      </c>
      <c r="D20" s="60">
        <v>1</v>
      </c>
      <c r="E20" s="60" t="s">
        <v>694</v>
      </c>
      <c r="F20" s="60"/>
      <c r="G20" s="60" t="s">
        <v>395</v>
      </c>
      <c r="H20" s="61"/>
      <c r="I20" s="60"/>
      <c r="J20" s="172">
        <v>0.7</v>
      </c>
      <c r="K20" s="172"/>
      <c r="L20" s="172">
        <v>0.7</v>
      </c>
      <c r="M20" s="60">
        <v>5</v>
      </c>
      <c r="N20" s="60">
        <v>9</v>
      </c>
      <c r="O20" s="60">
        <v>0.432</v>
      </c>
      <c r="P20" s="60">
        <v>20000</v>
      </c>
      <c r="Q20" s="60">
        <v>50</v>
      </c>
      <c r="R20" s="60">
        <v>20000</v>
      </c>
      <c r="S20" s="60">
        <v>50</v>
      </c>
      <c r="T20" s="60">
        <v>20000</v>
      </c>
      <c r="U20" s="60">
        <v>50</v>
      </c>
      <c r="V20" s="177">
        <v>5</v>
      </c>
      <c r="W20" s="177">
        <v>6</v>
      </c>
      <c r="X20" s="177">
        <v>7</v>
      </c>
      <c r="Y20" s="177">
        <v>5</v>
      </c>
      <c r="Z20" s="177">
        <v>6</v>
      </c>
      <c r="AA20" s="177">
        <v>7</v>
      </c>
      <c r="AB20" s="177">
        <v>5</v>
      </c>
      <c r="AC20" s="177">
        <v>6</v>
      </c>
      <c r="AD20" s="177">
        <v>7</v>
      </c>
      <c r="AE20" s="177">
        <v>5</v>
      </c>
      <c r="AF20" s="177">
        <v>6</v>
      </c>
      <c r="AG20" s="177">
        <v>7</v>
      </c>
      <c r="AH20" s="60" t="s">
        <v>209</v>
      </c>
      <c r="AI20" s="60" t="s">
        <v>209</v>
      </c>
      <c r="AJ20" s="60" t="s">
        <v>209</v>
      </c>
      <c r="AK20" s="60" t="s">
        <v>713</v>
      </c>
      <c r="AL20" s="44" t="str">
        <f ca="1">OFFSET(Dropdown_Data!$P$1, MATCH(dPCR_Sample_Data!AH20, Dropdown_Data!$O$2:$O$14,0), 0)</f>
        <v>No qualifier</v>
      </c>
      <c r="AM20" s="44" t="str">
        <f ca="1">OFFSET(Dropdown_Data!$P$1, MATCH(dPCR_Sample_Data!AI20, Dropdown_Data!$O$2:$O$14,0), 0)</f>
        <v>No qualifier</v>
      </c>
      <c r="AN20" s="44" t="str">
        <f ca="1">OFFSET(Dropdown_Data!$P$1, MATCH(dPCR_Sample_Data!AJ20, Dropdown_Data!$O$2:$O$14,0), 0)</f>
        <v>No qualifier</v>
      </c>
      <c r="AO20" s="44">
        <f>IF(ISBLANK(P20)," ",P20-Q20)</f>
        <v>19950</v>
      </c>
      <c r="AP20" s="44">
        <f t="shared" si="1"/>
        <v>19950</v>
      </c>
      <c r="AQ20" s="44">
        <f t="shared" si="2"/>
        <v>19950</v>
      </c>
      <c r="AR20" s="44">
        <f>IF(ISBLANK(P20)," ",LN(Q20/AO20+1)/$O20*1000)</f>
        <v>5.7942829123112842</v>
      </c>
      <c r="AS20" s="44">
        <f t="shared" si="4"/>
        <v>5.7942829123112842</v>
      </c>
      <c r="AT20" s="44">
        <f t="shared" si="5"/>
        <v>5.7942829123112842</v>
      </c>
      <c r="AU20" s="44">
        <f>IF(ISBLANK(P20)," ",AR20*$N20/$J20)</f>
        <v>74.497923158287946</v>
      </c>
      <c r="AV20" s="44">
        <f t="shared" si="7"/>
        <v>74.497923158287946</v>
      </c>
      <c r="AW20" s="44">
        <f t="shared" si="8"/>
        <v>74.497923158287946</v>
      </c>
      <c r="AX20" s="140">
        <f t="shared" si="9"/>
        <v>93.28840350438179</v>
      </c>
      <c r="AY20" s="140">
        <f t="shared" si="10"/>
        <v>91.946084205258146</v>
      </c>
      <c r="AZ20" s="140">
        <f t="shared" si="11"/>
        <v>90.603764906134515</v>
      </c>
      <c r="BA20" s="228"/>
    </row>
    <row r="21" spans="2:53" x14ac:dyDescent="0.3">
      <c r="B21" s="18">
        <f>Lab_Code!$C$1</f>
        <v>999</v>
      </c>
      <c r="C21" s="60">
        <v>0</v>
      </c>
      <c r="D21" s="60">
        <v>1</v>
      </c>
      <c r="E21" s="60" t="s">
        <v>694</v>
      </c>
      <c r="F21" s="60"/>
      <c r="G21" s="60" t="s">
        <v>396</v>
      </c>
      <c r="H21" s="61"/>
      <c r="I21" s="60"/>
      <c r="J21" s="172"/>
      <c r="K21" s="172"/>
      <c r="L21" s="172"/>
      <c r="M21" s="60">
        <v>5</v>
      </c>
      <c r="N21" s="60">
        <v>9</v>
      </c>
      <c r="O21" s="60">
        <v>0.432</v>
      </c>
      <c r="P21" s="60">
        <v>20000</v>
      </c>
      <c r="Q21" s="60">
        <v>150</v>
      </c>
      <c r="R21" s="60">
        <v>20000</v>
      </c>
      <c r="S21" s="60">
        <v>150</v>
      </c>
      <c r="T21" s="60">
        <v>20000</v>
      </c>
      <c r="U21" s="60">
        <v>150</v>
      </c>
      <c r="V21" s="177">
        <v>15</v>
      </c>
      <c r="W21" s="177">
        <v>16</v>
      </c>
      <c r="X21" s="177">
        <v>17</v>
      </c>
      <c r="Y21" s="177">
        <v>15</v>
      </c>
      <c r="Z21" s="177">
        <v>16</v>
      </c>
      <c r="AA21" s="177">
        <v>17</v>
      </c>
      <c r="AB21" s="177">
        <v>15</v>
      </c>
      <c r="AC21" s="177">
        <v>16</v>
      </c>
      <c r="AD21" s="177">
        <v>17</v>
      </c>
      <c r="AE21" s="177">
        <v>15</v>
      </c>
      <c r="AF21" s="177">
        <v>16</v>
      </c>
      <c r="AG21" s="177">
        <v>17</v>
      </c>
      <c r="AH21" s="60" t="s">
        <v>209</v>
      </c>
      <c r="AI21" s="60" t="s">
        <v>209</v>
      </c>
      <c r="AJ21" s="60" t="s">
        <v>209</v>
      </c>
      <c r="AK21" s="60" t="s">
        <v>713</v>
      </c>
      <c r="AL21" s="44" t="str">
        <f ca="1">OFFSET(Dropdown_Data!$P$1, MATCH(dPCR_Sample_Data!AH21, Dropdown_Data!$O$2:$O$14,0), 0)</f>
        <v>No qualifier</v>
      </c>
      <c r="AM21" s="44" t="str">
        <f ca="1">OFFSET(Dropdown_Data!$P$1, MATCH(dPCR_Sample_Data!AI21, Dropdown_Data!$O$2:$O$14,0), 0)</f>
        <v>No qualifier</v>
      </c>
      <c r="AN21" s="44" t="str">
        <f ca="1">OFFSET(Dropdown_Data!$P$1, MATCH(dPCR_Sample_Data!AJ21, Dropdown_Data!$O$2:$O$14,0), 0)</f>
        <v>No qualifier</v>
      </c>
      <c r="AO21" s="44">
        <f>IF(ISBLANK(P21)," ",P21-Q21)</f>
        <v>19850</v>
      </c>
      <c r="AP21" s="44">
        <f t="shared" si="1"/>
        <v>19850</v>
      </c>
      <c r="AQ21" s="44">
        <f t="shared" si="2"/>
        <v>19850</v>
      </c>
      <c r="AR21" s="44">
        <f>IF(ISBLANK(P21)," ",LN(Q21/AO21+1)/$O21*1000)</f>
        <v>17.426542640721266</v>
      </c>
      <c r="AS21" s="44">
        <f t="shared" si="4"/>
        <v>17.426542640721266</v>
      </c>
      <c r="AT21" s="44">
        <f t="shared" si="5"/>
        <v>17.426542640721266</v>
      </c>
      <c r="AU21" s="44" t="e">
        <f>IF(ISBLANK(P21)," ",AR21*$N21/$J21)</f>
        <v>#DIV/0!</v>
      </c>
      <c r="AV21" s="44" t="e">
        <f t="shared" si="7"/>
        <v>#DIV/0!</v>
      </c>
      <c r="AW21" s="44" t="e">
        <f t="shared" si="8"/>
        <v>#DIV/0!</v>
      </c>
      <c r="AX21" s="140" t="e">
        <f t="shared" si="9"/>
        <v>#DIV/0!</v>
      </c>
      <c r="AY21" s="140" t="e">
        <f t="shared" si="10"/>
        <v>#DIV/0!</v>
      </c>
      <c r="AZ21" s="140" t="e">
        <f t="shared" si="11"/>
        <v>#DIV/0!</v>
      </c>
      <c r="BA21" s="228"/>
    </row>
    <row r="22" spans="2:53" x14ac:dyDescent="0.3">
      <c r="B22" s="18">
        <f>Lab_Code!$C$1</f>
        <v>999</v>
      </c>
      <c r="C22" s="60">
        <v>0</v>
      </c>
      <c r="D22" s="60">
        <v>1</v>
      </c>
      <c r="E22" s="60" t="s">
        <v>694</v>
      </c>
      <c r="F22" s="60"/>
      <c r="G22" s="60" t="s">
        <v>398</v>
      </c>
      <c r="H22" s="61"/>
      <c r="I22" s="60"/>
      <c r="J22" s="172"/>
      <c r="K22" s="172"/>
      <c r="L22" s="172"/>
      <c r="M22" s="60">
        <v>5</v>
      </c>
      <c r="N22" s="60">
        <v>9</v>
      </c>
      <c r="O22" s="60">
        <v>0.432</v>
      </c>
      <c r="P22" s="60">
        <v>20000</v>
      </c>
      <c r="Q22" s="60">
        <v>0</v>
      </c>
      <c r="R22" s="60">
        <v>20000</v>
      </c>
      <c r="S22" s="60">
        <v>0</v>
      </c>
      <c r="T22" s="60">
        <v>20000</v>
      </c>
      <c r="U22" s="60">
        <v>0</v>
      </c>
      <c r="V22" s="177">
        <v>0</v>
      </c>
      <c r="W22" s="177">
        <v>0</v>
      </c>
      <c r="X22" s="177">
        <v>0</v>
      </c>
      <c r="Y22" s="177">
        <v>0</v>
      </c>
      <c r="Z22" s="177">
        <v>0</v>
      </c>
      <c r="AA22" s="177">
        <v>0</v>
      </c>
      <c r="AB22" s="177">
        <v>0</v>
      </c>
      <c r="AC22" s="177">
        <v>0</v>
      </c>
      <c r="AD22" s="177">
        <v>0</v>
      </c>
      <c r="AE22" s="177">
        <v>0</v>
      </c>
      <c r="AF22" s="177">
        <v>0</v>
      </c>
      <c r="AG22" s="177">
        <v>0</v>
      </c>
      <c r="AH22" s="60" t="s">
        <v>159</v>
      </c>
      <c r="AI22" s="60" t="s">
        <v>159</v>
      </c>
      <c r="AJ22" s="60" t="s">
        <v>209</v>
      </c>
      <c r="AK22" s="60" t="s">
        <v>713</v>
      </c>
      <c r="AL22" s="44" t="str">
        <f ca="1">OFFSET(Dropdown_Data!$P$1, MATCH(dPCR_Sample_Data!AH22, Dropdown_Data!$O$2:$O$14,0), 0)</f>
        <v>Non-detect in sample</v>
      </c>
      <c r="AM22" s="44" t="str">
        <f ca="1">OFFSET(Dropdown_Data!$P$1, MATCH(dPCR_Sample_Data!AI22, Dropdown_Data!$O$2:$O$14,0), 0)</f>
        <v>Non-detect in sample</v>
      </c>
      <c r="AN22" s="44" t="str">
        <f ca="1">OFFSET(Dropdown_Data!$P$1, MATCH(dPCR_Sample_Data!AJ22, Dropdown_Data!$O$2:$O$14,0), 0)</f>
        <v>No qualifier</v>
      </c>
      <c r="AO22" s="44">
        <f t="shared" si="0"/>
        <v>20000</v>
      </c>
      <c r="AP22" s="44">
        <f t="shared" si="1"/>
        <v>20000</v>
      </c>
      <c r="AQ22" s="44">
        <f t="shared" si="2"/>
        <v>20000</v>
      </c>
      <c r="AR22" s="44">
        <f t="shared" si="3"/>
        <v>0</v>
      </c>
      <c r="AS22" s="44">
        <f t="shared" si="4"/>
        <v>0</v>
      </c>
      <c r="AT22" s="44">
        <f t="shared" si="5"/>
        <v>0</v>
      </c>
      <c r="AU22" s="44" t="e">
        <f t="shared" si="6"/>
        <v>#DIV/0!</v>
      </c>
      <c r="AV22" s="44" t="e">
        <f t="shared" si="7"/>
        <v>#DIV/0!</v>
      </c>
      <c r="AW22" s="44" t="e">
        <f t="shared" si="8"/>
        <v>#DIV/0!</v>
      </c>
      <c r="AX22" s="140" t="e">
        <f t="shared" si="9"/>
        <v>#DIV/0!</v>
      </c>
      <c r="AY22" s="140" t="e">
        <f t="shared" si="10"/>
        <v>#DIV/0!</v>
      </c>
      <c r="AZ22" s="140" t="e">
        <f t="shared" si="11"/>
        <v>#DIV/0!</v>
      </c>
      <c r="BA22" s="228"/>
    </row>
    <row r="23" spans="2:53" x14ac:dyDescent="0.3">
      <c r="B23" s="18">
        <f>Lab_Code!$C$1</f>
        <v>999</v>
      </c>
      <c r="C23" s="60">
        <v>0</v>
      </c>
      <c r="D23" s="60">
        <v>1</v>
      </c>
      <c r="E23" s="60" t="s">
        <v>694</v>
      </c>
      <c r="F23" s="60"/>
      <c r="G23" s="60" t="s">
        <v>399</v>
      </c>
      <c r="H23" s="61"/>
      <c r="I23" s="60"/>
      <c r="J23" s="172"/>
      <c r="K23" s="172"/>
      <c r="L23" s="172"/>
      <c r="M23" s="60">
        <v>5</v>
      </c>
      <c r="N23" s="60">
        <v>9</v>
      </c>
      <c r="O23" s="60">
        <v>0.432</v>
      </c>
      <c r="P23" s="60">
        <v>20000</v>
      </c>
      <c r="Q23" s="60">
        <v>250</v>
      </c>
      <c r="R23" s="60">
        <v>20000</v>
      </c>
      <c r="S23" s="60">
        <v>250</v>
      </c>
      <c r="T23" s="60">
        <v>20000</v>
      </c>
      <c r="U23" s="60">
        <v>250</v>
      </c>
      <c r="V23" s="177">
        <v>30</v>
      </c>
      <c r="W23" s="177">
        <v>29</v>
      </c>
      <c r="X23" s="177">
        <v>28</v>
      </c>
      <c r="Y23" s="177">
        <v>30</v>
      </c>
      <c r="Z23" s="177">
        <v>29</v>
      </c>
      <c r="AA23" s="177">
        <v>28</v>
      </c>
      <c r="AB23" s="177">
        <v>30</v>
      </c>
      <c r="AC23" s="177">
        <v>29</v>
      </c>
      <c r="AD23" s="177">
        <v>28</v>
      </c>
      <c r="AE23" s="177">
        <v>30</v>
      </c>
      <c r="AF23" s="177">
        <v>29</v>
      </c>
      <c r="AG23" s="177">
        <v>28</v>
      </c>
      <c r="AH23" s="60" t="s">
        <v>209</v>
      </c>
      <c r="AI23" s="60" t="s">
        <v>209</v>
      </c>
      <c r="AJ23" s="60" t="s">
        <v>209</v>
      </c>
      <c r="AK23" s="60" t="s">
        <v>713</v>
      </c>
      <c r="AL23" s="44" t="str">
        <f ca="1">OFFSET(Dropdown_Data!$P$1, MATCH(dPCR_Sample_Data!AH23, Dropdown_Data!$O$2:$O$14,0), 0)</f>
        <v>No qualifier</v>
      </c>
      <c r="AM23" s="44" t="str">
        <f ca="1">OFFSET(Dropdown_Data!$P$1, MATCH(dPCR_Sample_Data!AI23, Dropdown_Data!$O$2:$O$14,0), 0)</f>
        <v>No qualifier</v>
      </c>
      <c r="AN23" s="44" t="str">
        <f ca="1">OFFSET(Dropdown_Data!$P$1, MATCH(dPCR_Sample_Data!AJ23, Dropdown_Data!$O$2:$O$14,0), 0)</f>
        <v>No qualifier</v>
      </c>
      <c r="AO23" s="44">
        <f t="shared" si="0"/>
        <v>19750</v>
      </c>
      <c r="AP23" s="44">
        <f t="shared" si="1"/>
        <v>19750</v>
      </c>
      <c r="AQ23" s="44">
        <f t="shared" si="2"/>
        <v>19750</v>
      </c>
      <c r="AR23" s="44">
        <f t="shared" si="3"/>
        <v>29.11755140476895</v>
      </c>
      <c r="AS23" s="44">
        <f t="shared" si="4"/>
        <v>29.11755140476895</v>
      </c>
      <c r="AT23" s="44">
        <f t="shared" si="5"/>
        <v>29.11755140476895</v>
      </c>
      <c r="AU23" s="44" t="e">
        <f t="shared" si="6"/>
        <v>#DIV/0!</v>
      </c>
      <c r="AV23" s="44" t="e">
        <f t="shared" si="7"/>
        <v>#DIV/0!</v>
      </c>
      <c r="AW23" s="44" t="e">
        <f t="shared" si="8"/>
        <v>#DIV/0!</v>
      </c>
      <c r="AX23" s="140" t="e">
        <f t="shared" si="9"/>
        <v>#DIV/0!</v>
      </c>
      <c r="AY23" s="140" t="e">
        <f t="shared" si="10"/>
        <v>#DIV/0!</v>
      </c>
      <c r="AZ23" s="140" t="e">
        <f t="shared" si="11"/>
        <v>#DIV/0!</v>
      </c>
      <c r="BA23" s="228"/>
    </row>
  </sheetData>
  <mergeCells count="19">
    <mergeCell ref="AE4:AG4"/>
    <mergeCell ref="AK4:AK6"/>
    <mergeCell ref="AX4:AZ4"/>
    <mergeCell ref="AH4:AJ4"/>
    <mergeCell ref="AL4:AN4"/>
    <mergeCell ref="AO4:AQ4"/>
    <mergeCell ref="AR4:AT4"/>
    <mergeCell ref="AU4:AW4"/>
    <mergeCell ref="AB5:AD5"/>
    <mergeCell ref="V4:AD4"/>
    <mergeCell ref="C1:D1"/>
    <mergeCell ref="C2:D2"/>
    <mergeCell ref="C3:D3"/>
    <mergeCell ref="P4:U4"/>
    <mergeCell ref="P5:Q5"/>
    <mergeCell ref="R5:S5"/>
    <mergeCell ref="T5:U5"/>
    <mergeCell ref="V5:X5"/>
    <mergeCell ref="Y5:AA5"/>
  </mergeCells>
  <conditionalFormatting sqref="D23:O23 M16:O20 K13:O15 C13:I19 K16:K20 D20:I22 K21:O22 C8:Q10 C11:O12 S8:AK19 S20:S23 P11:Q23 U20:AK23">
    <cfRule type="expression" dxfId="9" priority="7">
      <formula>MOD(ROW(),2)=0</formula>
    </cfRule>
  </conditionalFormatting>
  <conditionalFormatting sqref="C20:C23">
    <cfRule type="expression" dxfId="8" priority="6">
      <formula>MOD(ROW(),2)=0</formula>
    </cfRule>
  </conditionalFormatting>
  <conditionalFormatting sqref="L16:L20">
    <cfRule type="expression" dxfId="4" priority="5">
      <formula>MOD(ROW(),2)=0</formula>
    </cfRule>
  </conditionalFormatting>
  <conditionalFormatting sqref="J13:J17">
    <cfRule type="expression" dxfId="3" priority="4">
      <formula>MOD(ROW(),2)=0</formula>
    </cfRule>
  </conditionalFormatting>
  <conditionalFormatting sqref="J18:J22">
    <cfRule type="expression" dxfId="2" priority="3">
      <formula>MOD(ROW(),2)=0</formula>
    </cfRule>
  </conditionalFormatting>
  <conditionalFormatting sqref="R8:R23">
    <cfRule type="expression" dxfId="1" priority="2">
      <formula>MOD(ROW(),2)=0</formula>
    </cfRule>
  </conditionalFormatting>
  <conditionalFormatting sqref="T20:T23">
    <cfRule type="expression" dxfId="0" priority="1">
      <formula>MOD(ROW(),2)=0</formula>
    </cfRule>
  </conditionalFormatting>
  <dataValidations count="8">
    <dataValidation type="decimal" allowBlank="1" showInputMessage="1" showErrorMessage="1" sqref="M1:M5 O1:O5 O7:O1048576 M7:M1048576 N1:N1048576">
      <formula1>0.0001</formula1>
      <formula2>1000</formula2>
    </dataValidation>
    <dataValidation type="decimal" allowBlank="1" showInputMessage="1" sqref="O6">
      <formula1>0.0001</formula1>
      <formula2>1000</formula2>
    </dataValidation>
    <dataValidation errorStyle="information" allowBlank="1" sqref="AK20:AK23"/>
    <dataValidation allowBlank="1" showErrorMessage="1" sqref="AO8:AP23 P8:AG23"/>
    <dataValidation allowBlank="1" showInputMessage="1" showErrorMessage="1" prompt="Condition upon arrival, e.g., frozen? 5°C upon arrival?" sqref="B3"/>
    <dataValidation allowBlank="1" showInputMessage="1" showErrorMessage="1" prompt="Approximate Concentration Factor (per Pecson et al., 2020)" sqref="K8:K23"/>
    <dataValidation allowBlank="1" showInputMessage="1" showErrorMessage="1" prompt="Refer to ESV_CF_Calc tab" sqref="L8:L23 J8:J23"/>
    <dataValidation type="list" allowBlank="1" showInputMessage="1" showErrorMessage="1" sqref="H8:H23">
      <formula1>IF(OR(G8="Influenza A", G8= "Influenza B", G8= "RSV", G8= "RSV A", G8= "RSV B"),influenza_rsv,long_list)</formula1>
    </dataValidation>
  </dataValidations>
  <pageMargins left="0.7" right="0.7" top="1.5" bottom="0.75" header="0.3" footer="0.3"/>
  <pageSetup scale="74" orientation="landscape" r:id="rId1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Dropdown_Data!$E$2:$E$8</xm:f>
          </x14:formula1>
          <xm:sqref>F8:F23</xm:sqref>
        </x14:dataValidation>
        <x14:dataValidation type="list" allowBlank="1" showInputMessage="1" showErrorMessage="1">
          <x14:formula1>
            <xm:f>Dropdown_Data!$F$2:$F$25</xm:f>
          </x14:formula1>
          <xm:sqref>G8:G23</xm:sqref>
        </x14:dataValidation>
        <x14:dataValidation type="list" allowBlank="1" showInputMessage="1" showErrorMessage="1">
          <x14:formula1>
            <xm:f>Dropdown_Data!$O$2:$O$8</xm:f>
          </x14:formula1>
          <xm:sqref>AH8:AJ23</xm:sqref>
        </x14:dataValidation>
        <x14:dataValidation type="list" allowBlank="1" showInputMessage="1" showErrorMessage="1">
          <x14:formula1>
            <xm:f>Dropdown_Data!$J$2:$J$7</xm:f>
          </x14:formula1>
          <xm:sqref>I8:I23</xm:sqref>
        </x14:dataValidation>
        <x14:dataValidation type="list" allowBlank="1" showInputMessage="1" showErrorMessage="1">
          <x14:formula1>
            <xm:f>Dropdown_Data!$V$2:$V$11</xm:f>
          </x14:formula1>
          <xm:sqref>C8:C19</xm:sqref>
        </x14:dataValidation>
        <x14:dataValidation type="list" allowBlank="1" showInputMessage="1" showErrorMessage="1">
          <x14:formula1>
            <xm:f>Dropdown_Data!$B$2:$B$3</xm:f>
          </x14:formula1>
          <xm:sqref>E8:E23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"/>
  <sheetViews>
    <sheetView zoomScale="85" zoomScaleNormal="85" workbookViewId="0">
      <selection activeCell="A3" sqref="A3"/>
    </sheetView>
  </sheetViews>
  <sheetFormatPr defaultColWidth="8.77734375" defaultRowHeight="14.4" x14ac:dyDescent="0.3"/>
  <sheetData>
    <row r="2" spans="2:2" ht="31.2" x14ac:dyDescent="0.6">
      <c r="B2" s="16" t="s">
        <v>286</v>
      </c>
    </row>
  </sheetData>
  <customSheetViews>
    <customSheetView guid="{95CD56FE-1162-4AE7-88D2-9EB3DF57F0D2}" scale="85">
      <selection activeCell="Z24" sqref="Z24:Z25"/>
      <pageMargins left="0.7" right="0.7" top="0.75" bottom="0.75" header="0.3" footer="0.3"/>
    </customSheetView>
  </customSheetViews>
  <hyperlinks>
    <hyperlink ref="B2" r:id="rId1"/>
  </hyperlinks>
  <pageMargins left="0.7" right="0.7" top="1.5" bottom="0.75" header="0.3" footer="0.3"/>
  <pageSetup scale="74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4.9989318521683403E-2"/>
  </sheetPr>
  <dimension ref="A1:V57"/>
  <sheetViews>
    <sheetView tabSelected="1" zoomScaleNormal="100" workbookViewId="0">
      <selection activeCell="B18" sqref="B18"/>
    </sheetView>
  </sheetViews>
  <sheetFormatPr defaultColWidth="8.77734375" defaultRowHeight="14.4" x14ac:dyDescent="0.3"/>
  <cols>
    <col min="1" max="1" width="16.44140625" customWidth="1"/>
    <col min="2" max="2" width="31.77734375" bestFit="1" customWidth="1"/>
    <col min="3" max="3" width="19.44140625" bestFit="1" customWidth="1"/>
    <col min="4" max="4" width="35.44140625" customWidth="1"/>
    <col min="5" max="5" width="43.44140625" bestFit="1" customWidth="1"/>
    <col min="6" max="6" width="25.44140625" bestFit="1" customWidth="1"/>
    <col min="7" max="7" width="25.77734375" customWidth="1"/>
    <col min="8" max="9" width="27.77734375" customWidth="1"/>
    <col min="10" max="10" width="22.77734375" customWidth="1"/>
    <col min="11" max="11" width="27.109375" bestFit="1" customWidth="1"/>
    <col min="12" max="12" width="25.77734375" bestFit="1" customWidth="1"/>
    <col min="13" max="13" width="20.109375" bestFit="1" customWidth="1"/>
    <col min="14" max="14" width="36.109375" bestFit="1" customWidth="1"/>
    <col min="15" max="15" width="9.109375" customWidth="1"/>
    <col min="16" max="16" width="72.109375" customWidth="1"/>
    <col min="17" max="17" width="33" bestFit="1" customWidth="1"/>
    <col min="18" max="18" width="18.77734375" customWidth="1"/>
    <col min="19" max="19" width="52.109375" bestFit="1" customWidth="1"/>
    <col min="20" max="20" width="20.44140625" customWidth="1"/>
    <col min="22" max="22" width="28.109375" bestFit="1" customWidth="1"/>
  </cols>
  <sheetData>
    <row r="1" spans="1:22" x14ac:dyDescent="0.3">
      <c r="A1" s="156"/>
      <c r="B1" s="157" t="s">
        <v>1</v>
      </c>
      <c r="C1" s="157"/>
      <c r="D1" s="156" t="s">
        <v>178</v>
      </c>
      <c r="E1" s="157" t="s">
        <v>133</v>
      </c>
      <c r="F1" s="157" t="s">
        <v>2</v>
      </c>
      <c r="G1" s="157"/>
      <c r="H1" s="157" t="s">
        <v>3</v>
      </c>
      <c r="I1" s="157" t="s">
        <v>406</v>
      </c>
      <c r="J1" s="157" t="s">
        <v>4</v>
      </c>
      <c r="K1" s="157" t="s">
        <v>276</v>
      </c>
      <c r="L1" s="157" t="s">
        <v>275</v>
      </c>
      <c r="M1" s="157" t="s">
        <v>5</v>
      </c>
      <c r="N1" s="157" t="s">
        <v>130</v>
      </c>
      <c r="O1" s="158" t="s">
        <v>201</v>
      </c>
      <c r="P1" s="158" t="s">
        <v>208</v>
      </c>
      <c r="Q1" s="158" t="s">
        <v>221</v>
      </c>
      <c r="R1" s="158" t="s">
        <v>270</v>
      </c>
      <c r="S1" s="158" t="s">
        <v>359</v>
      </c>
      <c r="T1" s="158" t="s">
        <v>429</v>
      </c>
      <c r="U1" s="158" t="s">
        <v>464</v>
      </c>
      <c r="V1" s="158" t="s">
        <v>670</v>
      </c>
    </row>
    <row r="2" spans="1:22" x14ac:dyDescent="0.3">
      <c r="A2" s="159"/>
      <c r="B2" s="159" t="s">
        <v>7</v>
      </c>
      <c r="C2" s="38"/>
      <c r="D2" s="38" t="s">
        <v>22</v>
      </c>
      <c r="E2" s="159" t="s">
        <v>8</v>
      </c>
      <c r="F2" s="159" t="s">
        <v>10</v>
      </c>
      <c r="G2" s="159"/>
      <c r="H2" s="159" t="s">
        <v>11</v>
      </c>
      <c r="I2" s="159" t="s">
        <v>400</v>
      </c>
      <c r="J2" s="159" t="s">
        <v>12</v>
      </c>
      <c r="K2" s="159" t="s">
        <v>177</v>
      </c>
      <c r="L2" s="159" t="s">
        <v>177</v>
      </c>
      <c r="M2" s="159" t="s">
        <v>13</v>
      </c>
      <c r="N2" s="159" t="s">
        <v>160</v>
      </c>
      <c r="O2" s="159" t="s">
        <v>209</v>
      </c>
      <c r="P2" s="160" t="s">
        <v>432</v>
      </c>
      <c r="Q2" s="159" t="s">
        <v>220</v>
      </c>
      <c r="R2" s="159" t="s">
        <v>113</v>
      </c>
      <c r="S2" s="38" t="s">
        <v>360</v>
      </c>
      <c r="T2" s="160" t="s">
        <v>426</v>
      </c>
      <c r="U2" s="38" t="s">
        <v>426</v>
      </c>
      <c r="V2">
        <v>1</v>
      </c>
    </row>
    <row r="3" spans="1:22" x14ac:dyDescent="0.3">
      <c r="A3" s="159"/>
      <c r="B3" s="203" t="s">
        <v>694</v>
      </c>
      <c r="C3" s="38"/>
      <c r="D3" s="38" t="s">
        <v>19</v>
      </c>
      <c r="E3" s="159" t="s">
        <v>9</v>
      </c>
      <c r="F3" s="159" t="s">
        <v>17</v>
      </c>
      <c r="G3" s="159"/>
      <c r="H3" s="159" t="s">
        <v>14</v>
      </c>
      <c r="I3" s="159" t="s">
        <v>405</v>
      </c>
      <c r="J3" s="159" t="s">
        <v>147</v>
      </c>
      <c r="K3" s="159" t="s">
        <v>158</v>
      </c>
      <c r="L3" s="159" t="s">
        <v>159</v>
      </c>
      <c r="M3" s="159" t="s">
        <v>161</v>
      </c>
      <c r="N3" s="159"/>
      <c r="O3" s="160" t="s">
        <v>9</v>
      </c>
      <c r="P3" s="161" t="s">
        <v>433</v>
      </c>
      <c r="Q3" s="159" t="s">
        <v>404</v>
      </c>
      <c r="R3" s="159" t="s">
        <v>117</v>
      </c>
      <c r="S3" s="38" t="s">
        <v>361</v>
      </c>
      <c r="T3" s="38" t="s">
        <v>427</v>
      </c>
      <c r="U3" s="38" t="s">
        <v>475</v>
      </c>
      <c r="V3">
        <v>2</v>
      </c>
    </row>
    <row r="4" spans="1:22" x14ac:dyDescent="0.3">
      <c r="A4" s="159"/>
      <c r="B4" s="159" t="s">
        <v>152</v>
      </c>
      <c r="C4" s="38"/>
      <c r="D4" s="38" t="s">
        <v>23</v>
      </c>
      <c r="E4" s="159" t="s">
        <v>132</v>
      </c>
      <c r="F4" s="159" t="s">
        <v>165</v>
      </c>
      <c r="G4" s="159"/>
      <c r="H4" s="159" t="s">
        <v>15</v>
      </c>
      <c r="I4" s="159" t="s">
        <v>401</v>
      </c>
      <c r="J4" s="159" t="s">
        <v>148</v>
      </c>
      <c r="K4" s="159"/>
      <c r="L4" s="159"/>
      <c r="M4" s="159" t="s">
        <v>162</v>
      </c>
      <c r="N4" s="159"/>
      <c r="O4" s="160" t="s">
        <v>202</v>
      </c>
      <c r="P4" s="160" t="s">
        <v>434</v>
      </c>
      <c r="Q4" s="159" t="s">
        <v>403</v>
      </c>
      <c r="R4" s="38"/>
      <c r="S4" s="38" t="s">
        <v>362</v>
      </c>
      <c r="T4" s="38" t="s">
        <v>430</v>
      </c>
      <c r="U4" s="38"/>
      <c r="V4">
        <v>3</v>
      </c>
    </row>
    <row r="5" spans="1:22" x14ac:dyDescent="0.3">
      <c r="A5" s="159"/>
      <c r="B5" s="159" t="s">
        <v>153</v>
      </c>
      <c r="C5" s="38"/>
      <c r="D5" s="38" t="s">
        <v>180</v>
      </c>
      <c r="E5" s="159"/>
      <c r="F5" s="159" t="s">
        <v>168</v>
      </c>
      <c r="G5" s="159"/>
      <c r="H5" s="159" t="s">
        <v>301</v>
      </c>
      <c r="I5" s="159" t="s">
        <v>402</v>
      </c>
      <c r="J5" s="159"/>
      <c r="K5" s="159"/>
      <c r="L5" s="159"/>
      <c r="M5" s="159" t="s">
        <v>134</v>
      </c>
      <c r="N5" s="159"/>
      <c r="O5" s="161" t="s">
        <v>203</v>
      </c>
      <c r="P5" s="161" t="s">
        <v>435</v>
      </c>
      <c r="Q5" s="159" t="s">
        <v>240</v>
      </c>
      <c r="R5" s="38"/>
      <c r="S5" s="38" t="s">
        <v>363</v>
      </c>
      <c r="T5" s="38" t="s">
        <v>431</v>
      </c>
      <c r="U5" s="38"/>
      <c r="V5">
        <v>4</v>
      </c>
    </row>
    <row r="6" spans="1:22" x14ac:dyDescent="0.3">
      <c r="A6" s="159"/>
      <c r="B6" s="159" t="s">
        <v>151</v>
      </c>
      <c r="C6" s="38"/>
      <c r="D6" s="38" t="s">
        <v>33</v>
      </c>
      <c r="E6" s="159"/>
      <c r="F6" s="159" t="s">
        <v>18</v>
      </c>
      <c r="G6" s="159"/>
      <c r="H6" s="159" t="s">
        <v>306</v>
      </c>
      <c r="I6" s="159"/>
      <c r="J6" s="159"/>
      <c r="K6" s="159"/>
      <c r="L6" s="159"/>
      <c r="M6" s="159"/>
      <c r="N6" s="159"/>
      <c r="O6" s="38" t="s">
        <v>159</v>
      </c>
      <c r="P6" s="161" t="s">
        <v>436</v>
      </c>
      <c r="Q6" s="159" t="s">
        <v>241</v>
      </c>
      <c r="R6" s="38"/>
      <c r="S6" s="38" t="s">
        <v>364</v>
      </c>
      <c r="T6" s="38"/>
      <c r="U6" s="38"/>
      <c r="V6">
        <v>5</v>
      </c>
    </row>
    <row r="7" spans="1:22" x14ac:dyDescent="0.3">
      <c r="A7" s="159"/>
      <c r="B7" s="159" t="s">
        <v>163</v>
      </c>
      <c r="C7" s="38"/>
      <c r="D7" s="38" t="s">
        <v>179</v>
      </c>
      <c r="E7" s="159"/>
      <c r="F7" s="159" t="s">
        <v>167</v>
      </c>
      <c r="G7" s="159"/>
      <c r="H7" s="159" t="s">
        <v>266</v>
      </c>
      <c r="I7" s="159"/>
      <c r="J7" s="159"/>
      <c r="K7" s="159"/>
      <c r="L7" s="159"/>
      <c r="M7" s="159"/>
      <c r="N7" s="159"/>
      <c r="O7" s="38" t="s">
        <v>204</v>
      </c>
      <c r="P7" s="161" t="s">
        <v>437</v>
      </c>
      <c r="Q7" s="159" t="s">
        <v>242</v>
      </c>
      <c r="R7" s="38"/>
      <c r="S7" s="38" t="s">
        <v>365</v>
      </c>
      <c r="T7" s="38"/>
      <c r="U7" s="38"/>
      <c r="V7">
        <v>6</v>
      </c>
    </row>
    <row r="8" spans="1:22" x14ac:dyDescent="0.3">
      <c r="A8" s="159"/>
      <c r="B8" s="159" t="s">
        <v>150</v>
      </c>
      <c r="C8" s="38"/>
      <c r="D8" s="38" t="s">
        <v>21</v>
      </c>
      <c r="E8" s="159"/>
      <c r="F8" s="159" t="s">
        <v>16</v>
      </c>
      <c r="G8" s="159"/>
      <c r="H8" s="159" t="s">
        <v>305</v>
      </c>
      <c r="I8" s="159"/>
      <c r="J8" s="159"/>
      <c r="K8" s="159"/>
      <c r="L8" s="159"/>
      <c r="M8" s="159"/>
      <c r="N8" s="159"/>
      <c r="O8" s="38" t="s">
        <v>205</v>
      </c>
      <c r="P8" s="161" t="s">
        <v>438</v>
      </c>
      <c r="Q8" s="159" t="s">
        <v>455</v>
      </c>
      <c r="R8" s="38"/>
      <c r="S8" s="38" t="s">
        <v>366</v>
      </c>
      <c r="T8" s="38"/>
      <c r="U8" s="38"/>
      <c r="V8">
        <v>7</v>
      </c>
    </row>
    <row r="9" spans="1:22" x14ac:dyDescent="0.3">
      <c r="A9" s="159"/>
      <c r="C9" s="38"/>
      <c r="D9" s="38" t="s">
        <v>263</v>
      </c>
      <c r="E9" s="159"/>
      <c r="F9" s="159" t="s">
        <v>170</v>
      </c>
      <c r="G9" s="159"/>
      <c r="H9" s="159" t="s">
        <v>304</v>
      </c>
      <c r="I9" s="159"/>
      <c r="J9" s="159"/>
      <c r="K9" s="159"/>
      <c r="L9" s="159"/>
      <c r="M9" s="159"/>
      <c r="N9" s="159"/>
      <c r="O9" s="38"/>
      <c r="P9" s="38"/>
      <c r="Q9" s="159" t="s">
        <v>456</v>
      </c>
      <c r="R9" s="38"/>
      <c r="S9" s="38" t="s">
        <v>668</v>
      </c>
      <c r="T9" s="38"/>
      <c r="U9" s="38"/>
      <c r="V9">
        <v>8</v>
      </c>
    </row>
    <row r="10" spans="1:22" x14ac:dyDescent="0.3">
      <c r="A10" s="159"/>
      <c r="C10" s="38"/>
      <c r="D10" s="202" t="s">
        <v>696</v>
      </c>
      <c r="E10" s="159"/>
      <c r="F10" s="159" t="s">
        <v>173</v>
      </c>
      <c r="G10" s="159"/>
      <c r="H10" s="159" t="s">
        <v>453</v>
      </c>
      <c r="I10" s="159"/>
      <c r="J10" s="159"/>
      <c r="K10" s="159"/>
      <c r="L10" s="159"/>
      <c r="M10" s="159"/>
      <c r="N10" s="159"/>
      <c r="O10" s="38"/>
      <c r="P10" s="38"/>
      <c r="Q10" s="159" t="s">
        <v>457</v>
      </c>
      <c r="R10" s="38"/>
      <c r="S10" s="38" t="s">
        <v>458</v>
      </c>
      <c r="T10" s="38"/>
      <c r="U10" s="38"/>
      <c r="V10">
        <v>9</v>
      </c>
    </row>
    <row r="11" spans="1:22" x14ac:dyDescent="0.3">
      <c r="A11" s="159"/>
      <c r="C11" s="38"/>
      <c r="D11" s="202" t="s">
        <v>695</v>
      </c>
      <c r="E11" s="159"/>
      <c r="F11" s="159" t="s">
        <v>223</v>
      </c>
      <c r="G11" s="159"/>
      <c r="H11" s="159" t="s">
        <v>454</v>
      </c>
      <c r="I11" s="159"/>
      <c r="J11" s="159"/>
      <c r="K11" s="159"/>
      <c r="L11" s="159"/>
      <c r="M11" s="159"/>
      <c r="N11" s="159"/>
      <c r="O11" s="38"/>
      <c r="P11" s="38"/>
      <c r="Q11" s="157" t="s">
        <v>447</v>
      </c>
      <c r="R11" s="38"/>
      <c r="S11" s="157" t="s">
        <v>447</v>
      </c>
      <c r="T11" s="38"/>
      <c r="U11" s="38"/>
      <c r="V11" s="157" t="s">
        <v>447</v>
      </c>
    </row>
    <row r="12" spans="1:22" x14ac:dyDescent="0.3">
      <c r="A12" s="159"/>
      <c r="C12" s="159"/>
      <c r="D12" s="202" t="s">
        <v>697</v>
      </c>
      <c r="E12" s="159"/>
      <c r="F12" s="159" t="s">
        <v>174</v>
      </c>
      <c r="G12" s="159"/>
      <c r="H12" s="159" t="s">
        <v>303</v>
      </c>
      <c r="I12" s="159"/>
      <c r="J12" s="159"/>
      <c r="K12" s="159"/>
      <c r="L12" s="159"/>
      <c r="M12" s="159"/>
      <c r="N12" s="159"/>
      <c r="O12" s="38"/>
      <c r="P12" s="38"/>
      <c r="Q12" s="38"/>
      <c r="R12" s="38"/>
      <c r="S12" s="38"/>
      <c r="T12" s="38"/>
      <c r="U12" s="38"/>
    </row>
    <row r="13" spans="1:22" x14ac:dyDescent="0.3">
      <c r="A13" s="159"/>
      <c r="C13" s="159"/>
      <c r="D13" s="202" t="s">
        <v>698</v>
      </c>
      <c r="E13" s="159"/>
      <c r="F13" s="159" t="s">
        <v>171</v>
      </c>
      <c r="G13" s="159"/>
      <c r="H13" s="159" t="s">
        <v>302</v>
      </c>
      <c r="I13" s="162"/>
      <c r="J13" s="159"/>
      <c r="K13" s="159"/>
      <c r="L13" s="159"/>
      <c r="M13" s="159"/>
      <c r="N13" s="159"/>
      <c r="O13" s="38"/>
      <c r="P13" s="38"/>
      <c r="Q13" s="38"/>
      <c r="R13" s="38"/>
      <c r="S13" s="38"/>
      <c r="T13" s="38"/>
      <c r="U13" s="38"/>
    </row>
    <row r="14" spans="1:22" x14ac:dyDescent="0.3">
      <c r="A14" s="162"/>
      <c r="B14" s="162"/>
      <c r="C14" s="162"/>
      <c r="D14" s="202" t="s">
        <v>699</v>
      </c>
      <c r="E14" s="159"/>
      <c r="F14" s="159" t="s">
        <v>264</v>
      </c>
      <c r="G14" s="159"/>
      <c r="H14" s="159" t="s">
        <v>394</v>
      </c>
      <c r="I14" s="162"/>
      <c r="J14" s="159"/>
      <c r="K14" s="159"/>
      <c r="L14" s="159"/>
      <c r="M14" s="159"/>
      <c r="N14" s="159"/>
      <c r="O14" s="38"/>
      <c r="P14" s="38"/>
      <c r="Q14" s="38"/>
      <c r="R14" s="38"/>
      <c r="S14" s="38"/>
      <c r="T14" s="38"/>
      <c r="U14" s="38"/>
    </row>
    <row r="15" spans="1:22" x14ac:dyDescent="0.3">
      <c r="A15" s="162"/>
      <c r="B15" s="162"/>
      <c r="C15" s="162"/>
      <c r="D15" s="202" t="s">
        <v>700</v>
      </c>
      <c r="E15" s="159"/>
      <c r="F15" s="163" t="s">
        <v>169</v>
      </c>
      <c r="G15" s="159"/>
      <c r="H15" s="159" t="s">
        <v>282</v>
      </c>
      <c r="I15" s="159"/>
      <c r="J15" s="159"/>
      <c r="K15" s="159"/>
      <c r="L15" s="159"/>
      <c r="M15" s="159"/>
      <c r="N15" s="159"/>
      <c r="O15" s="38"/>
      <c r="P15" s="38"/>
      <c r="Q15" s="38"/>
      <c r="R15" s="38"/>
      <c r="S15" s="38"/>
      <c r="T15" s="38"/>
      <c r="U15" s="38"/>
    </row>
    <row r="16" spans="1:22" x14ac:dyDescent="0.3">
      <c r="A16" s="162"/>
      <c r="B16" s="162"/>
      <c r="C16" s="162"/>
      <c r="D16" s="202" t="s">
        <v>701</v>
      </c>
      <c r="E16" s="159"/>
      <c r="F16" s="159" t="s">
        <v>172</v>
      </c>
      <c r="G16" s="159"/>
      <c r="H16" s="159" t="s">
        <v>281</v>
      </c>
      <c r="I16" s="159"/>
      <c r="J16" s="159"/>
      <c r="K16" s="159"/>
      <c r="L16" s="159"/>
      <c r="M16" s="159"/>
      <c r="N16" s="159"/>
      <c r="O16" s="38"/>
      <c r="P16" s="38"/>
      <c r="Q16" s="38"/>
      <c r="R16" s="38"/>
      <c r="S16" s="38"/>
      <c r="T16" s="38"/>
      <c r="U16" s="38"/>
    </row>
    <row r="17" spans="1:21" x14ac:dyDescent="0.3">
      <c r="A17" s="162"/>
      <c r="B17" s="162"/>
      <c r="C17" s="162"/>
      <c r="D17" s="202" t="s">
        <v>702</v>
      </c>
      <c r="E17" s="159"/>
      <c r="F17" s="159" t="s">
        <v>166</v>
      </c>
      <c r="G17" s="159"/>
      <c r="H17" s="159" t="s">
        <v>452</v>
      </c>
      <c r="I17" s="159"/>
      <c r="J17" s="159"/>
      <c r="K17" s="159"/>
      <c r="L17" s="159"/>
      <c r="M17" s="159"/>
      <c r="N17" s="159"/>
      <c r="O17" s="38"/>
      <c r="P17" s="38"/>
      <c r="Q17" s="38"/>
      <c r="R17" s="38"/>
      <c r="S17" s="38"/>
      <c r="T17" s="38"/>
      <c r="U17" s="38"/>
    </row>
    <row r="18" spans="1:21" x14ac:dyDescent="0.3">
      <c r="A18" s="162"/>
      <c r="B18" s="162"/>
      <c r="C18" s="162"/>
      <c r="E18" s="159"/>
      <c r="F18" s="159" t="s">
        <v>176</v>
      </c>
      <c r="G18" s="159"/>
      <c r="H18" s="159" t="s">
        <v>164</v>
      </c>
      <c r="I18" s="159"/>
      <c r="J18" s="159"/>
      <c r="K18" s="159"/>
      <c r="L18" s="159"/>
      <c r="M18" s="159"/>
      <c r="N18" s="159"/>
      <c r="O18" s="38"/>
      <c r="P18" s="38"/>
      <c r="Q18" s="38"/>
      <c r="R18" s="38"/>
      <c r="S18" s="38"/>
      <c r="T18" s="38"/>
      <c r="U18" s="38"/>
    </row>
    <row r="19" spans="1:21" x14ac:dyDescent="0.3">
      <c r="A19" s="162"/>
      <c r="B19" s="162"/>
      <c r="C19" s="162"/>
      <c r="D19" s="162"/>
      <c r="E19" s="159"/>
      <c r="F19" s="163" t="s">
        <v>126</v>
      </c>
      <c r="G19" s="159"/>
      <c r="H19" s="159" t="s">
        <v>284</v>
      </c>
      <c r="I19" s="159"/>
      <c r="J19" s="159"/>
      <c r="K19" s="159"/>
      <c r="L19" s="159"/>
      <c r="M19" s="159"/>
      <c r="N19" s="159"/>
      <c r="O19" s="38"/>
      <c r="P19" s="38"/>
      <c r="Q19" s="38"/>
      <c r="R19" s="38"/>
      <c r="S19" s="38"/>
      <c r="T19" s="38"/>
      <c r="U19" s="38"/>
    </row>
    <row r="20" spans="1:21" x14ac:dyDescent="0.3">
      <c r="A20" s="162"/>
      <c r="B20" s="162"/>
      <c r="C20" s="162"/>
      <c r="D20" s="162"/>
      <c r="E20" s="159"/>
      <c r="F20" s="159" t="s">
        <v>175</v>
      </c>
      <c r="G20" s="163"/>
      <c r="H20" s="159" t="s">
        <v>285</v>
      </c>
      <c r="I20" s="159"/>
      <c r="J20" s="159"/>
      <c r="K20" s="159"/>
      <c r="L20" s="159"/>
      <c r="M20" s="159"/>
      <c r="N20" s="159"/>
      <c r="O20" s="38"/>
      <c r="P20" s="38"/>
      <c r="Q20" s="38"/>
      <c r="R20" s="38"/>
      <c r="S20" s="38"/>
      <c r="T20" s="38"/>
      <c r="U20" s="38"/>
    </row>
    <row r="21" spans="1:21" x14ac:dyDescent="0.3">
      <c r="A21" s="162"/>
      <c r="B21" s="162"/>
      <c r="C21" s="162"/>
      <c r="D21" s="162"/>
      <c r="E21" s="159"/>
      <c r="F21" s="159" t="s">
        <v>395</v>
      </c>
      <c r="G21" s="38"/>
      <c r="H21" s="159" t="s">
        <v>283</v>
      </c>
      <c r="I21" s="159"/>
      <c r="J21" s="159"/>
      <c r="K21" s="159"/>
      <c r="L21" s="159"/>
      <c r="M21" s="159"/>
      <c r="N21" s="159"/>
      <c r="O21" s="38"/>
      <c r="P21" s="38"/>
      <c r="Q21" s="38"/>
      <c r="R21" s="38"/>
      <c r="S21" s="38"/>
      <c r="T21" s="38"/>
      <c r="U21" s="38"/>
    </row>
    <row r="22" spans="1:21" x14ac:dyDescent="0.3">
      <c r="A22" s="38"/>
      <c r="B22" s="38"/>
      <c r="C22" s="38"/>
      <c r="D22" s="38"/>
      <c r="E22" s="164"/>
      <c r="F22" s="159" t="s">
        <v>396</v>
      </c>
      <c r="G22" s="38"/>
      <c r="H22" s="162" t="s">
        <v>321</v>
      </c>
      <c r="I22" s="159"/>
      <c r="J22" s="164"/>
      <c r="K22" s="164"/>
      <c r="L22" s="164"/>
      <c r="M22" s="164"/>
      <c r="N22" s="164"/>
      <c r="O22" s="38"/>
      <c r="P22" s="38"/>
      <c r="Q22" s="38"/>
      <c r="R22" s="38"/>
      <c r="S22" s="38"/>
      <c r="T22" s="38"/>
      <c r="U22" s="38"/>
    </row>
    <row r="23" spans="1:21" x14ac:dyDescent="0.3">
      <c r="A23" s="38"/>
      <c r="B23" s="38"/>
      <c r="C23" s="38"/>
      <c r="D23" s="38"/>
      <c r="E23" s="164"/>
      <c r="F23" s="159" t="s">
        <v>397</v>
      </c>
      <c r="G23" s="38"/>
      <c r="H23" s="162" t="s">
        <v>320</v>
      </c>
      <c r="I23" s="159"/>
      <c r="J23" s="164"/>
      <c r="K23" s="164"/>
      <c r="L23" s="164"/>
      <c r="M23" s="164"/>
      <c r="N23" s="164"/>
      <c r="O23" s="38"/>
      <c r="P23" s="38"/>
      <c r="Q23" s="38"/>
      <c r="R23" s="38"/>
      <c r="S23" s="38"/>
      <c r="T23" s="38"/>
      <c r="U23" s="38"/>
    </row>
    <row r="24" spans="1:21" x14ac:dyDescent="0.3">
      <c r="A24" s="38"/>
      <c r="B24" s="38"/>
      <c r="C24" s="38"/>
      <c r="D24" s="38"/>
      <c r="E24" s="164"/>
      <c r="F24" s="159" t="s">
        <v>398</v>
      </c>
      <c r="G24" s="38"/>
      <c r="H24" s="159" t="s">
        <v>311</v>
      </c>
      <c r="I24" s="159"/>
      <c r="J24" s="164"/>
      <c r="K24" s="164"/>
      <c r="L24" s="164"/>
      <c r="M24" s="164"/>
      <c r="N24" s="164"/>
      <c r="O24" s="38"/>
      <c r="P24" s="38"/>
      <c r="Q24" s="38"/>
      <c r="R24" s="38"/>
      <c r="S24" s="38"/>
      <c r="T24" s="38"/>
      <c r="U24" s="38"/>
    </row>
    <row r="25" spans="1:21" x14ac:dyDescent="0.3">
      <c r="A25" s="38"/>
      <c r="B25" s="38"/>
      <c r="C25" s="38"/>
      <c r="D25" s="38"/>
      <c r="E25" s="164"/>
      <c r="F25" s="159" t="s">
        <v>399</v>
      </c>
      <c r="G25" s="38"/>
      <c r="H25" s="159" t="s">
        <v>310</v>
      </c>
      <c r="I25" s="159"/>
      <c r="J25" s="164"/>
      <c r="K25" s="38"/>
      <c r="L25" s="164"/>
      <c r="M25" s="164"/>
      <c r="N25" s="164"/>
      <c r="O25" s="38"/>
      <c r="P25" s="38"/>
      <c r="Q25" s="38"/>
      <c r="R25" s="38"/>
      <c r="S25" s="38"/>
      <c r="T25" s="38"/>
      <c r="U25" s="38"/>
    </row>
    <row r="26" spans="1:21" x14ac:dyDescent="0.3">
      <c r="A26" s="38"/>
      <c r="B26" s="38"/>
      <c r="C26" s="38"/>
      <c r="D26" s="38"/>
      <c r="E26" s="164"/>
      <c r="F26" s="38"/>
      <c r="G26" s="38"/>
      <c r="H26" s="159" t="s">
        <v>265</v>
      </c>
      <c r="I26" s="159"/>
      <c r="J26" s="164"/>
      <c r="K26" s="38"/>
      <c r="L26" s="164"/>
      <c r="M26" s="164"/>
      <c r="N26" s="164"/>
      <c r="O26" s="38"/>
      <c r="P26" s="38"/>
      <c r="Q26" s="38"/>
      <c r="R26" s="38"/>
      <c r="S26" s="38"/>
      <c r="T26" s="38"/>
      <c r="U26" s="38"/>
    </row>
    <row r="27" spans="1:21" x14ac:dyDescent="0.3">
      <c r="A27" s="38"/>
      <c r="B27" s="165"/>
      <c r="C27" s="165"/>
      <c r="D27" s="165"/>
      <c r="E27" s="165"/>
      <c r="F27" s="38"/>
      <c r="G27" s="38"/>
      <c r="H27" s="159" t="s">
        <v>280</v>
      </c>
      <c r="I27" s="159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1:21" x14ac:dyDescent="0.3">
      <c r="A28" s="38"/>
      <c r="B28" s="166"/>
      <c r="C28" s="167"/>
      <c r="D28" s="167"/>
      <c r="E28" s="38"/>
      <c r="F28" s="38"/>
      <c r="G28" s="38"/>
      <c r="H28" s="159" t="s">
        <v>279</v>
      </c>
      <c r="I28" s="159"/>
      <c r="J28" s="38"/>
      <c r="K28" s="38"/>
      <c r="L28" s="38"/>
      <c r="M28" s="161"/>
      <c r="N28" s="161"/>
      <c r="O28" s="38"/>
      <c r="P28" s="38"/>
      <c r="Q28" s="38"/>
      <c r="R28" s="38"/>
      <c r="S28" s="38"/>
      <c r="T28" s="38"/>
      <c r="U28" s="38"/>
    </row>
    <row r="29" spans="1:21" x14ac:dyDescent="0.3">
      <c r="A29" s="38"/>
      <c r="B29" s="166"/>
      <c r="C29" s="167"/>
      <c r="D29" s="167"/>
      <c r="E29" s="38"/>
      <c r="F29" s="38"/>
      <c r="G29" s="38"/>
      <c r="H29" s="159" t="s">
        <v>308</v>
      </c>
      <c r="I29" s="159"/>
      <c r="J29" s="38"/>
      <c r="K29" s="38"/>
      <c r="L29" s="38"/>
      <c r="M29" s="38"/>
      <c r="N29" s="161"/>
      <c r="O29" s="38"/>
      <c r="P29" s="38"/>
      <c r="Q29" s="38"/>
      <c r="R29" s="38"/>
      <c r="S29" s="38"/>
      <c r="T29" s="38"/>
      <c r="U29" s="38"/>
    </row>
    <row r="30" spans="1:21" x14ac:dyDescent="0.3">
      <c r="A30" s="38"/>
      <c r="B30" s="166"/>
      <c r="C30" s="167"/>
      <c r="D30" s="167"/>
      <c r="E30" s="38"/>
      <c r="F30" s="38"/>
      <c r="G30" s="38"/>
      <c r="H30" s="159" t="s">
        <v>309</v>
      </c>
      <c r="I30" s="159"/>
      <c r="J30" s="38"/>
      <c r="K30" s="38"/>
      <c r="L30" s="38"/>
      <c r="M30" s="38"/>
      <c r="N30" s="161"/>
      <c r="O30" s="38"/>
      <c r="P30" s="38"/>
      <c r="Q30" s="38"/>
      <c r="R30" s="38"/>
      <c r="S30" s="38"/>
      <c r="T30" s="38"/>
      <c r="U30" s="38"/>
    </row>
    <row r="31" spans="1:21" x14ac:dyDescent="0.3">
      <c r="A31" s="38"/>
      <c r="B31" s="166"/>
      <c r="C31" s="167"/>
      <c r="D31" s="167"/>
      <c r="E31" s="38"/>
      <c r="F31" s="38"/>
      <c r="G31" s="38"/>
      <c r="H31" s="159" t="s">
        <v>307</v>
      </c>
      <c r="I31" s="159"/>
      <c r="J31" s="38"/>
      <c r="K31" s="38"/>
      <c r="L31" s="38"/>
      <c r="M31" s="38"/>
      <c r="N31" s="161"/>
      <c r="O31" s="38"/>
      <c r="P31" s="38"/>
      <c r="Q31" s="38"/>
      <c r="R31" s="38"/>
      <c r="S31" s="38"/>
      <c r="T31" s="38"/>
      <c r="U31" s="38"/>
    </row>
    <row r="32" spans="1:21" x14ac:dyDescent="0.3">
      <c r="A32" s="38"/>
      <c r="B32" s="166"/>
      <c r="C32" s="167"/>
      <c r="D32" s="167"/>
      <c r="E32" s="167"/>
      <c r="F32" s="38"/>
      <c r="G32" s="38"/>
      <c r="H32" s="159" t="s">
        <v>314</v>
      </c>
      <c r="I32" s="159"/>
      <c r="J32" s="38"/>
      <c r="K32" s="38"/>
      <c r="L32" s="38"/>
      <c r="M32" s="38"/>
      <c r="N32" s="161"/>
      <c r="O32" s="38"/>
      <c r="P32" s="38"/>
      <c r="Q32" s="38"/>
      <c r="R32" s="38"/>
      <c r="S32" s="38"/>
      <c r="T32" s="38"/>
      <c r="U32" s="38"/>
    </row>
    <row r="33" spans="1:21" x14ac:dyDescent="0.3">
      <c r="A33" s="38"/>
      <c r="B33" s="166"/>
      <c r="C33" s="167"/>
      <c r="D33" s="167"/>
      <c r="E33" s="167"/>
      <c r="F33" s="38"/>
      <c r="G33" s="38"/>
      <c r="H33" s="159" t="s">
        <v>318</v>
      </c>
      <c r="I33" s="159"/>
      <c r="J33" s="38"/>
      <c r="K33" s="38"/>
      <c r="L33" s="38"/>
      <c r="M33" s="38"/>
      <c r="N33" s="161"/>
      <c r="O33" s="38"/>
      <c r="P33" s="38"/>
      <c r="Q33" s="38"/>
      <c r="R33" s="38"/>
      <c r="S33" s="38"/>
      <c r="T33" s="38"/>
      <c r="U33" s="38"/>
    </row>
    <row r="34" spans="1:21" x14ac:dyDescent="0.3">
      <c r="A34" s="38"/>
      <c r="B34" s="166"/>
      <c r="C34" s="167"/>
      <c r="D34" s="167"/>
      <c r="E34" s="167"/>
      <c r="F34" s="38"/>
      <c r="G34" s="38"/>
      <c r="H34" s="159" t="s">
        <v>313</v>
      </c>
      <c r="I34" s="159"/>
      <c r="J34" s="38"/>
      <c r="K34" s="38"/>
      <c r="L34" s="38"/>
      <c r="M34" s="38"/>
      <c r="N34" s="161"/>
      <c r="O34" s="38"/>
      <c r="P34" s="38"/>
      <c r="Q34" s="38"/>
      <c r="R34" s="38"/>
      <c r="S34" s="38"/>
      <c r="T34" s="38"/>
      <c r="U34" s="38"/>
    </row>
    <row r="35" spans="1:21" x14ac:dyDescent="0.3">
      <c r="A35" s="38"/>
      <c r="B35" s="166"/>
      <c r="C35" s="167"/>
      <c r="D35" s="167"/>
      <c r="E35" s="168"/>
      <c r="F35" s="38"/>
      <c r="G35" s="38"/>
      <c r="H35" s="159" t="s">
        <v>312</v>
      </c>
      <c r="I35" s="159"/>
      <c r="J35" s="38"/>
      <c r="K35" s="38"/>
      <c r="L35" s="38"/>
      <c r="M35" s="38"/>
      <c r="N35" s="161"/>
      <c r="O35" s="38"/>
      <c r="P35" s="38"/>
      <c r="Q35" s="38"/>
      <c r="R35" s="38"/>
      <c r="S35" s="38"/>
      <c r="T35" s="38"/>
      <c r="U35" s="38"/>
    </row>
    <row r="36" spans="1:21" x14ac:dyDescent="0.3">
      <c r="A36" s="38"/>
      <c r="B36" s="166"/>
      <c r="C36" s="167"/>
      <c r="D36" s="167"/>
      <c r="E36" s="168"/>
      <c r="F36" s="38"/>
      <c r="G36" s="38"/>
      <c r="H36" s="159" t="s">
        <v>267</v>
      </c>
      <c r="I36" s="159"/>
      <c r="J36" s="38"/>
      <c r="K36" s="38"/>
      <c r="L36" s="38"/>
      <c r="M36" s="38"/>
      <c r="N36" s="161"/>
      <c r="O36" s="38"/>
      <c r="P36" s="38"/>
      <c r="Q36" s="38"/>
      <c r="R36" s="38"/>
      <c r="S36" s="38"/>
      <c r="T36" s="38"/>
      <c r="U36" s="38"/>
    </row>
    <row r="37" spans="1:21" x14ac:dyDescent="0.3">
      <c r="A37" s="38"/>
      <c r="B37" s="166"/>
      <c r="C37" s="167"/>
      <c r="D37" s="167"/>
      <c r="E37" s="168"/>
      <c r="F37" s="38"/>
      <c r="G37" s="38"/>
      <c r="H37" s="159" t="s">
        <v>319</v>
      </c>
      <c r="I37" s="159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x14ac:dyDescent="0.3">
      <c r="A38" s="38"/>
      <c r="B38" s="166"/>
      <c r="C38" s="167"/>
      <c r="D38" s="167"/>
      <c r="E38" s="167"/>
      <c r="F38" s="38"/>
      <c r="G38" s="38"/>
      <c r="H38" s="159" t="s">
        <v>316</v>
      </c>
      <c r="I38" s="159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x14ac:dyDescent="0.3">
      <c r="A39" s="38"/>
      <c r="B39" s="166"/>
      <c r="C39" s="167"/>
      <c r="D39" s="167"/>
      <c r="E39" s="167"/>
      <c r="F39" s="38"/>
      <c r="G39" s="38"/>
      <c r="H39" s="159" t="s">
        <v>315</v>
      </c>
      <c r="I39" s="159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21" x14ac:dyDescent="0.3">
      <c r="A40" s="38"/>
      <c r="B40" s="169"/>
      <c r="C40" s="168"/>
      <c r="D40" s="167"/>
      <c r="E40" s="168"/>
      <c r="F40" s="38"/>
      <c r="G40" s="38"/>
      <c r="H40" s="159" t="s">
        <v>317</v>
      </c>
      <c r="I40" s="159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21" x14ac:dyDescent="0.3">
      <c r="B41" s="8"/>
      <c r="C41" s="8"/>
      <c r="D41" s="7"/>
      <c r="E41" s="8"/>
    </row>
    <row r="42" spans="1:21" x14ac:dyDescent="0.3">
      <c r="B42" s="10"/>
      <c r="C42" s="7"/>
      <c r="D42" s="7"/>
      <c r="E42" s="7"/>
    </row>
    <row r="43" spans="1:21" ht="15" x14ac:dyDescent="0.35">
      <c r="B43" s="6"/>
      <c r="C43" s="7"/>
      <c r="D43" s="11"/>
      <c r="E43" s="7"/>
    </row>
    <row r="44" spans="1:21" ht="15" x14ac:dyDescent="0.35">
      <c r="B44" s="6"/>
      <c r="C44" s="7"/>
      <c r="D44" s="11"/>
      <c r="E44" s="7"/>
    </row>
    <row r="45" spans="1:21" ht="15" x14ac:dyDescent="0.35">
      <c r="B45" s="9"/>
      <c r="C45" s="7"/>
      <c r="D45" s="12"/>
      <c r="E45" s="7"/>
    </row>
    <row r="46" spans="1:21" x14ac:dyDescent="0.3">
      <c r="B46" s="8"/>
      <c r="C46" s="7"/>
      <c r="D46" s="13"/>
      <c r="E46" s="7"/>
    </row>
    <row r="47" spans="1:21" x14ac:dyDescent="0.3">
      <c r="B47" s="9"/>
      <c r="C47" s="7"/>
      <c r="D47" s="7"/>
      <c r="E47" s="7"/>
    </row>
    <row r="48" spans="1:21" x14ac:dyDescent="0.3">
      <c r="B48" s="8"/>
      <c r="C48" s="7"/>
      <c r="D48" s="13"/>
      <c r="E48" s="7"/>
    </row>
    <row r="49" spans="2:5" x14ac:dyDescent="0.3">
      <c r="B49" s="14"/>
      <c r="C49" s="7"/>
      <c r="D49" s="7"/>
      <c r="E49" s="7"/>
    </row>
    <row r="50" spans="2:5" x14ac:dyDescent="0.3">
      <c r="B50" s="14"/>
      <c r="C50" s="7"/>
      <c r="D50" s="7"/>
      <c r="E50" s="7"/>
    </row>
    <row r="51" spans="2:5" x14ac:dyDescent="0.3">
      <c r="B51" s="14"/>
      <c r="C51" s="7"/>
      <c r="D51" s="7"/>
      <c r="E51" s="7"/>
    </row>
    <row r="52" spans="2:5" x14ac:dyDescent="0.3">
      <c r="B52" s="14"/>
      <c r="C52" s="7"/>
      <c r="D52" s="7"/>
      <c r="E52" s="7"/>
    </row>
    <row r="53" spans="2:5" x14ac:dyDescent="0.3">
      <c r="B53" s="9"/>
      <c r="C53" s="7"/>
      <c r="D53" s="7"/>
      <c r="E53" s="15"/>
    </row>
    <row r="54" spans="2:5" x14ac:dyDescent="0.3">
      <c r="B54" s="9"/>
      <c r="C54" s="7"/>
      <c r="D54" s="7"/>
      <c r="E54" s="15"/>
    </row>
    <row r="55" spans="2:5" x14ac:dyDescent="0.3">
      <c r="B55" s="9"/>
      <c r="C55" s="7"/>
      <c r="D55" s="7"/>
      <c r="E55" s="7"/>
    </row>
    <row r="56" spans="2:5" x14ac:dyDescent="0.3">
      <c r="B56" s="8"/>
      <c r="C56" s="7"/>
      <c r="D56" s="7"/>
      <c r="E56" s="7"/>
    </row>
    <row r="57" spans="2:5" x14ac:dyDescent="0.3">
      <c r="B57" s="9"/>
      <c r="C57" s="8"/>
      <c r="D57" s="8"/>
      <c r="E57" s="7"/>
    </row>
  </sheetData>
  <sortState ref="H5:H40">
    <sortCondition ref="H5"/>
  </sortState>
  <customSheetViews>
    <customSheetView guid="{95CD56FE-1162-4AE7-88D2-9EB3DF57F0D2}">
      <selection activeCell="F25" sqref="F25"/>
      <pageMargins left="0.7" right="0.7" top="0.75" bottom="0.75" header="0.3" footer="0.3"/>
      <pageSetup orientation="portrait" r:id="rId1"/>
    </customSheetView>
  </customSheetViews>
  <phoneticPr fontId="11" type="noConversion"/>
  <pageMargins left="0.7" right="0.7" top="1.5" bottom="0.75" header="0.3" footer="0.3"/>
  <pageSetup scale="74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B14" sqref="B14"/>
    </sheetView>
  </sheetViews>
  <sheetFormatPr defaultColWidth="8.77734375" defaultRowHeight="14.4" x14ac:dyDescent="0.3"/>
  <cols>
    <col min="1" max="1" width="9.109375" bestFit="1" customWidth="1"/>
    <col min="2" max="2" width="28.44140625" style="174" customWidth="1"/>
    <col min="3" max="3" width="98.77734375" customWidth="1"/>
    <col min="4" max="4" width="30.77734375" customWidth="1"/>
  </cols>
  <sheetData>
    <row r="1" spans="1:4" x14ac:dyDescent="0.3">
      <c r="A1" s="1" t="s">
        <v>642</v>
      </c>
      <c r="B1" s="173" t="s">
        <v>647</v>
      </c>
      <c r="C1" s="1" t="s">
        <v>643</v>
      </c>
      <c r="D1" s="1" t="s">
        <v>644</v>
      </c>
    </row>
    <row r="2" spans="1:4" ht="72" x14ac:dyDescent="0.3">
      <c r="A2" t="s">
        <v>451</v>
      </c>
      <c r="B2" s="174">
        <v>45138</v>
      </c>
      <c r="C2" s="171" t="s">
        <v>645</v>
      </c>
      <c r="D2" s="2" t="s">
        <v>646</v>
      </c>
    </row>
    <row r="3" spans="1:4" ht="144" x14ac:dyDescent="0.3">
      <c r="A3" t="s">
        <v>650</v>
      </c>
      <c r="B3" s="174">
        <v>45229</v>
      </c>
      <c r="C3" s="171" t="s">
        <v>667</v>
      </c>
      <c r="D3" s="2" t="s">
        <v>666</v>
      </c>
    </row>
    <row r="4" spans="1:4" ht="57.6" x14ac:dyDescent="0.3">
      <c r="A4" t="s">
        <v>669</v>
      </c>
      <c r="B4" s="174">
        <v>45320</v>
      </c>
      <c r="C4" s="171" t="s">
        <v>675</v>
      </c>
      <c r="D4" s="2" t="s">
        <v>672</v>
      </c>
    </row>
    <row r="5" spans="1:4" ht="100.8" x14ac:dyDescent="0.3">
      <c r="A5" t="s">
        <v>680</v>
      </c>
      <c r="B5" s="174">
        <v>45393</v>
      </c>
      <c r="C5" s="171" t="s">
        <v>683</v>
      </c>
      <c r="D5" s="2" t="s">
        <v>672</v>
      </c>
    </row>
    <row r="6" spans="1:4" ht="57.6" x14ac:dyDescent="0.3">
      <c r="A6" t="s">
        <v>686</v>
      </c>
      <c r="B6" s="174">
        <v>45487</v>
      </c>
      <c r="C6" s="171" t="s">
        <v>703</v>
      </c>
      <c r="D6" s="2" t="s">
        <v>704</v>
      </c>
    </row>
  </sheetData>
  <pageMargins left="0.7" right="0.7" top="1.5" bottom="0.75" header="0.3" footer="0.3"/>
  <pageSetup scale="74" orientation="landscape" r:id="rId1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3:T29"/>
  <sheetViews>
    <sheetView workbookViewId="0">
      <selection activeCell="D7" sqref="D7"/>
    </sheetView>
  </sheetViews>
  <sheetFormatPr defaultColWidth="16.109375" defaultRowHeight="14.4" x14ac:dyDescent="0.3"/>
  <cols>
    <col min="2" max="2" width="10.109375" bestFit="1" customWidth="1"/>
    <col min="3" max="3" width="13.77734375" bestFit="1" customWidth="1"/>
    <col min="4" max="4" width="13.77734375" customWidth="1"/>
  </cols>
  <sheetData>
    <row r="3" spans="2:19" ht="28.8" x14ac:dyDescent="0.3">
      <c r="B3" s="4" t="s">
        <v>2</v>
      </c>
      <c r="C3" s="4" t="s">
        <v>3</v>
      </c>
      <c r="D3" s="4"/>
      <c r="G3" s="4" t="s">
        <v>2</v>
      </c>
      <c r="H3" s="4" t="s">
        <v>3</v>
      </c>
      <c r="I3" s="4"/>
      <c r="L3" s="4" t="s">
        <v>2</v>
      </c>
      <c r="M3" s="4" t="s">
        <v>3</v>
      </c>
      <c r="N3" s="4"/>
      <c r="Q3" s="4" t="s">
        <v>2</v>
      </c>
      <c r="R3" s="4" t="s">
        <v>3</v>
      </c>
    </row>
    <row r="4" spans="2:19" x14ac:dyDescent="0.3">
      <c r="B4" t="s">
        <v>10</v>
      </c>
      <c r="C4" t="s">
        <v>11</v>
      </c>
      <c r="G4" t="s">
        <v>10</v>
      </c>
      <c r="H4" t="s">
        <v>14</v>
      </c>
      <c r="L4" t="s">
        <v>10</v>
      </c>
      <c r="M4" t="s">
        <v>15</v>
      </c>
      <c r="Q4" t="s">
        <v>17</v>
      </c>
    </row>
    <row r="5" spans="2:19" x14ac:dyDescent="0.3">
      <c r="B5" t="s">
        <v>198</v>
      </c>
    </row>
    <row r="7" spans="2:19" x14ac:dyDescent="0.3">
      <c r="B7" s="273" t="s">
        <v>187</v>
      </c>
      <c r="C7" s="273"/>
      <c r="D7" s="5"/>
      <c r="G7" s="273" t="s">
        <v>187</v>
      </c>
      <c r="H7" s="273"/>
      <c r="I7" s="5"/>
      <c r="L7" s="273" t="s">
        <v>187</v>
      </c>
      <c r="M7" s="273"/>
      <c r="N7" s="5"/>
      <c r="Q7" s="273" t="s">
        <v>187</v>
      </c>
      <c r="R7" s="273"/>
      <c r="S7" s="5"/>
    </row>
    <row r="8" spans="2:19" x14ac:dyDescent="0.3">
      <c r="B8" t="s">
        <v>143</v>
      </c>
      <c r="C8" t="str">
        <f>VLOOKUP(C$4, Std_Curve_Summary!$E$4:$Z$9, 7, FALSE)</f>
        <v>- 3'</v>
      </c>
      <c r="G8" t="s">
        <v>143</v>
      </c>
      <c r="H8" t="str">
        <f>VLOOKUP(H$4, Std_Curve_Summary!$E$4:$Z$9, 7, FALSE)</f>
        <v>- 3'</v>
      </c>
      <c r="L8" t="s">
        <v>143</v>
      </c>
      <c r="M8" t="e">
        <f>VLOOKUP(M$4, Std_Curve_Summary!$E$4:$Z$9, 7, FALSE)</f>
        <v>#N/A</v>
      </c>
      <c r="Q8" t="s">
        <v>143</v>
      </c>
      <c r="R8" t="str">
        <f>VLOOKUP(Q$4, Std_Curve_Summary!$D$4:$Z$9, 8, FALSE)</f>
        <v>- 3'</v>
      </c>
    </row>
    <row r="9" spans="2:19" ht="16.2" x14ac:dyDescent="0.3">
      <c r="B9" t="s">
        <v>142</v>
      </c>
      <c r="C9" t="str">
        <f>VLOOKUP(C$4, Std_Curve_Summary!$E$4:$Z$9, 8, FALSE)</f>
        <v xml:space="preserve">5' - </v>
      </c>
      <c r="G9" t="s">
        <v>142</v>
      </c>
      <c r="H9" t="str">
        <f>VLOOKUP(H$4, Std_Curve_Summary!$E$4:$Z$9, 8, FALSE)</f>
        <v xml:space="preserve">5' - </v>
      </c>
      <c r="L9" t="s">
        <v>142</v>
      </c>
      <c r="M9" t="e">
        <f>VLOOKUP(M$4, Std_Curve_Summary!$E$4:$Z$9, 8, FALSE)</f>
        <v>#N/A</v>
      </c>
      <c r="Q9" t="s">
        <v>142</v>
      </c>
      <c r="R9" t="e">
        <f>VLOOKUP(Q$4, Std_Curve_Summary!$E$4:$Z$9, 8, FALSE)</f>
        <v>#N/A</v>
      </c>
    </row>
    <row r="10" spans="2:19" x14ac:dyDescent="0.3">
      <c r="B10" t="s">
        <v>140</v>
      </c>
      <c r="C10">
        <f>VLOOKUP(C$4, Std_Curve_Summary!$E$4:$Z$9, 9, FALSE)</f>
        <v>0</v>
      </c>
      <c r="G10" t="s">
        <v>140</v>
      </c>
      <c r="H10">
        <f>VLOOKUP(H$4, Std_Curve_Summary!$E$4:$Z$9, 9, FALSE)</f>
        <v>0</v>
      </c>
      <c r="L10" t="s">
        <v>140</v>
      </c>
      <c r="M10" t="e">
        <f>VLOOKUP(M$4, Std_Curve_Summary!$E$4:$Z$9, 9, FALSE)</f>
        <v>#N/A</v>
      </c>
      <c r="Q10" t="s">
        <v>140</v>
      </c>
      <c r="R10" t="e">
        <f>VLOOKUP(Q$4, Std_Curve_Summary!$E$4:$Z$9, 9, FALSE)</f>
        <v>#N/A</v>
      </c>
    </row>
    <row r="11" spans="2:19" x14ac:dyDescent="0.3">
      <c r="B11" t="s">
        <v>141</v>
      </c>
      <c r="C11" t="str">
        <f>VLOOKUP(C$4, Std_Curve_Summary!$E$4:$Z$9, 10, FALSE)</f>
        <v>- 3'</v>
      </c>
      <c r="G11" t="s">
        <v>141</v>
      </c>
      <c r="H11" t="str">
        <f>VLOOKUP(H$4, Std_Curve_Summary!$E$4:$Z$9, 10, FALSE)</f>
        <v>- 3'</v>
      </c>
      <c r="L11" t="s">
        <v>141</v>
      </c>
      <c r="M11" t="e">
        <f>VLOOKUP(M$4, Std_Curve_Summary!$E$4:$Z$9, 10, FALSE)</f>
        <v>#N/A</v>
      </c>
      <c r="Q11" t="s">
        <v>141</v>
      </c>
      <c r="R11" t="e">
        <f>VLOOKUP(Q$4, Std_Curve_Summary!$E$4:$Z$9, 10, FALSE)</f>
        <v>#N/A</v>
      </c>
    </row>
    <row r="12" spans="2:19" x14ac:dyDescent="0.3">
      <c r="B12" s="273" t="s">
        <v>188</v>
      </c>
      <c r="C12" s="273"/>
      <c r="D12" s="5"/>
      <c r="G12" s="273" t="s">
        <v>188</v>
      </c>
      <c r="H12" s="273"/>
      <c r="I12" s="5"/>
      <c r="L12" s="273" t="s">
        <v>188</v>
      </c>
      <c r="M12" s="273"/>
      <c r="N12" s="5"/>
      <c r="Q12" s="273" t="s">
        <v>188</v>
      </c>
      <c r="R12" s="273"/>
      <c r="S12" s="5"/>
    </row>
    <row r="13" spans="2:19" x14ac:dyDescent="0.3">
      <c r="B13" t="s">
        <v>143</v>
      </c>
      <c r="C13" t="e">
        <f>INTERCEPT(E20:E24, D20:D24)</f>
        <v>#REF!</v>
      </c>
      <c r="G13" t="s">
        <v>143</v>
      </c>
      <c r="H13" t="e">
        <f>INTERCEPT(J20:J24, I20:I24)</f>
        <v>#REF!</v>
      </c>
      <c r="L13" t="s">
        <v>143</v>
      </c>
      <c r="M13" t="e">
        <f>INTERCEPT(O20:O24, N20:N24)</f>
        <v>#REF!</v>
      </c>
      <c r="Q13" t="s">
        <v>143</v>
      </c>
      <c r="R13" t="e">
        <f>INTERCEPT(T20:T24, S20:S24)</f>
        <v>#REF!</v>
      </c>
    </row>
    <row r="14" spans="2:19" ht="16.2" x14ac:dyDescent="0.3">
      <c r="B14" t="s">
        <v>142</v>
      </c>
      <c r="C14" t="e">
        <f>CORREL(D20:D24,E20:E24)</f>
        <v>#REF!</v>
      </c>
      <c r="G14" t="s">
        <v>142</v>
      </c>
      <c r="H14" t="e">
        <f>CORREL(I20:I24,J20:J24)</f>
        <v>#REF!</v>
      </c>
      <c r="L14" t="s">
        <v>142</v>
      </c>
      <c r="M14" t="e">
        <f>CORREL(N20:N24,O20:O24)</f>
        <v>#REF!</v>
      </c>
      <c r="Q14" t="s">
        <v>142</v>
      </c>
      <c r="R14" t="e">
        <f>CORREL(S20:S24,T20:T24)</f>
        <v>#REF!</v>
      </c>
    </row>
    <row r="15" spans="2:19" x14ac:dyDescent="0.3">
      <c r="B15" t="s">
        <v>140</v>
      </c>
      <c r="C15" t="e">
        <f>SLOPE(E20:E24, D20:D24)</f>
        <v>#REF!</v>
      </c>
      <c r="G15" t="s">
        <v>140</v>
      </c>
      <c r="H15" t="e">
        <f>SLOPE(J20:J24, I20:I24)</f>
        <v>#REF!</v>
      </c>
      <c r="L15" t="s">
        <v>140</v>
      </c>
      <c r="M15" t="e">
        <f>SLOPE(O20:O24, N20:N24)</f>
        <v>#REF!</v>
      </c>
      <c r="Q15" t="s">
        <v>140</v>
      </c>
      <c r="R15" t="e">
        <f>SLOPE(T20:T24, S20:S24)</f>
        <v>#REF!</v>
      </c>
    </row>
    <row r="16" spans="2:19" x14ac:dyDescent="0.3">
      <c r="B16" t="s">
        <v>193</v>
      </c>
      <c r="C16" t="e">
        <f>(-1+10^(-1/C10))*100</f>
        <v>#DIV/0!</v>
      </c>
      <c r="G16" t="s">
        <v>193</v>
      </c>
      <c r="H16" t="e">
        <f>(-1+10^(-1/H10))*100</f>
        <v>#DIV/0!</v>
      </c>
      <c r="L16" t="s">
        <v>193</v>
      </c>
      <c r="M16" t="e">
        <f>(-1+10^(-1/M10))*100</f>
        <v>#N/A</v>
      </c>
      <c r="Q16" t="s">
        <v>193</v>
      </c>
      <c r="R16" t="e">
        <f>(-1+10^(-1/R10))*100</f>
        <v>#N/A</v>
      </c>
    </row>
    <row r="17" spans="2:20" x14ac:dyDescent="0.3">
      <c r="B17" t="s">
        <v>192</v>
      </c>
      <c r="C17" t="e">
        <f>(-1+10^(-1/C15))*100</f>
        <v>#REF!</v>
      </c>
      <c r="G17" t="s">
        <v>192</v>
      </c>
      <c r="H17" t="e">
        <f>(-1+10^(-1/H15))*100</f>
        <v>#REF!</v>
      </c>
      <c r="L17" t="s">
        <v>192</v>
      </c>
      <c r="M17" t="e">
        <f>(-1+10^(-1/M15))*100</f>
        <v>#REF!</v>
      </c>
      <c r="Q17" t="s">
        <v>192</v>
      </c>
      <c r="R17" t="e">
        <f>(-1+10^(-1/R15))*100</f>
        <v>#REF!</v>
      </c>
    </row>
    <row r="18" spans="2:20" x14ac:dyDescent="0.3">
      <c r="B18" s="273" t="s">
        <v>194</v>
      </c>
      <c r="C18" s="273"/>
      <c r="D18" s="273"/>
      <c r="E18" s="273"/>
      <c r="F18" s="5"/>
      <c r="G18" s="273" t="s">
        <v>194</v>
      </c>
      <c r="H18" s="273"/>
      <c r="I18" s="273"/>
      <c r="J18" s="273"/>
      <c r="K18" s="5"/>
      <c r="L18" s="273" t="s">
        <v>194</v>
      </c>
      <c r="M18" s="273"/>
      <c r="N18" s="273"/>
      <c r="O18" s="273"/>
      <c r="P18" s="5"/>
      <c r="Q18" s="273" t="s">
        <v>194</v>
      </c>
      <c r="R18" s="273"/>
      <c r="S18" s="273"/>
      <c r="T18" s="273"/>
    </row>
    <row r="19" spans="2:20" x14ac:dyDescent="0.3">
      <c r="B19" t="s">
        <v>191</v>
      </c>
      <c r="C19" t="s">
        <v>195</v>
      </c>
      <c r="D19" t="s">
        <v>197</v>
      </c>
      <c r="E19" t="s">
        <v>196</v>
      </c>
      <c r="G19" t="s">
        <v>191</v>
      </c>
      <c r="H19" t="s">
        <v>195</v>
      </c>
      <c r="I19" t="s">
        <v>197</v>
      </c>
      <c r="J19" t="s">
        <v>196</v>
      </c>
      <c r="L19" t="s">
        <v>191</v>
      </c>
      <c r="M19" t="s">
        <v>195</v>
      </c>
      <c r="N19" t="s">
        <v>197</v>
      </c>
      <c r="O19" t="s">
        <v>196</v>
      </c>
      <c r="Q19" t="s">
        <v>191</v>
      </c>
      <c r="R19" t="s">
        <v>195</v>
      </c>
      <c r="S19" t="s">
        <v>197</v>
      </c>
      <c r="T19" t="s">
        <v>196</v>
      </c>
    </row>
    <row r="20" spans="2:20" x14ac:dyDescent="0.3">
      <c r="B20" t="e">
        <f>MATCH(C4, qPCR_QC_Data!$H$23:$H$33, 0)</f>
        <v>#N/A</v>
      </c>
      <c r="C20" t="e">
        <f>_xlfn.SINGLE(INDEX(qPCR_QC_Data!#REF!, validation!B20))</f>
        <v>#REF!</v>
      </c>
      <c r="D20" t="e">
        <f>LOG10(C20)</f>
        <v>#REF!</v>
      </c>
      <c r="E20" t="e">
        <f>_xlfn.SINGLE(INDEX(qPCR_QC_Data!#REF!, validation!B20))</f>
        <v>#REF!</v>
      </c>
      <c r="G20" t="e">
        <f>MATCH(H4, qPCR_QC_Data!$H$23:$H$33, 0)</f>
        <v>#N/A</v>
      </c>
      <c r="H20" t="e">
        <f>_xlfn.SINGLE(INDEX(qPCR_QC_Data!#REF!, validation!G20))</f>
        <v>#REF!</v>
      </c>
      <c r="I20" t="e">
        <f>LOG10(H20)</f>
        <v>#REF!</v>
      </c>
      <c r="J20" t="e">
        <f>_xlfn.SINGLE(INDEX(qPCR_QC_Data!#REF!, validation!G20))</f>
        <v>#REF!</v>
      </c>
      <c r="L20" t="e">
        <f>MATCH(M4, qPCR_QC_Data!$H$23:$H$33, 0)</f>
        <v>#N/A</v>
      </c>
      <c r="M20" t="e">
        <f>_xlfn.SINGLE(INDEX(qPCR_QC_Data!#REF!, validation!L20))</f>
        <v>#REF!</v>
      </c>
      <c r="N20" t="e">
        <f>LOG10(M20)</f>
        <v>#REF!</v>
      </c>
      <c r="O20" t="e">
        <f>_xlfn.SINGLE(INDEX(qPCR_QC_Data!#REF!, validation!L20))</f>
        <v>#REF!</v>
      </c>
      <c r="Q20" t="e">
        <f>MATCH(R4, qPCR_QC_Data!$H$23:$H$33, 0)</f>
        <v>#N/A</v>
      </c>
      <c r="R20" t="e">
        <f>_xlfn.SINGLE(INDEX(qPCR_QC_Data!#REF!, validation!Q20))</f>
        <v>#REF!</v>
      </c>
      <c r="S20" t="e">
        <f>LOG10(R20)</f>
        <v>#REF!</v>
      </c>
      <c r="T20" t="e">
        <f>_xlfn.SINGLE(INDEX(qPCR_QC_Data!#REF!, validation!Q20))</f>
        <v>#REF!</v>
      </c>
    </row>
    <row r="21" spans="2:20" x14ac:dyDescent="0.3">
      <c r="B21" t="e">
        <f>B20+1</f>
        <v>#N/A</v>
      </c>
      <c r="C21" t="e">
        <f>_xlfn.SINGLE(INDEX(qPCR_QC_Data!#REF!, validation!B21))</f>
        <v>#REF!</v>
      </c>
      <c r="D21" t="e">
        <f t="shared" ref="D21:D29" si="0">LOG10(C21)</f>
        <v>#REF!</v>
      </c>
      <c r="E21" t="e">
        <f>_xlfn.SINGLE(INDEX(qPCR_QC_Data!#REF!, validation!B21))</f>
        <v>#REF!</v>
      </c>
      <c r="G21" t="e">
        <f>G20+1</f>
        <v>#N/A</v>
      </c>
      <c r="H21" t="e">
        <f>_xlfn.SINGLE(INDEX(qPCR_QC_Data!#REF!, validation!G21))</f>
        <v>#REF!</v>
      </c>
      <c r="I21" t="e">
        <f t="shared" ref="I21:I29" si="1">LOG10(H21)</f>
        <v>#REF!</v>
      </c>
      <c r="J21" t="e">
        <f>_xlfn.SINGLE(INDEX(qPCR_QC_Data!#REF!, validation!G21))</f>
        <v>#REF!</v>
      </c>
      <c r="L21" t="e">
        <f>L20+1</f>
        <v>#N/A</v>
      </c>
      <c r="M21" t="e">
        <f>_xlfn.SINGLE(INDEX(qPCR_QC_Data!#REF!, validation!L21))</f>
        <v>#REF!</v>
      </c>
      <c r="N21" t="e">
        <f t="shared" ref="N21:N29" si="2">LOG10(M21)</f>
        <v>#REF!</v>
      </c>
      <c r="O21" t="e">
        <f>_xlfn.SINGLE(INDEX(qPCR_QC_Data!#REF!, validation!L21))</f>
        <v>#REF!</v>
      </c>
      <c r="Q21" t="e">
        <f>Q20+1</f>
        <v>#N/A</v>
      </c>
      <c r="R21" t="e">
        <f>_xlfn.SINGLE(INDEX(qPCR_QC_Data!#REF!, validation!Q21))</f>
        <v>#REF!</v>
      </c>
      <c r="S21" t="e">
        <f t="shared" ref="S21:S29" si="3">LOG10(R21)</f>
        <v>#REF!</v>
      </c>
      <c r="T21" t="e">
        <f>_xlfn.SINGLE(INDEX(qPCR_QC_Data!#REF!, validation!Q21))</f>
        <v>#REF!</v>
      </c>
    </row>
    <row r="22" spans="2:20" x14ac:dyDescent="0.3">
      <c r="B22" t="e">
        <f t="shared" ref="B22:B25" si="4">B21+1</f>
        <v>#N/A</v>
      </c>
      <c r="C22" t="e">
        <f>_xlfn.SINGLE(INDEX(qPCR_QC_Data!#REF!, validation!B22))</f>
        <v>#REF!</v>
      </c>
      <c r="D22" t="e">
        <f t="shared" si="0"/>
        <v>#REF!</v>
      </c>
      <c r="E22" t="e">
        <f>_xlfn.SINGLE(INDEX(qPCR_QC_Data!#REF!, validation!B22))</f>
        <v>#REF!</v>
      </c>
      <c r="G22" t="e">
        <f t="shared" ref="G22:G24" si="5">G21+1</f>
        <v>#N/A</v>
      </c>
      <c r="H22" t="e">
        <f>_xlfn.SINGLE(INDEX(qPCR_QC_Data!#REF!, validation!G22))</f>
        <v>#REF!</v>
      </c>
      <c r="I22" t="e">
        <f t="shared" si="1"/>
        <v>#REF!</v>
      </c>
      <c r="J22" t="e">
        <f>_xlfn.SINGLE(INDEX(qPCR_QC_Data!#REF!, validation!G22))</f>
        <v>#REF!</v>
      </c>
      <c r="L22" t="e">
        <f t="shared" ref="L22:L24" si="6">L21+1</f>
        <v>#N/A</v>
      </c>
      <c r="M22" t="e">
        <f>_xlfn.SINGLE(INDEX(qPCR_QC_Data!#REF!, validation!L22))</f>
        <v>#REF!</v>
      </c>
      <c r="N22" t="e">
        <f t="shared" si="2"/>
        <v>#REF!</v>
      </c>
      <c r="O22" t="e">
        <f>_xlfn.SINGLE(INDEX(qPCR_QC_Data!#REF!, validation!L22))</f>
        <v>#REF!</v>
      </c>
      <c r="Q22" t="e">
        <f t="shared" ref="Q22:Q24" si="7">Q21+1</f>
        <v>#N/A</v>
      </c>
      <c r="R22" t="e">
        <f>_xlfn.SINGLE(INDEX(qPCR_QC_Data!#REF!, validation!Q22))</f>
        <v>#REF!</v>
      </c>
      <c r="S22" t="e">
        <f t="shared" si="3"/>
        <v>#REF!</v>
      </c>
      <c r="T22" t="e">
        <f>_xlfn.SINGLE(INDEX(qPCR_QC_Data!#REF!, validation!Q22))</f>
        <v>#REF!</v>
      </c>
    </row>
    <row r="23" spans="2:20" x14ac:dyDescent="0.3">
      <c r="B23" t="e">
        <f t="shared" si="4"/>
        <v>#N/A</v>
      </c>
      <c r="C23" t="e">
        <f>_xlfn.SINGLE(INDEX(qPCR_QC_Data!#REF!, validation!B23))</f>
        <v>#REF!</v>
      </c>
      <c r="D23" t="e">
        <f t="shared" si="0"/>
        <v>#REF!</v>
      </c>
      <c r="E23" t="e">
        <f>_xlfn.SINGLE(INDEX(qPCR_QC_Data!#REF!, validation!B23))</f>
        <v>#REF!</v>
      </c>
      <c r="G23" t="e">
        <f t="shared" si="5"/>
        <v>#N/A</v>
      </c>
      <c r="H23" t="e">
        <f>_xlfn.SINGLE(INDEX(qPCR_QC_Data!#REF!, validation!G23))</f>
        <v>#REF!</v>
      </c>
      <c r="I23" t="e">
        <f t="shared" si="1"/>
        <v>#REF!</v>
      </c>
      <c r="J23" t="e">
        <f>_xlfn.SINGLE(INDEX(qPCR_QC_Data!#REF!, validation!G23))</f>
        <v>#REF!</v>
      </c>
      <c r="L23" t="e">
        <f t="shared" si="6"/>
        <v>#N/A</v>
      </c>
      <c r="M23" t="e">
        <f>_xlfn.SINGLE(INDEX(qPCR_QC_Data!#REF!, validation!L23))</f>
        <v>#REF!</v>
      </c>
      <c r="N23" t="e">
        <f t="shared" si="2"/>
        <v>#REF!</v>
      </c>
      <c r="O23" t="e">
        <f>_xlfn.SINGLE(INDEX(qPCR_QC_Data!#REF!, validation!L23))</f>
        <v>#REF!</v>
      </c>
      <c r="Q23" t="e">
        <f t="shared" si="7"/>
        <v>#N/A</v>
      </c>
      <c r="R23" t="e">
        <f>_xlfn.SINGLE(INDEX(qPCR_QC_Data!#REF!, validation!Q23))</f>
        <v>#REF!</v>
      </c>
      <c r="S23" t="e">
        <f t="shared" si="3"/>
        <v>#REF!</v>
      </c>
      <c r="T23" t="e">
        <f>_xlfn.SINGLE(INDEX(qPCR_QC_Data!#REF!, validation!Q23))</f>
        <v>#REF!</v>
      </c>
    </row>
    <row r="24" spans="2:20" x14ac:dyDescent="0.3">
      <c r="B24" t="e">
        <f t="shared" si="4"/>
        <v>#N/A</v>
      </c>
      <c r="C24" t="e">
        <f>_xlfn.SINGLE(INDEX(qPCR_QC_Data!#REF!, validation!B24))</f>
        <v>#REF!</v>
      </c>
      <c r="D24" t="e">
        <f t="shared" si="0"/>
        <v>#REF!</v>
      </c>
      <c r="E24" t="e">
        <f>_xlfn.SINGLE(INDEX(qPCR_QC_Data!#REF!, validation!B24))</f>
        <v>#REF!</v>
      </c>
      <c r="G24" t="e">
        <f t="shared" si="5"/>
        <v>#N/A</v>
      </c>
      <c r="H24" t="e">
        <f>_xlfn.SINGLE(INDEX(qPCR_QC_Data!#REF!, validation!G24))</f>
        <v>#REF!</v>
      </c>
      <c r="I24" t="e">
        <f t="shared" si="1"/>
        <v>#REF!</v>
      </c>
      <c r="J24" t="e">
        <f>_xlfn.SINGLE(INDEX(qPCR_QC_Data!#REF!, validation!G24))</f>
        <v>#REF!</v>
      </c>
      <c r="L24" t="e">
        <f t="shared" si="6"/>
        <v>#N/A</v>
      </c>
      <c r="M24" t="e">
        <f>_xlfn.SINGLE(INDEX(qPCR_QC_Data!#REF!, validation!L24))</f>
        <v>#REF!</v>
      </c>
      <c r="N24" t="e">
        <f t="shared" si="2"/>
        <v>#REF!</v>
      </c>
      <c r="O24" t="e">
        <f>_xlfn.SINGLE(INDEX(qPCR_QC_Data!#REF!, validation!L24))</f>
        <v>#REF!</v>
      </c>
      <c r="Q24" t="e">
        <f t="shared" si="7"/>
        <v>#N/A</v>
      </c>
      <c r="R24" t="e">
        <f>_xlfn.SINGLE(INDEX(qPCR_QC_Data!#REF!, validation!Q24))</f>
        <v>#REF!</v>
      </c>
      <c r="S24" t="e">
        <f t="shared" si="3"/>
        <v>#REF!</v>
      </c>
      <c r="T24" t="e">
        <f>_xlfn.SINGLE(INDEX(qPCR_QC_Data!#REF!, validation!Q24))</f>
        <v>#REF!</v>
      </c>
    </row>
    <row r="25" spans="2:20" x14ac:dyDescent="0.3">
      <c r="B25" t="e">
        <f t="shared" si="4"/>
        <v>#N/A</v>
      </c>
      <c r="C25" t="e">
        <f>_xlfn.SINGLE(INDEX(qPCR_QC_Data!#REF!, validation!B25))</f>
        <v>#REF!</v>
      </c>
      <c r="D25" t="e">
        <f t="shared" si="0"/>
        <v>#REF!</v>
      </c>
      <c r="E25" t="e">
        <f>_xlfn.SINGLE(INDEX(qPCR_QC_Data!#REF!, validation!B25))</f>
        <v>#REF!</v>
      </c>
      <c r="G25" t="e">
        <f t="shared" ref="G25:G29" si="8">G24+1</f>
        <v>#N/A</v>
      </c>
      <c r="H25" t="e">
        <f>_xlfn.SINGLE(INDEX(qPCR_QC_Data!#REF!, validation!G25))</f>
        <v>#REF!</v>
      </c>
      <c r="I25" t="e">
        <f t="shared" si="1"/>
        <v>#REF!</v>
      </c>
      <c r="J25" t="e">
        <f>_xlfn.SINGLE(INDEX(qPCR_QC_Data!#REF!, validation!G25))</f>
        <v>#REF!</v>
      </c>
      <c r="L25" t="e">
        <f t="shared" ref="L25:L29" si="9">L24+1</f>
        <v>#N/A</v>
      </c>
      <c r="M25" t="e">
        <f>_xlfn.SINGLE(INDEX(qPCR_QC_Data!#REF!, validation!L25))</f>
        <v>#REF!</v>
      </c>
      <c r="N25" t="e">
        <f t="shared" si="2"/>
        <v>#REF!</v>
      </c>
      <c r="O25" t="e">
        <f>_xlfn.SINGLE(INDEX(qPCR_QC_Data!#REF!, validation!L25))</f>
        <v>#REF!</v>
      </c>
      <c r="Q25" t="e">
        <f t="shared" ref="Q25:Q29" si="10">Q24+1</f>
        <v>#N/A</v>
      </c>
      <c r="R25" t="e">
        <f>_xlfn.SINGLE(INDEX(qPCR_QC_Data!#REF!, validation!Q25))</f>
        <v>#REF!</v>
      </c>
      <c r="S25" t="e">
        <f t="shared" si="3"/>
        <v>#REF!</v>
      </c>
      <c r="T25" t="e">
        <f>_xlfn.SINGLE(INDEX(qPCR_QC_Data!#REF!, validation!Q25))</f>
        <v>#REF!</v>
      </c>
    </row>
    <row r="26" spans="2:20" x14ac:dyDescent="0.3">
      <c r="B26" t="e">
        <f t="shared" ref="B26:B29" si="11">B25+1</f>
        <v>#N/A</v>
      </c>
      <c r="C26" t="e">
        <f>_xlfn.SINGLE(INDEX(qPCR_QC_Data!#REF!, validation!B26))</f>
        <v>#REF!</v>
      </c>
      <c r="D26" t="e">
        <f t="shared" si="0"/>
        <v>#REF!</v>
      </c>
      <c r="E26" t="e">
        <f>_xlfn.SINGLE(INDEX(qPCR_QC_Data!#REF!, validation!B26))</f>
        <v>#REF!</v>
      </c>
      <c r="G26" t="e">
        <f t="shared" si="8"/>
        <v>#N/A</v>
      </c>
      <c r="H26" t="e">
        <f>_xlfn.SINGLE(INDEX(qPCR_QC_Data!#REF!, validation!G26))</f>
        <v>#REF!</v>
      </c>
      <c r="I26" t="e">
        <f t="shared" si="1"/>
        <v>#REF!</v>
      </c>
      <c r="J26" t="e">
        <f>_xlfn.SINGLE(INDEX(qPCR_QC_Data!#REF!, validation!G26))</f>
        <v>#REF!</v>
      </c>
      <c r="L26" t="e">
        <f t="shared" si="9"/>
        <v>#N/A</v>
      </c>
      <c r="M26" t="e">
        <f>_xlfn.SINGLE(INDEX(qPCR_QC_Data!#REF!, validation!L26))</f>
        <v>#REF!</v>
      </c>
      <c r="N26" t="e">
        <f t="shared" si="2"/>
        <v>#REF!</v>
      </c>
      <c r="O26" t="e">
        <f>_xlfn.SINGLE(INDEX(qPCR_QC_Data!#REF!, validation!L26))</f>
        <v>#REF!</v>
      </c>
      <c r="Q26" t="e">
        <f t="shared" si="10"/>
        <v>#N/A</v>
      </c>
      <c r="R26" t="e">
        <f>_xlfn.SINGLE(INDEX(qPCR_QC_Data!#REF!, validation!Q26))</f>
        <v>#REF!</v>
      </c>
      <c r="S26" t="e">
        <f t="shared" si="3"/>
        <v>#REF!</v>
      </c>
      <c r="T26" t="e">
        <f>_xlfn.SINGLE(INDEX(qPCR_QC_Data!#REF!, validation!Q26))</f>
        <v>#REF!</v>
      </c>
    </row>
    <row r="27" spans="2:20" x14ac:dyDescent="0.3">
      <c r="B27" t="e">
        <f t="shared" si="11"/>
        <v>#N/A</v>
      </c>
      <c r="C27" t="e">
        <f>_xlfn.SINGLE(INDEX(qPCR_QC_Data!#REF!, validation!B27))</f>
        <v>#REF!</v>
      </c>
      <c r="D27" t="e">
        <f t="shared" si="0"/>
        <v>#REF!</v>
      </c>
      <c r="E27" t="e">
        <f>_xlfn.SINGLE(INDEX(qPCR_QC_Data!#REF!, validation!B27))</f>
        <v>#REF!</v>
      </c>
      <c r="G27" t="e">
        <f t="shared" si="8"/>
        <v>#N/A</v>
      </c>
      <c r="H27" t="e">
        <f>_xlfn.SINGLE(INDEX(qPCR_QC_Data!#REF!, validation!G27))</f>
        <v>#REF!</v>
      </c>
      <c r="I27" t="e">
        <f t="shared" si="1"/>
        <v>#REF!</v>
      </c>
      <c r="J27" t="e">
        <f>_xlfn.SINGLE(INDEX(qPCR_QC_Data!#REF!, validation!G27))</f>
        <v>#REF!</v>
      </c>
      <c r="L27" t="e">
        <f t="shared" si="9"/>
        <v>#N/A</v>
      </c>
      <c r="M27" t="e">
        <f>_xlfn.SINGLE(INDEX(qPCR_QC_Data!#REF!, validation!L27))</f>
        <v>#REF!</v>
      </c>
      <c r="N27" t="e">
        <f t="shared" si="2"/>
        <v>#REF!</v>
      </c>
      <c r="O27" t="e">
        <f>_xlfn.SINGLE(INDEX(qPCR_QC_Data!#REF!, validation!L27))</f>
        <v>#REF!</v>
      </c>
      <c r="Q27" t="e">
        <f t="shared" si="10"/>
        <v>#N/A</v>
      </c>
      <c r="R27" t="e">
        <f>_xlfn.SINGLE(INDEX(qPCR_QC_Data!#REF!, validation!Q27))</f>
        <v>#REF!</v>
      </c>
      <c r="S27" t="e">
        <f t="shared" si="3"/>
        <v>#REF!</v>
      </c>
      <c r="T27" t="e">
        <f>_xlfn.SINGLE(INDEX(qPCR_QC_Data!#REF!, validation!Q27))</f>
        <v>#REF!</v>
      </c>
    </row>
    <row r="28" spans="2:20" x14ac:dyDescent="0.3">
      <c r="B28" t="e">
        <f t="shared" si="11"/>
        <v>#N/A</v>
      </c>
      <c r="C28" t="e">
        <f>_xlfn.SINGLE(INDEX(qPCR_QC_Data!#REF!, validation!B28))</f>
        <v>#REF!</v>
      </c>
      <c r="D28" t="e">
        <f t="shared" si="0"/>
        <v>#REF!</v>
      </c>
      <c r="E28" t="e">
        <f>_xlfn.SINGLE(INDEX(qPCR_QC_Data!#REF!, validation!B28))</f>
        <v>#REF!</v>
      </c>
      <c r="G28" t="e">
        <f t="shared" si="8"/>
        <v>#N/A</v>
      </c>
      <c r="H28" t="e">
        <f>_xlfn.SINGLE(INDEX(qPCR_QC_Data!#REF!, validation!G28))</f>
        <v>#REF!</v>
      </c>
      <c r="I28" t="e">
        <f t="shared" si="1"/>
        <v>#REF!</v>
      </c>
      <c r="J28" t="e">
        <f>_xlfn.SINGLE(INDEX(qPCR_QC_Data!#REF!, validation!G28))</f>
        <v>#REF!</v>
      </c>
      <c r="L28" t="e">
        <f t="shared" si="9"/>
        <v>#N/A</v>
      </c>
      <c r="M28" t="e">
        <f>_xlfn.SINGLE(INDEX(qPCR_QC_Data!#REF!, validation!L28))</f>
        <v>#REF!</v>
      </c>
      <c r="N28" t="e">
        <f t="shared" si="2"/>
        <v>#REF!</v>
      </c>
      <c r="O28" t="e">
        <f>_xlfn.SINGLE(INDEX(qPCR_QC_Data!#REF!, validation!L28))</f>
        <v>#REF!</v>
      </c>
      <c r="Q28" t="e">
        <f t="shared" si="10"/>
        <v>#N/A</v>
      </c>
      <c r="R28" t="e">
        <f>_xlfn.SINGLE(INDEX(qPCR_QC_Data!#REF!, validation!Q28))</f>
        <v>#REF!</v>
      </c>
      <c r="S28" t="e">
        <f t="shared" si="3"/>
        <v>#REF!</v>
      </c>
      <c r="T28" t="e">
        <f>_xlfn.SINGLE(INDEX(qPCR_QC_Data!#REF!, validation!Q28))</f>
        <v>#REF!</v>
      </c>
    </row>
    <row r="29" spans="2:20" x14ac:dyDescent="0.3">
      <c r="B29" t="e">
        <f t="shared" si="11"/>
        <v>#N/A</v>
      </c>
      <c r="C29" t="e">
        <f>_xlfn.SINGLE(INDEX(qPCR_QC_Data!#REF!, validation!B29))</f>
        <v>#REF!</v>
      </c>
      <c r="D29" t="e">
        <f t="shared" si="0"/>
        <v>#REF!</v>
      </c>
      <c r="E29" t="e">
        <f>_xlfn.SINGLE(INDEX(qPCR_QC_Data!#REF!, validation!B29))</f>
        <v>#REF!</v>
      </c>
      <c r="G29" t="e">
        <f t="shared" si="8"/>
        <v>#N/A</v>
      </c>
      <c r="H29" t="e">
        <f>_xlfn.SINGLE(INDEX(qPCR_QC_Data!#REF!, validation!G29))</f>
        <v>#REF!</v>
      </c>
      <c r="I29" t="e">
        <f t="shared" si="1"/>
        <v>#REF!</v>
      </c>
      <c r="J29" t="e">
        <f>_xlfn.SINGLE(INDEX(qPCR_QC_Data!#REF!, validation!G29))</f>
        <v>#REF!</v>
      </c>
      <c r="L29" t="e">
        <f t="shared" si="9"/>
        <v>#N/A</v>
      </c>
      <c r="M29" t="e">
        <f>_xlfn.SINGLE(INDEX(qPCR_QC_Data!#REF!, validation!L29))</f>
        <v>#REF!</v>
      </c>
      <c r="N29" t="e">
        <f t="shared" si="2"/>
        <v>#REF!</v>
      </c>
      <c r="O29" t="e">
        <f>_xlfn.SINGLE(INDEX(qPCR_QC_Data!#REF!, validation!L29))</f>
        <v>#REF!</v>
      </c>
      <c r="Q29" t="e">
        <f t="shared" si="10"/>
        <v>#N/A</v>
      </c>
      <c r="R29" t="e">
        <f>_xlfn.SINGLE(INDEX(qPCR_QC_Data!#REF!, validation!Q29))</f>
        <v>#REF!</v>
      </c>
      <c r="S29" t="e">
        <f t="shared" si="3"/>
        <v>#REF!</v>
      </c>
      <c r="T29" t="e">
        <f>_xlfn.SINGLE(INDEX(qPCR_QC_Data!#REF!, validation!Q29))</f>
        <v>#REF!</v>
      </c>
    </row>
  </sheetData>
  <sheetProtection selectLockedCells="1" selectUnlockedCells="1"/>
  <customSheetViews>
    <customSheetView guid="{95CD56FE-1162-4AE7-88D2-9EB3DF57F0D2}" state="veryHidden">
      <selection activeCell="D7" sqref="D7"/>
      <pageMargins left="0.7" right="0.7" top="0.75" bottom="0.75" header="0.3" footer="0.3"/>
      <pageSetup orientation="portrait" r:id="rId1"/>
    </customSheetView>
  </customSheetViews>
  <mergeCells count="12">
    <mergeCell ref="B7:C7"/>
    <mergeCell ref="B12:C12"/>
    <mergeCell ref="B18:E18"/>
    <mergeCell ref="G7:H7"/>
    <mergeCell ref="G12:H12"/>
    <mergeCell ref="G18:J18"/>
    <mergeCell ref="L7:M7"/>
    <mergeCell ref="L12:M12"/>
    <mergeCell ref="L18:O18"/>
    <mergeCell ref="Q7:R7"/>
    <mergeCell ref="Q12:R12"/>
    <mergeCell ref="Q18:T18"/>
  </mergeCells>
  <dataValidations count="1">
    <dataValidation type="list" allowBlank="1" showInputMessage="1" showErrorMessage="1" sqref="M4:N4 C4:D4 R4">
      <formula1>$H$2:$H$5</formula1>
    </dataValidation>
  </dataValidation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Dropdown_Data!$H$2:$H$5</xm:f>
          </x14:formula1>
          <xm:sqref>H4:I4</xm:sqref>
        </x14:dataValidation>
        <x14:dataValidation type="list" allowBlank="1" showInputMessage="1" showErrorMessage="1">
          <x14:formula1>
            <xm:f>Dropdown_Data!$F$2:$F$9</xm:f>
          </x14:formula1>
          <xm:sqref>G4 L4 Q4 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39997558519241921"/>
  </sheetPr>
  <dimension ref="A1:H55"/>
  <sheetViews>
    <sheetView topLeftCell="A39" zoomScaleNormal="100" workbookViewId="0">
      <selection activeCell="A55" sqref="A55"/>
    </sheetView>
  </sheetViews>
  <sheetFormatPr defaultColWidth="8.77734375" defaultRowHeight="14.4" x14ac:dyDescent="0.3"/>
  <cols>
    <col min="1" max="1" width="11.44140625" style="2" customWidth="1"/>
    <col min="2" max="2" width="63.77734375" style="2" customWidth="1"/>
    <col min="3" max="3" width="17" style="2" customWidth="1"/>
    <col min="4" max="4" width="15.77734375" style="2" customWidth="1"/>
    <col min="5" max="5" width="31.77734375" style="2" customWidth="1"/>
    <col min="6" max="6" width="36.109375" customWidth="1"/>
    <col min="7" max="7" width="14.77734375" customWidth="1"/>
    <col min="8" max="8" width="11.44140625" customWidth="1"/>
  </cols>
  <sheetData>
    <row r="1" spans="1:8" ht="47.55" customHeight="1" x14ac:dyDescent="0.3">
      <c r="A1" s="231" t="s">
        <v>357</v>
      </c>
      <c r="B1" s="232"/>
      <c r="C1" s="230">
        <v>999</v>
      </c>
      <c r="D1" s="230"/>
      <c r="E1" s="193" t="str">
        <f>VLOOKUP(C1,A4:B59,2, FALSE)</f>
        <v>SampleLab</v>
      </c>
      <c r="F1" s="21"/>
      <c r="G1" s="194" t="s">
        <v>31</v>
      </c>
      <c r="H1" s="195">
        <v>20240722</v>
      </c>
    </row>
    <row r="2" spans="1:8" ht="15" thickBot="1" x14ac:dyDescent="0.35">
      <c r="G2" s="194" t="s">
        <v>30</v>
      </c>
      <c r="H2" s="195" t="s">
        <v>686</v>
      </c>
    </row>
    <row r="3" spans="1:8" ht="15" thickBot="1" x14ac:dyDescent="0.35">
      <c r="A3" s="192" t="s">
        <v>96</v>
      </c>
      <c r="B3" s="34" t="s">
        <v>0</v>
      </c>
      <c r="C3" s="34" t="s">
        <v>417</v>
      </c>
      <c r="D3" s="34" t="s">
        <v>354</v>
      </c>
      <c r="E3" s="34" t="s">
        <v>350</v>
      </c>
      <c r="F3" s="35" t="s">
        <v>1</v>
      </c>
    </row>
    <row r="4" spans="1:8" ht="18" customHeight="1" x14ac:dyDescent="0.3">
      <c r="A4" s="30">
        <v>1</v>
      </c>
      <c r="B4" s="31" t="s">
        <v>35</v>
      </c>
      <c r="C4" s="32" t="s">
        <v>36</v>
      </c>
      <c r="D4" s="31" t="s">
        <v>37</v>
      </c>
      <c r="E4" s="33" t="s">
        <v>355</v>
      </c>
      <c r="F4" s="31" t="s">
        <v>38</v>
      </c>
    </row>
    <row r="5" spans="1:8" ht="18" customHeight="1" x14ac:dyDescent="0.3">
      <c r="A5" s="22">
        <v>2</v>
      </c>
      <c r="B5" s="23" t="s">
        <v>39</v>
      </c>
      <c r="C5" s="24" t="s">
        <v>40</v>
      </c>
      <c r="D5" s="23" t="s">
        <v>37</v>
      </c>
      <c r="E5" s="25" t="s">
        <v>355</v>
      </c>
      <c r="F5" s="23" t="s">
        <v>38</v>
      </c>
    </row>
    <row r="6" spans="1:8" ht="18" customHeight="1" x14ac:dyDescent="0.3">
      <c r="A6" s="22">
        <v>3</v>
      </c>
      <c r="B6" s="23" t="s">
        <v>41</v>
      </c>
      <c r="C6" s="24" t="s">
        <v>42</v>
      </c>
      <c r="D6" s="23" t="s">
        <v>37</v>
      </c>
      <c r="E6" s="25" t="s">
        <v>355</v>
      </c>
      <c r="F6" s="23" t="s">
        <v>38</v>
      </c>
    </row>
    <row r="7" spans="1:8" ht="18" customHeight="1" x14ac:dyDescent="0.3">
      <c r="A7" s="22">
        <v>4</v>
      </c>
      <c r="B7" s="23" t="s">
        <v>407</v>
      </c>
      <c r="C7" s="24" t="s">
        <v>43</v>
      </c>
      <c r="D7" s="23" t="s">
        <v>37</v>
      </c>
      <c r="E7" s="25" t="s">
        <v>355</v>
      </c>
      <c r="F7" s="23" t="s">
        <v>38</v>
      </c>
    </row>
    <row r="8" spans="1:8" ht="18" customHeight="1" x14ac:dyDescent="0.3">
      <c r="A8" s="26">
        <v>5</v>
      </c>
      <c r="B8" s="23" t="s">
        <v>44</v>
      </c>
      <c r="C8" s="24" t="s">
        <v>45</v>
      </c>
      <c r="D8" s="23" t="s">
        <v>37</v>
      </c>
      <c r="E8" s="25" t="s">
        <v>355</v>
      </c>
      <c r="F8" s="23" t="s">
        <v>38</v>
      </c>
    </row>
    <row r="9" spans="1:8" ht="18" customHeight="1" x14ac:dyDescent="0.3">
      <c r="A9" s="26">
        <v>6</v>
      </c>
      <c r="B9" s="23" t="s">
        <v>46</v>
      </c>
      <c r="C9" s="24" t="s">
        <v>45</v>
      </c>
      <c r="D9" s="23" t="s">
        <v>37</v>
      </c>
      <c r="E9" s="25" t="s">
        <v>355</v>
      </c>
      <c r="F9" s="23" t="s">
        <v>38</v>
      </c>
    </row>
    <row r="10" spans="1:8" ht="18" customHeight="1" x14ac:dyDescent="0.3">
      <c r="A10" s="26">
        <v>7</v>
      </c>
      <c r="B10" s="23" t="s">
        <v>47</v>
      </c>
      <c r="C10" s="24" t="s">
        <v>48</v>
      </c>
      <c r="D10" s="23" t="s">
        <v>37</v>
      </c>
      <c r="E10" s="25" t="s">
        <v>355</v>
      </c>
      <c r="F10" s="23" t="s">
        <v>38</v>
      </c>
    </row>
    <row r="11" spans="1:8" ht="18" customHeight="1" x14ac:dyDescent="0.3">
      <c r="A11" s="22">
        <v>8</v>
      </c>
      <c r="B11" s="27" t="s">
        <v>49</v>
      </c>
      <c r="C11" s="24" t="s">
        <v>36</v>
      </c>
      <c r="D11" s="23" t="s">
        <v>37</v>
      </c>
      <c r="E11" s="25" t="s">
        <v>355</v>
      </c>
      <c r="F11" s="23" t="s">
        <v>38</v>
      </c>
    </row>
    <row r="12" spans="1:8" ht="18" customHeight="1" x14ac:dyDescent="0.3">
      <c r="A12" s="22">
        <v>9</v>
      </c>
      <c r="B12" s="27" t="s">
        <v>50</v>
      </c>
      <c r="C12" s="24" t="s">
        <v>51</v>
      </c>
      <c r="D12" s="23" t="s">
        <v>37</v>
      </c>
      <c r="E12" s="25" t="s">
        <v>355</v>
      </c>
      <c r="F12" s="23" t="s">
        <v>38</v>
      </c>
    </row>
    <row r="13" spans="1:8" ht="18" customHeight="1" x14ac:dyDescent="0.3">
      <c r="A13" s="22">
        <v>10</v>
      </c>
      <c r="B13" s="27" t="s">
        <v>52</v>
      </c>
      <c r="C13" s="24" t="s">
        <v>294</v>
      </c>
      <c r="D13" s="23" t="s">
        <v>37</v>
      </c>
      <c r="E13" s="25" t="s">
        <v>355</v>
      </c>
      <c r="F13" s="23" t="s">
        <v>53</v>
      </c>
    </row>
    <row r="14" spans="1:8" ht="18" customHeight="1" x14ac:dyDescent="0.3">
      <c r="A14" s="22">
        <v>11</v>
      </c>
      <c r="B14" s="27" t="s">
        <v>181</v>
      </c>
      <c r="C14" s="24" t="s">
        <v>54</v>
      </c>
      <c r="D14" s="23" t="s">
        <v>37</v>
      </c>
      <c r="E14" s="25" t="s">
        <v>355</v>
      </c>
      <c r="F14" s="23" t="s">
        <v>38</v>
      </c>
    </row>
    <row r="15" spans="1:8" ht="18" customHeight="1" x14ac:dyDescent="0.3">
      <c r="A15" s="22">
        <v>12</v>
      </c>
      <c r="B15" s="27" t="s">
        <v>55</v>
      </c>
      <c r="C15" s="24" t="s">
        <v>43</v>
      </c>
      <c r="D15" s="23" t="s">
        <v>37</v>
      </c>
      <c r="E15" s="25" t="s">
        <v>355</v>
      </c>
      <c r="F15" s="23" t="s">
        <v>38</v>
      </c>
    </row>
    <row r="16" spans="1:8" ht="18" customHeight="1" x14ac:dyDescent="0.3">
      <c r="A16" s="22">
        <v>13</v>
      </c>
      <c r="B16" s="27" t="s">
        <v>56</v>
      </c>
      <c r="C16" s="24" t="s">
        <v>57</v>
      </c>
      <c r="D16" s="23" t="s">
        <v>37</v>
      </c>
      <c r="E16" s="25" t="s">
        <v>355</v>
      </c>
      <c r="F16" s="23" t="s">
        <v>38</v>
      </c>
    </row>
    <row r="17" spans="1:6" ht="18" customHeight="1" x14ac:dyDescent="0.3">
      <c r="A17" s="22">
        <v>14</v>
      </c>
      <c r="B17" s="27" t="s">
        <v>58</v>
      </c>
      <c r="C17" s="24" t="s">
        <v>59</v>
      </c>
      <c r="D17" s="23" t="s">
        <v>37</v>
      </c>
      <c r="E17" s="25" t="s">
        <v>355</v>
      </c>
      <c r="F17" s="23" t="s">
        <v>38</v>
      </c>
    </row>
    <row r="18" spans="1:6" ht="18" customHeight="1" x14ac:dyDescent="0.3">
      <c r="A18" s="22">
        <v>15</v>
      </c>
      <c r="B18" s="27" t="s">
        <v>273</v>
      </c>
      <c r="C18" s="24" t="s">
        <v>60</v>
      </c>
      <c r="D18" s="23" t="s">
        <v>37</v>
      </c>
      <c r="E18" s="25" t="s">
        <v>355</v>
      </c>
      <c r="F18" s="23" t="s">
        <v>61</v>
      </c>
    </row>
    <row r="19" spans="1:6" ht="18" customHeight="1" x14ac:dyDescent="0.3">
      <c r="A19" s="22">
        <v>16</v>
      </c>
      <c r="B19" s="27" t="s">
        <v>62</v>
      </c>
      <c r="C19" s="24" t="s">
        <v>295</v>
      </c>
      <c r="D19" s="23" t="s">
        <v>37</v>
      </c>
      <c r="E19" s="25" t="s">
        <v>355</v>
      </c>
      <c r="F19" s="23" t="s">
        <v>61</v>
      </c>
    </row>
    <row r="20" spans="1:6" ht="18" customHeight="1" x14ac:dyDescent="0.3">
      <c r="A20" s="22">
        <v>17</v>
      </c>
      <c r="B20" s="27" t="s">
        <v>63</v>
      </c>
      <c r="C20" s="24" t="s">
        <v>45</v>
      </c>
      <c r="D20" s="23" t="s">
        <v>37</v>
      </c>
      <c r="E20" s="25" t="s">
        <v>355</v>
      </c>
      <c r="F20" s="23" t="s">
        <v>61</v>
      </c>
    </row>
    <row r="21" spans="1:6" ht="18" customHeight="1" x14ac:dyDescent="0.3">
      <c r="A21" s="22">
        <v>18</v>
      </c>
      <c r="B21" s="27" t="s">
        <v>64</v>
      </c>
      <c r="C21" s="24" t="s">
        <v>65</v>
      </c>
      <c r="D21" s="23" t="s">
        <v>66</v>
      </c>
      <c r="E21" s="25" t="s">
        <v>355</v>
      </c>
      <c r="F21" s="23" t="s">
        <v>67</v>
      </c>
    </row>
    <row r="22" spans="1:6" ht="18" customHeight="1" x14ac:dyDescent="0.3">
      <c r="A22" s="22">
        <v>19</v>
      </c>
      <c r="B22" s="27" t="s">
        <v>68</v>
      </c>
      <c r="C22" s="24" t="s">
        <v>65</v>
      </c>
      <c r="D22" s="23" t="s">
        <v>66</v>
      </c>
      <c r="E22" s="25" t="s">
        <v>355</v>
      </c>
      <c r="F22" s="23" t="s">
        <v>67</v>
      </c>
    </row>
    <row r="23" spans="1:6" ht="18" customHeight="1" x14ac:dyDescent="0.3">
      <c r="A23" s="22">
        <v>20</v>
      </c>
      <c r="B23" s="27" t="s">
        <v>69</v>
      </c>
      <c r="C23" s="24" t="s">
        <v>70</v>
      </c>
      <c r="D23" s="23" t="s">
        <v>71</v>
      </c>
      <c r="E23" s="25" t="s">
        <v>355</v>
      </c>
      <c r="F23" s="23" t="s">
        <v>72</v>
      </c>
    </row>
    <row r="24" spans="1:6" ht="18" customHeight="1" x14ac:dyDescent="0.3">
      <c r="A24" s="22">
        <v>21</v>
      </c>
      <c r="B24" s="27" t="s">
        <v>476</v>
      </c>
      <c r="C24" s="24" t="s">
        <v>73</v>
      </c>
      <c r="D24" s="23" t="s">
        <v>74</v>
      </c>
      <c r="E24" s="25" t="s">
        <v>355</v>
      </c>
      <c r="F24" s="23" t="s">
        <v>38</v>
      </c>
    </row>
    <row r="25" spans="1:6" ht="18" customHeight="1" x14ac:dyDescent="0.3">
      <c r="A25" s="22">
        <v>22</v>
      </c>
      <c r="B25" s="27" t="s">
        <v>75</v>
      </c>
      <c r="C25" s="24" t="s">
        <v>76</v>
      </c>
      <c r="D25" s="23" t="s">
        <v>77</v>
      </c>
      <c r="E25" s="25" t="s">
        <v>355</v>
      </c>
      <c r="F25" s="23" t="s">
        <v>78</v>
      </c>
    </row>
    <row r="26" spans="1:6" ht="18" customHeight="1" x14ac:dyDescent="0.3">
      <c r="A26" s="22">
        <v>23</v>
      </c>
      <c r="B26" s="27" t="s">
        <v>79</v>
      </c>
      <c r="C26" s="24" t="s">
        <v>80</v>
      </c>
      <c r="D26" s="23" t="s">
        <v>32</v>
      </c>
      <c r="E26" s="25" t="s">
        <v>355</v>
      </c>
      <c r="F26" s="23" t="s">
        <v>38</v>
      </c>
    </row>
    <row r="27" spans="1:6" ht="18" customHeight="1" x14ac:dyDescent="0.3">
      <c r="A27" s="22">
        <v>24</v>
      </c>
      <c r="B27" s="27" t="s">
        <v>81</v>
      </c>
      <c r="C27" s="24" t="s">
        <v>82</v>
      </c>
      <c r="D27" s="23" t="s">
        <v>83</v>
      </c>
      <c r="E27" s="25" t="s">
        <v>355</v>
      </c>
      <c r="F27" s="23" t="s">
        <v>38</v>
      </c>
    </row>
    <row r="28" spans="1:6" ht="18" customHeight="1" x14ac:dyDescent="0.3">
      <c r="A28" s="22">
        <v>25</v>
      </c>
      <c r="B28" s="27" t="s">
        <v>84</v>
      </c>
      <c r="C28" s="24" t="s">
        <v>85</v>
      </c>
      <c r="D28" s="23" t="s">
        <v>74</v>
      </c>
      <c r="E28" s="25" t="s">
        <v>355</v>
      </c>
      <c r="F28" s="23" t="s">
        <v>38</v>
      </c>
    </row>
    <row r="29" spans="1:6" ht="18" customHeight="1" x14ac:dyDescent="0.3">
      <c r="A29" s="22">
        <v>26</v>
      </c>
      <c r="B29" s="27" t="s">
        <v>86</v>
      </c>
      <c r="C29" s="24" t="s">
        <v>80</v>
      </c>
      <c r="D29" s="23" t="s">
        <v>32</v>
      </c>
      <c r="E29" s="25" t="s">
        <v>355</v>
      </c>
      <c r="F29" s="23" t="s">
        <v>38</v>
      </c>
    </row>
    <row r="30" spans="1:6" ht="18" customHeight="1" x14ac:dyDescent="0.3">
      <c r="A30" s="22">
        <v>27</v>
      </c>
      <c r="B30" s="28" t="s">
        <v>87</v>
      </c>
      <c r="C30" s="24" t="s">
        <v>88</v>
      </c>
      <c r="D30" s="23" t="s">
        <v>32</v>
      </c>
      <c r="E30" s="25" t="s">
        <v>355</v>
      </c>
      <c r="F30" s="23" t="s">
        <v>38</v>
      </c>
    </row>
    <row r="31" spans="1:6" ht="18" customHeight="1" x14ac:dyDescent="0.3">
      <c r="A31" s="22">
        <v>28</v>
      </c>
      <c r="B31" s="3" t="s">
        <v>274</v>
      </c>
      <c r="C31" s="24" t="s">
        <v>89</v>
      </c>
      <c r="D31" s="23" t="s">
        <v>32</v>
      </c>
      <c r="E31" s="25" t="s">
        <v>355</v>
      </c>
      <c r="F31" s="23" t="s">
        <v>61</v>
      </c>
    </row>
    <row r="32" spans="1:6" ht="18" customHeight="1" x14ac:dyDescent="0.3">
      <c r="A32" s="22">
        <v>29</v>
      </c>
      <c r="B32" s="27" t="s">
        <v>90</v>
      </c>
      <c r="C32" s="24" t="s">
        <v>91</v>
      </c>
      <c r="D32" s="23" t="s">
        <v>92</v>
      </c>
      <c r="E32" s="25" t="s">
        <v>351</v>
      </c>
      <c r="F32" s="23" t="s">
        <v>61</v>
      </c>
    </row>
    <row r="33" spans="1:6" ht="18" customHeight="1" x14ac:dyDescent="0.3">
      <c r="A33" s="22">
        <v>30</v>
      </c>
      <c r="B33" s="27" t="s">
        <v>93</v>
      </c>
      <c r="C33" s="29" t="s">
        <v>94</v>
      </c>
      <c r="D33" s="27" t="s">
        <v>95</v>
      </c>
      <c r="E33" s="25" t="s">
        <v>351</v>
      </c>
      <c r="F33" s="27" t="s">
        <v>61</v>
      </c>
    </row>
    <row r="34" spans="1:6" ht="18" customHeight="1" x14ac:dyDescent="0.3">
      <c r="A34" s="22">
        <v>31</v>
      </c>
      <c r="B34" s="27" t="s">
        <v>182</v>
      </c>
      <c r="C34" s="29" t="s">
        <v>184</v>
      </c>
      <c r="D34" s="27" t="s">
        <v>185</v>
      </c>
      <c r="E34" s="25" t="s">
        <v>355</v>
      </c>
      <c r="F34" s="27" t="s">
        <v>38</v>
      </c>
    </row>
    <row r="35" spans="1:6" ht="18" customHeight="1" x14ac:dyDescent="0.3">
      <c r="A35" s="22">
        <v>32</v>
      </c>
      <c r="B35" s="27" t="s">
        <v>183</v>
      </c>
      <c r="C35" s="29" t="s">
        <v>186</v>
      </c>
      <c r="D35" s="27" t="s">
        <v>83</v>
      </c>
      <c r="E35" s="25" t="s">
        <v>355</v>
      </c>
      <c r="F35" s="27" t="s">
        <v>38</v>
      </c>
    </row>
    <row r="36" spans="1:6" ht="18" customHeight="1" x14ac:dyDescent="0.3">
      <c r="A36" s="22">
        <v>33</v>
      </c>
      <c r="B36" s="27" t="s">
        <v>217</v>
      </c>
      <c r="C36" s="24" t="s">
        <v>218</v>
      </c>
      <c r="D36" s="23" t="s">
        <v>219</v>
      </c>
      <c r="E36" s="25" t="s">
        <v>351</v>
      </c>
      <c r="F36" s="23" t="s">
        <v>61</v>
      </c>
    </row>
    <row r="37" spans="1:6" ht="18" customHeight="1" x14ac:dyDescent="0.3">
      <c r="A37" s="22">
        <v>34</v>
      </c>
      <c r="B37" s="27" t="s">
        <v>271</v>
      </c>
      <c r="C37" s="29" t="s">
        <v>48</v>
      </c>
      <c r="D37" s="27" t="s">
        <v>272</v>
      </c>
      <c r="E37" s="25" t="s">
        <v>351</v>
      </c>
      <c r="F37" s="27" t="s">
        <v>61</v>
      </c>
    </row>
    <row r="38" spans="1:6" ht="18" customHeight="1" x14ac:dyDescent="0.3">
      <c r="A38" s="22">
        <v>35</v>
      </c>
      <c r="B38" s="27" t="s">
        <v>287</v>
      </c>
      <c r="C38" s="24" t="s">
        <v>290</v>
      </c>
      <c r="D38" s="23" t="s">
        <v>37</v>
      </c>
      <c r="E38" s="25" t="s">
        <v>355</v>
      </c>
      <c r="F38" s="27" t="s">
        <v>61</v>
      </c>
    </row>
    <row r="39" spans="1:6" ht="18" customHeight="1" x14ac:dyDescent="0.3">
      <c r="A39" s="22">
        <v>36</v>
      </c>
      <c r="B39" s="27" t="s">
        <v>288</v>
      </c>
      <c r="C39" s="24" t="s">
        <v>289</v>
      </c>
      <c r="D39" s="23" t="s">
        <v>291</v>
      </c>
      <c r="E39" s="25" t="s">
        <v>355</v>
      </c>
      <c r="F39" s="23" t="s">
        <v>293</v>
      </c>
    </row>
    <row r="40" spans="1:6" ht="18" customHeight="1" x14ac:dyDescent="0.3">
      <c r="A40" s="22">
        <v>37</v>
      </c>
      <c r="B40" s="27" t="s">
        <v>369</v>
      </c>
      <c r="C40" s="24" t="s">
        <v>88</v>
      </c>
      <c r="D40" s="23" t="s">
        <v>32</v>
      </c>
      <c r="E40" s="25" t="s">
        <v>355</v>
      </c>
      <c r="F40" s="23" t="s">
        <v>292</v>
      </c>
    </row>
    <row r="41" spans="1:6" ht="18" customHeight="1" x14ac:dyDescent="0.3">
      <c r="A41" s="22">
        <v>38</v>
      </c>
      <c r="B41" s="27" t="s">
        <v>297</v>
      </c>
      <c r="C41" s="24" t="s">
        <v>54</v>
      </c>
      <c r="D41" s="23" t="s">
        <v>37</v>
      </c>
      <c r="E41" s="25" t="s">
        <v>355</v>
      </c>
      <c r="F41" s="23" t="s">
        <v>38</v>
      </c>
    </row>
    <row r="42" spans="1:6" ht="18" customHeight="1" x14ac:dyDescent="0.3">
      <c r="A42" s="22">
        <v>39</v>
      </c>
      <c r="B42" s="27" t="s">
        <v>296</v>
      </c>
      <c r="C42" s="29" t="s">
        <v>298</v>
      </c>
      <c r="D42" s="27" t="s">
        <v>32</v>
      </c>
      <c r="E42" s="25" t="s">
        <v>356</v>
      </c>
      <c r="F42" s="27" t="s">
        <v>38</v>
      </c>
    </row>
    <row r="43" spans="1:6" ht="18" customHeight="1" x14ac:dyDescent="0.3">
      <c r="A43" s="22">
        <v>40</v>
      </c>
      <c r="B43" s="27" t="s">
        <v>408</v>
      </c>
      <c r="C43" s="29" t="s">
        <v>349</v>
      </c>
      <c r="D43" s="27" t="s">
        <v>353</v>
      </c>
      <c r="E43" s="27" t="s">
        <v>352</v>
      </c>
      <c r="F43" s="27" t="s">
        <v>38</v>
      </c>
    </row>
    <row r="44" spans="1:6" ht="18" customHeight="1" x14ac:dyDescent="0.3">
      <c r="A44" s="22">
        <v>41</v>
      </c>
      <c r="B44" s="27" t="s">
        <v>413</v>
      </c>
      <c r="C44" s="24" t="s">
        <v>88</v>
      </c>
      <c r="D44" s="23" t="s">
        <v>32</v>
      </c>
      <c r="E44" s="27" t="s">
        <v>355</v>
      </c>
      <c r="F44" s="23" t="s">
        <v>72</v>
      </c>
    </row>
    <row r="45" spans="1:6" ht="18" customHeight="1" x14ac:dyDescent="0.3">
      <c r="A45" s="22">
        <v>42</v>
      </c>
      <c r="B45" s="27" t="s">
        <v>414</v>
      </c>
      <c r="C45" s="29" t="s">
        <v>80</v>
      </c>
      <c r="D45" s="27" t="s">
        <v>32</v>
      </c>
      <c r="E45" s="27" t="s">
        <v>355</v>
      </c>
      <c r="F45" s="27" t="s">
        <v>61</v>
      </c>
    </row>
    <row r="46" spans="1:6" ht="18" customHeight="1" x14ac:dyDescent="0.3">
      <c r="A46" s="22">
        <v>43</v>
      </c>
      <c r="B46" s="27" t="s">
        <v>415</v>
      </c>
      <c r="C46" s="27" t="s">
        <v>418</v>
      </c>
      <c r="D46" s="27" t="s">
        <v>449</v>
      </c>
      <c r="E46" s="27" t="s">
        <v>351</v>
      </c>
      <c r="F46" s="27" t="s">
        <v>293</v>
      </c>
    </row>
    <row r="47" spans="1:6" ht="18" customHeight="1" x14ac:dyDescent="0.3">
      <c r="A47" s="22">
        <v>44</v>
      </c>
      <c r="B47" s="27" t="s">
        <v>416</v>
      </c>
      <c r="C47" s="27" t="s">
        <v>186</v>
      </c>
      <c r="D47" s="27" t="s">
        <v>83</v>
      </c>
      <c r="E47" s="27" t="s">
        <v>355</v>
      </c>
      <c r="F47" s="27" t="s">
        <v>72</v>
      </c>
    </row>
    <row r="48" spans="1:6" ht="18" customHeight="1" x14ac:dyDescent="0.3">
      <c r="A48" s="22">
        <v>45</v>
      </c>
      <c r="B48" s="27" t="s">
        <v>649</v>
      </c>
      <c r="C48" s="24" t="s">
        <v>73</v>
      </c>
      <c r="D48" s="23" t="s">
        <v>74</v>
      </c>
      <c r="E48" s="25" t="s">
        <v>355</v>
      </c>
      <c r="F48" s="23" t="s">
        <v>293</v>
      </c>
    </row>
    <row r="49" spans="1:6" ht="18" customHeight="1" x14ac:dyDescent="0.3">
      <c r="A49" s="22">
        <v>46</v>
      </c>
      <c r="B49" s="25" t="s">
        <v>477</v>
      </c>
      <c r="C49" s="25" t="s">
        <v>478</v>
      </c>
      <c r="D49" s="25" t="s">
        <v>479</v>
      </c>
      <c r="E49" s="25" t="s">
        <v>351</v>
      </c>
      <c r="F49" s="27" t="s">
        <v>38</v>
      </c>
    </row>
    <row r="50" spans="1:6" ht="18" customHeight="1" x14ac:dyDescent="0.3">
      <c r="A50" s="30">
        <v>47</v>
      </c>
      <c r="B50" s="25" t="s">
        <v>653</v>
      </c>
      <c r="C50" s="25" t="s">
        <v>654</v>
      </c>
      <c r="D50" s="25" t="s">
        <v>655</v>
      </c>
      <c r="E50" s="25" t="s">
        <v>351</v>
      </c>
      <c r="F50" s="27" t="s">
        <v>38</v>
      </c>
    </row>
    <row r="51" spans="1:6" ht="18" customHeight="1" x14ac:dyDescent="0.3">
      <c r="A51" s="22">
        <v>48</v>
      </c>
      <c r="B51" s="25" t="s">
        <v>652</v>
      </c>
      <c r="C51" s="25" t="s">
        <v>656</v>
      </c>
      <c r="D51" s="25" t="s">
        <v>657</v>
      </c>
      <c r="E51" s="25" t="s">
        <v>351</v>
      </c>
      <c r="F51" s="3" t="s">
        <v>61</v>
      </c>
    </row>
    <row r="52" spans="1:6" ht="18" customHeight="1" x14ac:dyDescent="0.3">
      <c r="A52" s="22">
        <v>49</v>
      </c>
      <c r="B52" s="2" t="s">
        <v>674</v>
      </c>
      <c r="C52" s="27" t="s">
        <v>353</v>
      </c>
      <c r="D52" s="2" t="s">
        <v>37</v>
      </c>
      <c r="E52" s="2" t="s">
        <v>355</v>
      </c>
      <c r="F52" s="23" t="s">
        <v>72</v>
      </c>
    </row>
    <row r="53" spans="1:6" ht="18" customHeight="1" x14ac:dyDescent="0.3">
      <c r="A53" s="30">
        <v>50</v>
      </c>
      <c r="B53" s="25" t="s">
        <v>676</v>
      </c>
      <c r="C53" s="25" t="s">
        <v>678</v>
      </c>
      <c r="D53" s="25" t="s">
        <v>679</v>
      </c>
      <c r="E53" s="25" t="s">
        <v>351</v>
      </c>
      <c r="F53" s="3" t="s">
        <v>677</v>
      </c>
    </row>
    <row r="54" spans="1:6" x14ac:dyDescent="0.3">
      <c r="A54" s="30">
        <v>51</v>
      </c>
      <c r="B54" s="25" t="s">
        <v>687</v>
      </c>
      <c r="C54" s="25" t="s">
        <v>688</v>
      </c>
      <c r="D54" s="25" t="s">
        <v>689</v>
      </c>
      <c r="E54" s="25" t="s">
        <v>355</v>
      </c>
      <c r="F54" s="3" t="s">
        <v>38</v>
      </c>
    </row>
    <row r="55" spans="1:6" x14ac:dyDescent="0.3">
      <c r="A55" s="2">
        <v>999</v>
      </c>
      <c r="B55" s="2" t="s">
        <v>716</v>
      </c>
      <c r="C55" s="2" t="s">
        <v>717</v>
      </c>
      <c r="D55" s="2" t="s">
        <v>718</v>
      </c>
      <c r="E55" s="2" t="s">
        <v>719</v>
      </c>
      <c r="F55" s="274" t="s">
        <v>720</v>
      </c>
    </row>
  </sheetData>
  <customSheetViews>
    <customSheetView guid="{95CD56FE-1162-4AE7-88D2-9EB3DF57F0D2}">
      <selection activeCell="J7" sqref="J7"/>
      <pageMargins left="0.7" right="0.7" top="0.75" bottom="0.75" header="0.3" footer="0.3"/>
      <pageSetup orientation="portrait" r:id="rId1"/>
    </customSheetView>
  </customSheetViews>
  <mergeCells count="2">
    <mergeCell ref="C1:D1"/>
    <mergeCell ref="A1:B1"/>
  </mergeCells>
  <dataValidations disablePrompts="1" count="1">
    <dataValidation type="whole" allowBlank="1" showInputMessage="1" showErrorMessage="1" prompt="Check if the name of the lab is correct" sqref="C1:D1">
      <formula1>A4</formula1>
      <formula2>A59</formula2>
    </dataValidation>
  </dataValidations>
  <pageMargins left="0.7" right="0.7" top="1.5" bottom="0.75" header="0.3" footer="0.3"/>
  <pageSetup scale="74" fitToHeight="0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62"/>
  <sheetViews>
    <sheetView topLeftCell="B1" zoomScale="80" zoomScaleNormal="80" workbookViewId="0">
      <selection activeCell="E10" sqref="E10"/>
    </sheetView>
  </sheetViews>
  <sheetFormatPr defaultColWidth="8.77734375" defaultRowHeight="14.4" x14ac:dyDescent="0.3"/>
  <cols>
    <col min="1" max="1" width="16.6640625" style="38" customWidth="1"/>
    <col min="2" max="2" width="50.77734375" style="38" customWidth="1"/>
    <col min="3" max="3" width="37.44140625" style="38" customWidth="1"/>
    <col min="4" max="4" width="16.77734375" style="38" hidden="1" customWidth="1"/>
    <col min="5" max="5" width="44.44140625" style="38" customWidth="1"/>
    <col min="6" max="6" width="53.6640625" style="38" customWidth="1"/>
    <col min="7" max="15" width="60.77734375" style="38" customWidth="1"/>
    <col min="16" max="16" width="38.77734375" style="38" customWidth="1"/>
    <col min="17" max="16384" width="8.77734375" style="38"/>
  </cols>
  <sheetData>
    <row r="1" spans="1:15" ht="23.4" x14ac:dyDescent="0.45">
      <c r="B1" s="233" t="s">
        <v>328</v>
      </c>
      <c r="C1" s="233"/>
      <c r="D1" s="233"/>
      <c r="E1" s="233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 x14ac:dyDescent="0.3">
      <c r="B2"/>
      <c r="C2"/>
      <c r="D2"/>
      <c r="E2"/>
      <c r="F2"/>
      <c r="G2"/>
      <c r="H2"/>
      <c r="I2"/>
      <c r="J2"/>
      <c r="K2"/>
      <c r="L2"/>
      <c r="M2"/>
      <c r="N2" s="5"/>
      <c r="O2"/>
    </row>
    <row r="3" spans="1:15" ht="22.5" customHeight="1" x14ac:dyDescent="0.45">
      <c r="B3" s="241" t="s">
        <v>589</v>
      </c>
      <c r="C3" s="241"/>
      <c r="D3" s="241"/>
      <c r="E3" s="241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1:15" ht="87" customHeight="1" x14ac:dyDescent="0.45">
      <c r="B4" s="241"/>
      <c r="C4" s="241"/>
      <c r="D4" s="241"/>
      <c r="E4" s="241"/>
      <c r="F4" s="77"/>
      <c r="G4" s="77"/>
      <c r="H4" s="77"/>
      <c r="I4" s="77"/>
      <c r="J4" s="77"/>
      <c r="K4" s="77"/>
      <c r="L4" s="77"/>
      <c r="M4" s="77"/>
      <c r="N4" s="77"/>
      <c r="O4" s="77"/>
    </row>
    <row r="7" spans="1:15" s="82" customFormat="1" x14ac:dyDescent="0.3">
      <c r="A7" s="1"/>
      <c r="B7" s="39"/>
      <c r="C7" s="81" t="s">
        <v>155</v>
      </c>
      <c r="D7" s="81" t="s">
        <v>591</v>
      </c>
      <c r="E7" s="85" t="s">
        <v>128</v>
      </c>
      <c r="F7" s="86" t="s">
        <v>505</v>
      </c>
      <c r="G7" s="86" t="s">
        <v>506</v>
      </c>
      <c r="H7" s="86" t="s">
        <v>506</v>
      </c>
      <c r="I7" s="86" t="s">
        <v>506</v>
      </c>
      <c r="J7" s="86" t="s">
        <v>506</v>
      </c>
      <c r="K7" s="86" t="s">
        <v>506</v>
      </c>
      <c r="L7" s="86" t="s">
        <v>506</v>
      </c>
      <c r="M7" s="86" t="s">
        <v>506</v>
      </c>
      <c r="N7" s="86" t="s">
        <v>506</v>
      </c>
      <c r="O7" s="86" t="s">
        <v>506</v>
      </c>
    </row>
    <row r="8" spans="1:15" ht="28.8" x14ac:dyDescent="0.3">
      <c r="A8"/>
      <c r="B8" s="40" t="s">
        <v>127</v>
      </c>
      <c r="C8" s="43" t="s">
        <v>515</v>
      </c>
      <c r="D8" s="43" t="s">
        <v>34</v>
      </c>
      <c r="E8" s="37">
        <v>99</v>
      </c>
      <c r="F8" s="142">
        <f>Lab_Code!$C$1</f>
        <v>999</v>
      </c>
      <c r="G8" s="142">
        <f>Lab_Code!$C$1</f>
        <v>999</v>
      </c>
      <c r="H8" s="142">
        <f>Lab_Code!$C$1</f>
        <v>999</v>
      </c>
      <c r="I8" s="142">
        <f>Lab_Code!$C$1</f>
        <v>999</v>
      </c>
      <c r="J8" s="142">
        <f>Lab_Code!$C$1</f>
        <v>999</v>
      </c>
      <c r="K8" s="142">
        <f>Lab_Code!$C$1</f>
        <v>999</v>
      </c>
      <c r="L8" s="142">
        <f>Lab_Code!$C$1</f>
        <v>999</v>
      </c>
      <c r="M8" s="142">
        <f>Lab_Code!$C$1</f>
        <v>999</v>
      </c>
      <c r="N8" s="142">
        <f>Lab_Code!$C$1</f>
        <v>999</v>
      </c>
      <c r="O8" s="142">
        <f>Lab_Code!$C$1</f>
        <v>999</v>
      </c>
    </row>
    <row r="9" spans="1:15" s="87" customFormat="1" ht="18" customHeight="1" x14ac:dyDescent="0.4">
      <c r="A9" s="144"/>
      <c r="B9" s="40" t="s">
        <v>199</v>
      </c>
      <c r="C9" s="43" t="s">
        <v>322</v>
      </c>
      <c r="D9" s="43" t="s">
        <v>592</v>
      </c>
      <c r="E9" s="37">
        <v>1</v>
      </c>
      <c r="F9" s="78">
        <v>1</v>
      </c>
      <c r="G9" s="78">
        <v>2</v>
      </c>
      <c r="H9" s="78">
        <v>3</v>
      </c>
      <c r="I9" s="78">
        <v>4</v>
      </c>
      <c r="J9" s="78">
        <v>5</v>
      </c>
      <c r="K9" s="78">
        <v>6</v>
      </c>
      <c r="L9" s="78">
        <v>7</v>
      </c>
      <c r="M9" s="78">
        <v>8</v>
      </c>
      <c r="N9" s="78">
        <v>9</v>
      </c>
      <c r="O9" s="78">
        <v>10</v>
      </c>
    </row>
    <row r="10" spans="1:15" ht="28.8" x14ac:dyDescent="0.3">
      <c r="A10"/>
      <c r="B10" s="40" t="s">
        <v>512</v>
      </c>
      <c r="C10" s="42" t="s">
        <v>154</v>
      </c>
      <c r="D10" s="42" t="s">
        <v>593</v>
      </c>
      <c r="E10" s="36" t="s">
        <v>113</v>
      </c>
      <c r="F10" s="79" t="s">
        <v>113</v>
      </c>
      <c r="G10" s="79"/>
      <c r="H10" s="79"/>
      <c r="I10" s="79"/>
      <c r="J10" s="79"/>
      <c r="K10" s="79"/>
      <c r="L10" s="79"/>
      <c r="M10" s="79"/>
      <c r="N10" s="79"/>
      <c r="O10" s="79"/>
    </row>
    <row r="11" spans="1:15" s="84" customFormat="1" ht="31.5" customHeight="1" x14ac:dyDescent="0.3">
      <c r="A11" s="145"/>
      <c r="B11" s="146" t="s">
        <v>511</v>
      </c>
      <c r="C11" s="147"/>
      <c r="D11" s="147"/>
      <c r="E11" s="147"/>
      <c r="F11" s="141"/>
      <c r="G11" s="141"/>
      <c r="H11" s="141"/>
      <c r="I11" s="141"/>
      <c r="J11" s="141"/>
      <c r="K11" s="141"/>
      <c r="L11" s="141"/>
      <c r="M11" s="141"/>
      <c r="N11" s="141"/>
      <c r="O11" s="141"/>
    </row>
    <row r="12" spans="1:15" x14ac:dyDescent="0.3">
      <c r="A12" s="240" t="s">
        <v>513</v>
      </c>
      <c r="B12" s="40" t="s">
        <v>484</v>
      </c>
      <c r="C12" s="42" t="s">
        <v>154</v>
      </c>
      <c r="D12" s="42" t="s">
        <v>147</v>
      </c>
      <c r="E12" s="36" t="s">
        <v>113</v>
      </c>
      <c r="F12" s="79" t="s">
        <v>113</v>
      </c>
      <c r="G12" s="79"/>
      <c r="H12" s="79"/>
      <c r="I12" s="79"/>
      <c r="J12" s="79"/>
      <c r="K12" s="79"/>
      <c r="L12" s="79"/>
      <c r="M12" s="79"/>
      <c r="N12" s="79"/>
      <c r="O12" s="79"/>
    </row>
    <row r="13" spans="1:15" ht="28.8" x14ac:dyDescent="0.3">
      <c r="A13" s="240"/>
      <c r="B13" s="40" t="s">
        <v>488</v>
      </c>
      <c r="C13" s="42" t="s">
        <v>154</v>
      </c>
      <c r="D13" s="42" t="s">
        <v>594</v>
      </c>
      <c r="E13" s="36" t="s">
        <v>113</v>
      </c>
      <c r="F13" s="79" t="s">
        <v>113</v>
      </c>
      <c r="G13" s="79"/>
      <c r="H13" s="79"/>
      <c r="I13" s="79"/>
      <c r="J13" s="79"/>
      <c r="K13" s="79"/>
      <c r="L13" s="79"/>
      <c r="M13" s="79"/>
      <c r="N13" s="79"/>
      <c r="O13" s="79"/>
    </row>
    <row r="14" spans="1:15" ht="28.8" x14ac:dyDescent="0.3">
      <c r="A14" s="240"/>
      <c r="B14" s="40" t="s">
        <v>485</v>
      </c>
      <c r="C14" s="42" t="s">
        <v>154</v>
      </c>
      <c r="D14" s="42" t="s">
        <v>595</v>
      </c>
      <c r="E14" s="36" t="s">
        <v>113</v>
      </c>
      <c r="F14" s="79" t="s">
        <v>117</v>
      </c>
      <c r="G14" s="79"/>
      <c r="H14" s="79"/>
      <c r="I14" s="79"/>
      <c r="J14" s="79"/>
      <c r="K14" s="79"/>
      <c r="L14" s="79"/>
      <c r="M14" s="79"/>
      <c r="N14" s="79"/>
      <c r="O14" s="79"/>
    </row>
    <row r="15" spans="1:15" ht="166.5" customHeight="1" x14ac:dyDescent="0.3">
      <c r="A15" s="240"/>
      <c r="B15" s="40" t="s">
        <v>125</v>
      </c>
      <c r="C15" s="43" t="s">
        <v>327</v>
      </c>
      <c r="D15" s="43" t="s">
        <v>596</v>
      </c>
      <c r="E15" s="196" t="s">
        <v>115</v>
      </c>
      <c r="F15" s="196" t="s">
        <v>115</v>
      </c>
      <c r="G15" s="197"/>
      <c r="H15" s="197"/>
      <c r="I15" s="197"/>
      <c r="J15" s="197"/>
      <c r="K15" s="197"/>
      <c r="L15" s="197"/>
      <c r="M15" s="197"/>
      <c r="N15" s="197"/>
      <c r="O15" s="197"/>
    </row>
    <row r="16" spans="1:15" ht="15.75" customHeight="1" x14ac:dyDescent="0.3">
      <c r="A16" s="240"/>
      <c r="B16" s="40" t="s">
        <v>231</v>
      </c>
      <c r="C16" s="43" t="s">
        <v>323</v>
      </c>
      <c r="D16" s="43" t="s">
        <v>597</v>
      </c>
      <c r="E16" s="36">
        <v>15</v>
      </c>
      <c r="F16" s="79">
        <v>200</v>
      </c>
      <c r="G16" s="79"/>
      <c r="H16" s="79"/>
      <c r="I16" s="79"/>
      <c r="J16" s="79"/>
      <c r="K16" s="79"/>
      <c r="L16" s="79"/>
      <c r="M16" s="79"/>
      <c r="N16" s="79"/>
      <c r="O16" s="79"/>
    </row>
    <row r="17" spans="1:15" ht="28.8" x14ac:dyDescent="0.3">
      <c r="A17" s="240"/>
      <c r="B17" s="40" t="s">
        <v>232</v>
      </c>
      <c r="C17" s="43" t="s">
        <v>514</v>
      </c>
      <c r="D17" s="43" t="s">
        <v>598</v>
      </c>
      <c r="E17" s="36">
        <v>30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5" ht="33" customHeight="1" x14ac:dyDescent="0.3">
      <c r="A18" s="240"/>
      <c r="B18" s="40" t="s">
        <v>299</v>
      </c>
      <c r="C18" s="43" t="s">
        <v>189</v>
      </c>
      <c r="D18" s="43" t="s">
        <v>610</v>
      </c>
      <c r="E18" s="36" t="str">
        <f>CONCATENATE("1:", (E17+E16)/E16)</f>
        <v>1:3</v>
      </c>
      <c r="F18" s="142" t="str">
        <f t="shared" ref="F18:O18" si="0">IF(F17&lt;&gt;"",CONCATENATE("1:", (F17+F16)/F16),"")</f>
        <v/>
      </c>
      <c r="G18" s="142" t="str">
        <f t="shared" si="0"/>
        <v/>
      </c>
      <c r="H18" s="142" t="str">
        <f t="shared" si="0"/>
        <v/>
      </c>
      <c r="I18" s="142" t="str">
        <f t="shared" si="0"/>
        <v/>
      </c>
      <c r="J18" s="142" t="str">
        <f t="shared" si="0"/>
        <v/>
      </c>
      <c r="K18" s="142" t="str">
        <f t="shared" si="0"/>
        <v/>
      </c>
      <c r="L18" s="142" t="str">
        <f t="shared" si="0"/>
        <v/>
      </c>
      <c r="M18" s="142" t="str">
        <f t="shared" si="0"/>
        <v/>
      </c>
      <c r="N18" s="142" t="str">
        <f t="shared" si="0"/>
        <v/>
      </c>
      <c r="O18" s="142" t="str">
        <f t="shared" si="0"/>
        <v/>
      </c>
    </row>
    <row r="19" spans="1:15" ht="57.6" x14ac:dyDescent="0.3">
      <c r="A19" s="240"/>
      <c r="B19" s="80" t="s">
        <v>116</v>
      </c>
      <c r="C19" s="43" t="s">
        <v>324</v>
      </c>
      <c r="D19" s="43" t="s">
        <v>599</v>
      </c>
      <c r="E19" s="36">
        <v>0.25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1:15" ht="46.5" customHeight="1" x14ac:dyDescent="0.3">
      <c r="A20" s="240"/>
      <c r="B20" s="40" t="s">
        <v>521</v>
      </c>
      <c r="C20" s="43" t="s">
        <v>325</v>
      </c>
      <c r="D20" s="43" t="s">
        <v>600</v>
      </c>
      <c r="E20" s="37" t="s">
        <v>117</v>
      </c>
      <c r="F20" s="79" t="s">
        <v>117</v>
      </c>
      <c r="G20" s="79"/>
      <c r="H20" s="79"/>
      <c r="I20" s="79"/>
      <c r="J20" s="79"/>
      <c r="K20" s="79"/>
      <c r="L20" s="79"/>
      <c r="M20" s="79"/>
      <c r="N20" s="79"/>
      <c r="O20" s="79"/>
    </row>
    <row r="21" spans="1:15" s="83" customFormat="1" ht="31.5" customHeight="1" x14ac:dyDescent="0.3">
      <c r="A21" s="145"/>
      <c r="B21" s="146" t="s">
        <v>510</v>
      </c>
      <c r="C21" s="147"/>
      <c r="D21" s="147"/>
      <c r="E21" s="147"/>
      <c r="F21" s="141"/>
      <c r="G21" s="141"/>
      <c r="H21" s="141"/>
      <c r="I21" s="141"/>
      <c r="J21" s="141"/>
      <c r="K21" s="141"/>
      <c r="L21" s="141"/>
      <c r="M21" s="141"/>
      <c r="N21" s="141"/>
      <c r="O21" s="141"/>
    </row>
    <row r="22" spans="1:15" ht="21.75" customHeight="1" x14ac:dyDescent="0.3">
      <c r="A22" s="238" t="s">
        <v>509</v>
      </c>
      <c r="B22" s="40" t="s">
        <v>487</v>
      </c>
      <c r="C22" s="43" t="s">
        <v>325</v>
      </c>
      <c r="D22" s="43" t="s">
        <v>601</v>
      </c>
      <c r="E22" s="37" t="s">
        <v>111</v>
      </c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1:15" ht="66" customHeight="1" x14ac:dyDescent="0.3">
      <c r="A23" s="238"/>
      <c r="B23" s="40" t="s">
        <v>129</v>
      </c>
      <c r="C23" s="43" t="s">
        <v>156</v>
      </c>
      <c r="D23" s="43" t="s">
        <v>602</v>
      </c>
      <c r="E23" s="37">
        <v>200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1:15" ht="28.8" x14ac:dyDescent="0.3">
      <c r="A24" s="238"/>
      <c r="B24" s="40" t="s">
        <v>486</v>
      </c>
      <c r="C24" s="43" t="s">
        <v>157</v>
      </c>
      <c r="D24" s="43" t="s">
        <v>603</v>
      </c>
      <c r="E24" s="37" t="s">
        <v>112</v>
      </c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1:15" ht="21.75" customHeight="1" x14ac:dyDescent="0.3">
      <c r="A25" s="238"/>
      <c r="B25" s="40" t="s">
        <v>278</v>
      </c>
      <c r="C25" s="43" t="s">
        <v>156</v>
      </c>
      <c r="D25" s="43" t="s">
        <v>604</v>
      </c>
      <c r="E25" s="37">
        <v>100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1:15" ht="57" customHeight="1" x14ac:dyDescent="0.3">
      <c r="A26" s="239" t="s">
        <v>690</v>
      </c>
      <c r="B26" s="40" t="s">
        <v>114</v>
      </c>
      <c r="C26" s="43" t="s">
        <v>325</v>
      </c>
      <c r="D26" s="43" t="s">
        <v>605</v>
      </c>
      <c r="E26" s="37" t="s">
        <v>103</v>
      </c>
      <c r="F26" s="79" t="s">
        <v>360</v>
      </c>
      <c r="G26" s="79"/>
      <c r="H26" s="79"/>
      <c r="I26" s="79"/>
      <c r="J26" s="79"/>
      <c r="K26" s="79"/>
      <c r="L26" s="79"/>
      <c r="M26" s="79"/>
      <c r="N26" s="79"/>
      <c r="O26" s="79"/>
    </row>
    <row r="27" spans="1:15" ht="63.75" customHeight="1" x14ac:dyDescent="0.3">
      <c r="A27" s="239"/>
      <c r="B27" s="40" t="s">
        <v>517</v>
      </c>
      <c r="C27" s="43" t="s">
        <v>156</v>
      </c>
      <c r="D27" s="43" t="s">
        <v>606</v>
      </c>
      <c r="E27" s="37">
        <v>200</v>
      </c>
      <c r="F27" s="37">
        <v>200</v>
      </c>
      <c r="G27" s="79"/>
      <c r="H27" s="79"/>
      <c r="I27" s="79"/>
      <c r="J27" s="79"/>
      <c r="K27" s="79"/>
      <c r="L27" s="79"/>
      <c r="M27" s="79"/>
      <c r="N27" s="79"/>
      <c r="O27" s="79"/>
    </row>
    <row r="28" spans="1:15" ht="22.05" customHeight="1" x14ac:dyDescent="0.3">
      <c r="A28" s="239"/>
      <c r="B28" s="40" t="s">
        <v>277</v>
      </c>
      <c r="C28" s="43" t="s">
        <v>156</v>
      </c>
      <c r="D28" s="43" t="s">
        <v>607</v>
      </c>
      <c r="E28" s="37">
        <v>100</v>
      </c>
      <c r="F28" s="37">
        <v>100</v>
      </c>
      <c r="G28" s="79"/>
      <c r="H28" s="79"/>
      <c r="I28" s="79"/>
      <c r="J28" s="79"/>
      <c r="K28" s="79"/>
      <c r="L28" s="79"/>
      <c r="M28" s="79"/>
      <c r="N28" s="79"/>
      <c r="O28" s="79"/>
    </row>
    <row r="29" spans="1:15" ht="43.5" customHeight="1" x14ac:dyDescent="0.3">
      <c r="A29" s="148"/>
      <c r="B29" s="40" t="s">
        <v>522</v>
      </c>
      <c r="C29" s="43" t="s">
        <v>325</v>
      </c>
      <c r="D29" s="43" t="s">
        <v>608</v>
      </c>
      <c r="E29" s="37" t="s">
        <v>508</v>
      </c>
      <c r="F29" s="79" t="s">
        <v>135</v>
      </c>
      <c r="G29" s="79"/>
      <c r="H29" s="79"/>
      <c r="I29" s="79"/>
      <c r="J29" s="79"/>
      <c r="K29" s="79"/>
      <c r="L29" s="79"/>
      <c r="M29" s="79"/>
      <c r="N29" s="79"/>
      <c r="O29" s="79"/>
    </row>
    <row r="30" spans="1:15" ht="70.05" customHeight="1" x14ac:dyDescent="0.3">
      <c r="A30" s="234" t="s">
        <v>507</v>
      </c>
      <c r="B30" s="40" t="s">
        <v>489</v>
      </c>
      <c r="C30" s="43" t="s">
        <v>516</v>
      </c>
      <c r="D30" s="43" t="s">
        <v>609</v>
      </c>
      <c r="E30" s="37">
        <v>900</v>
      </c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5" ht="79.5" customHeight="1" x14ac:dyDescent="0.3">
      <c r="A31" s="235"/>
      <c r="B31" s="40" t="s">
        <v>300</v>
      </c>
      <c r="C31" s="43" t="s">
        <v>189</v>
      </c>
      <c r="D31" s="43" t="s">
        <v>611</v>
      </c>
      <c r="E31" s="37" t="str">
        <f>CONCATENATE("1:",IF(E12="Yes",((E25+E30)/E25),((E28+E30)/E28)))</f>
        <v>1:10</v>
      </c>
      <c r="F31" s="143" t="str">
        <f>IF(F30&lt;&gt;"",CONCATENATE("1:",IF(F12="Yes",((F25+F30)/F25),((F28+F30)/F28))),"")</f>
        <v/>
      </c>
      <c r="G31" s="143" t="str">
        <f t="shared" ref="G31:O31" si="1">IF(G30&lt;&gt;"",CONCATENATE("1:",IF(G12="Yes",((G25+G30)/G25),((G28+G30)/G28))),"")</f>
        <v/>
      </c>
      <c r="H31" s="143" t="str">
        <f t="shared" si="1"/>
        <v/>
      </c>
      <c r="I31" s="143" t="str">
        <f t="shared" si="1"/>
        <v/>
      </c>
      <c r="J31" s="143" t="str">
        <f t="shared" si="1"/>
        <v/>
      </c>
      <c r="K31" s="143" t="str">
        <f t="shared" si="1"/>
        <v/>
      </c>
      <c r="L31" s="143" t="str">
        <f t="shared" si="1"/>
        <v/>
      </c>
      <c r="M31" s="143" t="str">
        <f t="shared" si="1"/>
        <v/>
      </c>
      <c r="N31" s="143" t="str">
        <f t="shared" si="1"/>
        <v/>
      </c>
      <c r="O31" s="143" t="str">
        <f t="shared" si="1"/>
        <v/>
      </c>
    </row>
    <row r="32" spans="1:15" s="83" customFormat="1" ht="31.5" customHeight="1" x14ac:dyDescent="0.3">
      <c r="A32" s="145"/>
      <c r="B32" s="146" t="s">
        <v>494</v>
      </c>
      <c r="C32" s="147"/>
      <c r="D32" s="147"/>
      <c r="E32" s="147"/>
      <c r="F32" s="141"/>
      <c r="G32" s="141"/>
      <c r="H32" s="141"/>
      <c r="I32" s="141"/>
      <c r="J32" s="141"/>
      <c r="K32" s="141"/>
      <c r="L32" s="141"/>
      <c r="M32" s="141"/>
      <c r="N32" s="141"/>
      <c r="O32" s="141"/>
    </row>
    <row r="33" spans="1:15" ht="51" customHeight="1" x14ac:dyDescent="0.3">
      <c r="A33" s="198" t="s">
        <v>464</v>
      </c>
      <c r="B33" s="81" t="s">
        <v>691</v>
      </c>
      <c r="C33" s="43" t="s">
        <v>325</v>
      </c>
      <c r="D33" s="43" t="s">
        <v>612</v>
      </c>
      <c r="E33" s="36" t="s">
        <v>475</v>
      </c>
      <c r="F33" s="79" t="s">
        <v>715</v>
      </c>
      <c r="G33" s="79"/>
      <c r="H33" s="79"/>
      <c r="I33" s="79"/>
      <c r="J33" s="79"/>
      <c r="K33" s="79"/>
      <c r="L33" s="79"/>
      <c r="M33" s="79"/>
      <c r="N33" s="79"/>
      <c r="O33" s="79"/>
    </row>
    <row r="34" spans="1:15" x14ac:dyDescent="0.3">
      <c r="A34" s="236" t="s">
        <v>495</v>
      </c>
      <c r="B34" s="41" t="s">
        <v>104</v>
      </c>
      <c r="C34" s="43" t="s">
        <v>325</v>
      </c>
      <c r="D34" s="43" t="s">
        <v>613</v>
      </c>
      <c r="E34" s="36" t="s">
        <v>119</v>
      </c>
      <c r="F34" s="79" t="s">
        <v>705</v>
      </c>
      <c r="G34" s="79"/>
      <c r="H34" s="79"/>
      <c r="I34" s="79"/>
      <c r="J34" s="79"/>
      <c r="K34" s="79"/>
      <c r="L34" s="79"/>
      <c r="M34" s="79"/>
      <c r="N34" s="79"/>
      <c r="O34" s="79"/>
    </row>
    <row r="35" spans="1:15" x14ac:dyDescent="0.3">
      <c r="A35" s="236"/>
      <c r="B35" s="41" t="s">
        <v>496</v>
      </c>
      <c r="C35" s="43" t="s">
        <v>325</v>
      </c>
      <c r="D35" s="43" t="s">
        <v>614</v>
      </c>
      <c r="E35" s="36" t="s">
        <v>497</v>
      </c>
      <c r="F35" s="36" t="s">
        <v>497</v>
      </c>
      <c r="G35" s="79"/>
      <c r="H35" s="79"/>
      <c r="I35" s="79"/>
      <c r="J35" s="79"/>
      <c r="K35" s="79"/>
      <c r="L35" s="79"/>
      <c r="M35" s="79"/>
      <c r="N35" s="79"/>
      <c r="O35" s="79"/>
    </row>
    <row r="36" spans="1:15" ht="43.2" x14ac:dyDescent="0.3">
      <c r="A36" s="236"/>
      <c r="B36" s="40" t="s">
        <v>106</v>
      </c>
      <c r="C36" s="43" t="s">
        <v>325</v>
      </c>
      <c r="D36" s="43" t="s">
        <v>615</v>
      </c>
      <c r="E36" s="37" t="s">
        <v>480</v>
      </c>
      <c r="F36" s="37" t="s">
        <v>480</v>
      </c>
      <c r="G36" s="79"/>
      <c r="H36" s="79"/>
      <c r="I36" s="79"/>
      <c r="J36" s="79"/>
      <c r="K36" s="79"/>
      <c r="L36" s="79"/>
      <c r="M36" s="79"/>
      <c r="N36" s="79"/>
      <c r="O36" s="79"/>
    </row>
    <row r="37" spans="1:15" ht="28.8" x14ac:dyDescent="0.3">
      <c r="A37" s="236"/>
      <c r="B37" s="40" t="s">
        <v>107</v>
      </c>
      <c r="C37" s="43" t="s">
        <v>325</v>
      </c>
      <c r="D37" s="43" t="s">
        <v>616</v>
      </c>
      <c r="E37" s="37" t="s">
        <v>481</v>
      </c>
      <c r="F37" s="37" t="s">
        <v>481</v>
      </c>
      <c r="G37" s="79"/>
      <c r="H37" s="79"/>
      <c r="I37" s="79"/>
      <c r="J37" s="79"/>
      <c r="K37" s="79"/>
      <c r="L37" s="79"/>
      <c r="M37" s="79"/>
      <c r="N37" s="79"/>
      <c r="O37" s="79"/>
    </row>
    <row r="38" spans="1:15" ht="28.8" x14ac:dyDescent="0.3">
      <c r="A38" s="236"/>
      <c r="B38" s="40" t="s">
        <v>108</v>
      </c>
      <c r="C38" s="43" t="s">
        <v>325</v>
      </c>
      <c r="D38" s="43" t="s">
        <v>617</v>
      </c>
      <c r="E38" s="37" t="s">
        <v>482</v>
      </c>
      <c r="F38" s="37" t="s">
        <v>482</v>
      </c>
      <c r="G38" s="79"/>
      <c r="H38" s="79"/>
      <c r="I38" s="79"/>
      <c r="J38" s="79"/>
      <c r="K38" s="79"/>
      <c r="L38" s="79"/>
      <c r="M38" s="79"/>
      <c r="N38" s="79"/>
      <c r="O38" s="79"/>
    </row>
    <row r="39" spans="1:15" x14ac:dyDescent="0.3">
      <c r="A39" s="236"/>
      <c r="B39" s="41" t="s">
        <v>105</v>
      </c>
      <c r="C39" s="43" t="s">
        <v>325</v>
      </c>
      <c r="D39" s="43" t="s">
        <v>618</v>
      </c>
      <c r="E39" s="37" t="s">
        <v>122</v>
      </c>
      <c r="F39" s="37" t="s">
        <v>122</v>
      </c>
      <c r="G39" s="79"/>
      <c r="H39" s="79"/>
      <c r="I39" s="79"/>
      <c r="J39" s="79"/>
      <c r="K39" s="79"/>
      <c r="L39" s="79"/>
      <c r="M39" s="79"/>
      <c r="N39" s="79"/>
      <c r="O39" s="79"/>
    </row>
    <row r="40" spans="1:15" x14ac:dyDescent="0.3">
      <c r="A40" s="236"/>
      <c r="B40" s="40" t="s">
        <v>490</v>
      </c>
      <c r="C40" s="43" t="s">
        <v>156</v>
      </c>
      <c r="D40" s="43" t="s">
        <v>619</v>
      </c>
      <c r="E40" s="37" t="s">
        <v>483</v>
      </c>
      <c r="F40" s="37" t="s">
        <v>483</v>
      </c>
      <c r="G40" s="79"/>
      <c r="H40" s="79"/>
      <c r="I40" s="79"/>
      <c r="J40" s="79"/>
      <c r="K40" s="79"/>
      <c r="L40" s="79"/>
      <c r="M40" s="79"/>
      <c r="N40" s="79"/>
      <c r="O40" s="79"/>
    </row>
    <row r="41" spans="1:15" x14ac:dyDescent="0.3">
      <c r="A41" s="236"/>
      <c r="B41" s="40" t="s">
        <v>491</v>
      </c>
      <c r="C41" s="43" t="s">
        <v>156</v>
      </c>
      <c r="D41" s="43" t="s">
        <v>620</v>
      </c>
      <c r="E41" s="36" t="s">
        <v>520</v>
      </c>
      <c r="F41" s="36" t="s">
        <v>520</v>
      </c>
      <c r="G41" s="79"/>
      <c r="H41" s="79"/>
      <c r="I41" s="79"/>
      <c r="J41" s="79"/>
      <c r="K41" s="79"/>
      <c r="L41" s="79"/>
      <c r="M41" s="79"/>
      <c r="N41" s="79"/>
      <c r="O41" s="79"/>
    </row>
    <row r="42" spans="1:15" x14ac:dyDescent="0.3">
      <c r="A42" s="236"/>
      <c r="B42" s="40" t="s">
        <v>518</v>
      </c>
      <c r="C42" s="43" t="s">
        <v>325</v>
      </c>
      <c r="D42" s="43" t="s">
        <v>621</v>
      </c>
      <c r="E42" s="37" t="s">
        <v>146</v>
      </c>
      <c r="F42" s="37" t="s">
        <v>146</v>
      </c>
      <c r="G42" s="79"/>
      <c r="H42" s="79"/>
      <c r="I42" s="79"/>
      <c r="J42" s="79"/>
      <c r="K42" s="79"/>
      <c r="L42" s="79"/>
      <c r="M42" s="79"/>
      <c r="N42" s="79"/>
      <c r="O42" s="79"/>
    </row>
    <row r="43" spans="1:15" ht="43.2" x14ac:dyDescent="0.3">
      <c r="A43" s="236"/>
      <c r="B43" s="40" t="s">
        <v>492</v>
      </c>
      <c r="C43" s="43" t="s">
        <v>658</v>
      </c>
      <c r="D43" s="43" t="s">
        <v>622</v>
      </c>
      <c r="E43" s="36">
        <v>0.02</v>
      </c>
      <c r="F43" s="79"/>
      <c r="G43" s="79"/>
      <c r="H43" s="79"/>
      <c r="I43" s="79"/>
      <c r="J43" s="79"/>
      <c r="K43" s="79" t="s">
        <v>659</v>
      </c>
      <c r="L43" s="79"/>
      <c r="M43" s="79"/>
      <c r="N43" s="79"/>
      <c r="O43" s="79"/>
    </row>
    <row r="44" spans="1:15" x14ac:dyDescent="0.3">
      <c r="A44" s="236"/>
      <c r="B44" s="40" t="s">
        <v>493</v>
      </c>
      <c r="C44" s="43" t="s">
        <v>325</v>
      </c>
      <c r="D44" s="43" t="s">
        <v>623</v>
      </c>
      <c r="E44" s="37" t="s">
        <v>110</v>
      </c>
      <c r="F44" s="79" t="s">
        <v>220</v>
      </c>
      <c r="G44" s="79"/>
      <c r="H44" s="79"/>
      <c r="I44" s="79"/>
      <c r="J44" s="79"/>
      <c r="K44" s="79"/>
      <c r="L44" s="79"/>
      <c r="M44" s="79"/>
      <c r="N44" s="79"/>
      <c r="O44" s="79"/>
    </row>
    <row r="45" spans="1:15" ht="57" customHeight="1" x14ac:dyDescent="0.3">
      <c r="A45" s="236"/>
      <c r="B45" s="40" t="s">
        <v>131</v>
      </c>
      <c r="C45" s="43" t="s">
        <v>325</v>
      </c>
      <c r="D45" s="43" t="s">
        <v>624</v>
      </c>
      <c r="E45" s="37" t="s">
        <v>102</v>
      </c>
      <c r="F45" s="79" t="s">
        <v>706</v>
      </c>
      <c r="G45" s="79"/>
      <c r="H45" s="79"/>
      <c r="I45" s="79"/>
      <c r="J45" s="79"/>
      <c r="K45" s="79"/>
      <c r="L45" s="79"/>
      <c r="M45" s="79"/>
      <c r="N45" s="79"/>
      <c r="O45" s="79"/>
    </row>
    <row r="46" spans="1:15" x14ac:dyDescent="0.3">
      <c r="A46" s="236"/>
      <c r="B46" s="40" t="s">
        <v>101</v>
      </c>
      <c r="C46" s="43" t="s">
        <v>325</v>
      </c>
      <c r="D46" s="43" t="s">
        <v>625</v>
      </c>
      <c r="E46" s="37" t="s">
        <v>118</v>
      </c>
      <c r="F46" s="79" t="s">
        <v>707</v>
      </c>
      <c r="G46" s="79"/>
      <c r="H46" s="79"/>
      <c r="I46" s="79"/>
      <c r="J46" s="79"/>
      <c r="K46" s="79"/>
      <c r="L46" s="79"/>
      <c r="M46" s="79"/>
      <c r="N46" s="79"/>
      <c r="O46" s="79"/>
    </row>
    <row r="47" spans="1:15" ht="28.8" x14ac:dyDescent="0.3">
      <c r="A47" s="236"/>
      <c r="B47" s="40" t="s">
        <v>123</v>
      </c>
      <c r="C47" s="43" t="s">
        <v>154</v>
      </c>
      <c r="D47" s="43" t="s">
        <v>626</v>
      </c>
      <c r="E47" s="37" t="s">
        <v>117</v>
      </c>
      <c r="F47" s="79" t="s">
        <v>117</v>
      </c>
      <c r="G47" s="79"/>
      <c r="H47" s="79"/>
      <c r="I47" s="79"/>
      <c r="J47" s="79"/>
      <c r="K47" s="79"/>
      <c r="L47" s="79"/>
      <c r="M47" s="79"/>
      <c r="N47" s="79"/>
      <c r="O47" s="79"/>
    </row>
    <row r="48" spans="1:15" ht="43.2" x14ac:dyDescent="0.3">
      <c r="A48" s="236"/>
      <c r="B48" s="40" t="s">
        <v>124</v>
      </c>
      <c r="C48" s="43" t="s">
        <v>325</v>
      </c>
      <c r="D48" s="43" t="s">
        <v>627</v>
      </c>
      <c r="E48" s="37" t="s">
        <v>149</v>
      </c>
      <c r="F48" s="79" t="s">
        <v>708</v>
      </c>
      <c r="G48" s="79"/>
      <c r="H48" s="79"/>
      <c r="I48" s="79"/>
      <c r="J48" s="79"/>
      <c r="K48" s="79"/>
      <c r="L48" s="79"/>
      <c r="M48" s="79"/>
      <c r="N48" s="79"/>
      <c r="O48" s="79"/>
    </row>
    <row r="49" spans="1:15" x14ac:dyDescent="0.3">
      <c r="A49" s="237" t="s">
        <v>504</v>
      </c>
      <c r="B49" s="41" t="s">
        <v>498</v>
      </c>
      <c r="C49" s="43" t="s">
        <v>325</v>
      </c>
      <c r="D49" s="43" t="s">
        <v>628</v>
      </c>
      <c r="E49" s="37" t="s">
        <v>499</v>
      </c>
      <c r="F49" s="79" t="s">
        <v>709</v>
      </c>
      <c r="G49" s="79"/>
      <c r="H49" s="79"/>
      <c r="I49" s="79"/>
      <c r="J49" s="79"/>
      <c r="K49" s="79"/>
      <c r="L49" s="79"/>
      <c r="M49" s="79"/>
      <c r="N49" s="79"/>
      <c r="O49" s="79"/>
    </row>
    <row r="50" spans="1:15" x14ac:dyDescent="0.3">
      <c r="A50" s="237"/>
      <c r="B50" s="40" t="s">
        <v>496</v>
      </c>
      <c r="C50" s="43" t="s">
        <v>325</v>
      </c>
      <c r="D50" s="43" t="s">
        <v>629</v>
      </c>
      <c r="E50" s="36" t="s">
        <v>497</v>
      </c>
      <c r="F50" s="36" t="s">
        <v>497</v>
      </c>
      <c r="G50" s="79"/>
      <c r="H50" s="79"/>
      <c r="I50" s="79"/>
      <c r="J50" s="79"/>
      <c r="K50" s="79"/>
      <c r="L50" s="79"/>
      <c r="M50" s="79"/>
      <c r="N50" s="79"/>
      <c r="O50" s="79"/>
    </row>
    <row r="51" spans="1:15" ht="28.8" x14ac:dyDescent="0.3">
      <c r="A51" s="237"/>
      <c r="B51" s="40" t="s">
        <v>106</v>
      </c>
      <c r="C51" s="43" t="s">
        <v>325</v>
      </c>
      <c r="D51" s="43" t="s">
        <v>630</v>
      </c>
      <c r="E51" s="37" t="s">
        <v>120</v>
      </c>
      <c r="F51" s="37" t="s">
        <v>120</v>
      </c>
      <c r="G51" s="79"/>
      <c r="H51" s="79"/>
      <c r="I51" s="79"/>
      <c r="J51" s="79"/>
      <c r="K51" s="79"/>
      <c r="L51" s="79"/>
      <c r="M51" s="79"/>
      <c r="N51" s="79"/>
      <c r="O51" s="79"/>
    </row>
    <row r="52" spans="1:15" ht="28.8" x14ac:dyDescent="0.3">
      <c r="A52" s="237"/>
      <c r="B52" s="40" t="s">
        <v>107</v>
      </c>
      <c r="C52" s="43" t="s">
        <v>325</v>
      </c>
      <c r="D52" s="43" t="s">
        <v>631</v>
      </c>
      <c r="E52" s="36" t="s">
        <v>109</v>
      </c>
      <c r="F52" s="36" t="s">
        <v>109</v>
      </c>
      <c r="G52" s="79"/>
      <c r="H52" s="79"/>
      <c r="I52" s="79"/>
      <c r="J52" s="79"/>
      <c r="K52" s="79"/>
      <c r="L52" s="79"/>
      <c r="M52" s="79"/>
      <c r="N52" s="79"/>
      <c r="O52" s="79"/>
    </row>
    <row r="53" spans="1:15" ht="28.8" x14ac:dyDescent="0.3">
      <c r="A53" s="237"/>
      <c r="B53" s="40" t="s">
        <v>108</v>
      </c>
      <c r="C53" s="43" t="s">
        <v>325</v>
      </c>
      <c r="D53" s="43" t="s">
        <v>632</v>
      </c>
      <c r="E53" s="37" t="s">
        <v>121</v>
      </c>
      <c r="F53" s="37" t="s">
        <v>121</v>
      </c>
      <c r="G53" s="79"/>
      <c r="H53" s="79"/>
      <c r="I53" s="79"/>
      <c r="J53" s="79"/>
      <c r="K53" s="79"/>
      <c r="L53" s="79"/>
      <c r="M53" s="79"/>
      <c r="N53" s="79"/>
      <c r="O53" s="79"/>
    </row>
    <row r="54" spans="1:15" x14ac:dyDescent="0.3">
      <c r="A54" s="237"/>
      <c r="B54" s="41" t="s">
        <v>105</v>
      </c>
      <c r="C54" s="43" t="s">
        <v>325</v>
      </c>
      <c r="D54" s="43" t="s">
        <v>633</v>
      </c>
      <c r="E54" s="37" t="s">
        <v>500</v>
      </c>
      <c r="F54" s="37" t="s">
        <v>500</v>
      </c>
      <c r="G54" s="79"/>
      <c r="H54" s="79"/>
      <c r="I54" s="79"/>
      <c r="J54" s="79"/>
      <c r="K54" s="79"/>
      <c r="L54" s="79"/>
      <c r="M54" s="79"/>
      <c r="N54" s="79"/>
      <c r="O54" s="79"/>
    </row>
    <row r="55" spans="1:15" x14ac:dyDescent="0.3">
      <c r="A55" s="237"/>
      <c r="B55" s="40" t="s">
        <v>490</v>
      </c>
      <c r="C55" s="43" t="s">
        <v>156</v>
      </c>
      <c r="D55" s="43" t="s">
        <v>634</v>
      </c>
      <c r="E55" s="36">
        <v>5</v>
      </c>
      <c r="F55" s="36">
        <v>5</v>
      </c>
      <c r="G55" s="79"/>
      <c r="H55" s="79"/>
      <c r="I55" s="79"/>
      <c r="J55" s="79"/>
      <c r="K55" s="79"/>
      <c r="L55" s="79"/>
      <c r="M55" s="79"/>
      <c r="N55" s="79"/>
      <c r="O55" s="79"/>
    </row>
    <row r="56" spans="1:15" x14ac:dyDescent="0.3">
      <c r="A56" s="237"/>
      <c r="B56" s="40" t="s">
        <v>491</v>
      </c>
      <c r="C56" s="43" t="s">
        <v>156</v>
      </c>
      <c r="D56" s="43" t="s">
        <v>635</v>
      </c>
      <c r="E56" s="36">
        <v>40</v>
      </c>
      <c r="F56" s="36">
        <v>40</v>
      </c>
      <c r="G56" s="79"/>
      <c r="H56" s="79"/>
      <c r="I56" s="79"/>
      <c r="J56" s="79"/>
      <c r="K56" s="79"/>
      <c r="L56" s="79"/>
      <c r="M56" s="79"/>
      <c r="N56" s="79"/>
      <c r="O56" s="79"/>
    </row>
    <row r="57" spans="1:15" x14ac:dyDescent="0.3">
      <c r="A57" s="237"/>
      <c r="B57" s="40" t="s">
        <v>518</v>
      </c>
      <c r="C57" s="43" t="s">
        <v>325</v>
      </c>
      <c r="D57" s="43" t="s">
        <v>636</v>
      </c>
      <c r="E57" s="37" t="s">
        <v>146</v>
      </c>
      <c r="F57" s="37" t="s">
        <v>146</v>
      </c>
      <c r="G57" s="79"/>
      <c r="H57" s="79"/>
      <c r="I57" s="79"/>
      <c r="J57" s="79"/>
      <c r="K57" s="79"/>
      <c r="L57" s="79"/>
      <c r="M57" s="79"/>
      <c r="N57" s="79"/>
      <c r="O57" s="79"/>
    </row>
    <row r="58" spans="1:15" x14ac:dyDescent="0.3">
      <c r="A58" s="237"/>
      <c r="B58" s="40" t="s">
        <v>493</v>
      </c>
      <c r="C58" s="43" t="s">
        <v>325</v>
      </c>
      <c r="D58" s="43" t="s">
        <v>637</v>
      </c>
      <c r="E58" s="37" t="s">
        <v>126</v>
      </c>
      <c r="F58" s="37" t="s">
        <v>126</v>
      </c>
      <c r="G58" s="79"/>
      <c r="H58" s="79"/>
      <c r="I58" s="79"/>
      <c r="J58" s="79"/>
      <c r="K58" s="79"/>
      <c r="L58" s="79"/>
      <c r="M58" s="79"/>
      <c r="N58" s="79"/>
      <c r="O58" s="79"/>
    </row>
    <row r="59" spans="1:15" ht="28.8" x14ac:dyDescent="0.3">
      <c r="A59" s="237"/>
      <c r="B59" s="40" t="s">
        <v>131</v>
      </c>
      <c r="C59" s="43" t="s">
        <v>325</v>
      </c>
      <c r="D59" s="43" t="s">
        <v>638</v>
      </c>
      <c r="E59" s="37" t="s">
        <v>501</v>
      </c>
      <c r="F59" s="37" t="s">
        <v>501</v>
      </c>
      <c r="G59" s="79"/>
      <c r="H59" s="79"/>
      <c r="I59" s="79"/>
      <c r="J59" s="79"/>
      <c r="K59" s="79"/>
      <c r="L59" s="79"/>
      <c r="M59" s="79"/>
      <c r="N59" s="79"/>
      <c r="O59" s="79"/>
    </row>
    <row r="60" spans="1:15" x14ac:dyDescent="0.3">
      <c r="A60" s="237"/>
      <c r="B60" s="40" t="s">
        <v>502</v>
      </c>
      <c r="C60" s="43" t="s">
        <v>325</v>
      </c>
      <c r="D60" s="43" t="s">
        <v>639</v>
      </c>
      <c r="E60" s="37" t="s">
        <v>503</v>
      </c>
      <c r="F60" s="37" t="s">
        <v>503</v>
      </c>
      <c r="G60" s="79"/>
      <c r="H60" s="79"/>
      <c r="I60" s="79"/>
      <c r="J60" s="79"/>
      <c r="K60" s="79"/>
      <c r="L60" s="79"/>
      <c r="M60" s="79"/>
      <c r="N60" s="79"/>
      <c r="O60" s="79"/>
    </row>
    <row r="61" spans="1:15" ht="28.8" x14ac:dyDescent="0.3">
      <c r="A61" s="237"/>
      <c r="B61" s="40" t="s">
        <v>123</v>
      </c>
      <c r="C61" s="43" t="s">
        <v>154</v>
      </c>
      <c r="D61" s="43" t="s">
        <v>640</v>
      </c>
      <c r="E61" s="37" t="s">
        <v>117</v>
      </c>
      <c r="F61" s="37" t="s">
        <v>117</v>
      </c>
      <c r="G61" s="79"/>
      <c r="H61" s="79"/>
      <c r="I61" s="79"/>
      <c r="J61" s="79"/>
      <c r="K61" s="79"/>
      <c r="L61" s="79"/>
      <c r="M61" s="79"/>
      <c r="N61" s="79"/>
      <c r="O61" s="79"/>
    </row>
    <row r="62" spans="1:15" ht="43.2" x14ac:dyDescent="0.3">
      <c r="A62" s="237"/>
      <c r="B62" s="40" t="s">
        <v>124</v>
      </c>
      <c r="C62" s="43" t="s">
        <v>325</v>
      </c>
      <c r="D62" s="43" t="s">
        <v>641</v>
      </c>
      <c r="E62" s="37" t="s">
        <v>149</v>
      </c>
      <c r="F62" s="37" t="s">
        <v>149</v>
      </c>
      <c r="G62" s="79"/>
      <c r="H62" s="79"/>
      <c r="I62" s="79"/>
      <c r="J62" s="79"/>
      <c r="K62" s="79"/>
      <c r="L62" s="79"/>
      <c r="M62" s="79"/>
      <c r="N62" s="79"/>
      <c r="O62" s="79"/>
    </row>
  </sheetData>
  <sheetProtection formatCells="0" formatColumns="0" formatRows="0"/>
  <mergeCells count="8">
    <mergeCell ref="B1:E1"/>
    <mergeCell ref="A30:A31"/>
    <mergeCell ref="A34:A48"/>
    <mergeCell ref="A49:A62"/>
    <mergeCell ref="A22:A25"/>
    <mergeCell ref="A26:A28"/>
    <mergeCell ref="A12:A20"/>
    <mergeCell ref="B3:E4"/>
  </mergeCells>
  <conditionalFormatting sqref="F9:O9">
    <cfRule type="containsBlanks" dxfId="29" priority="10">
      <formula>LEN(TRIM(F9))=0</formula>
    </cfRule>
  </conditionalFormatting>
  <conditionalFormatting sqref="F10:O10 F19:O20">
    <cfRule type="expression" dxfId="28" priority="11">
      <formula>MOD(ROW(),2)=0</formula>
    </cfRule>
  </conditionalFormatting>
  <conditionalFormatting sqref="F12:O14 F16:O17 G15:O15">
    <cfRule type="expression" dxfId="27" priority="8">
      <formula>MOD(ROW(),2)=0</formula>
    </cfRule>
  </conditionalFormatting>
  <conditionalFormatting sqref="F22:O26 F29:O30 G27:O28">
    <cfRule type="expression" dxfId="26" priority="7">
      <formula>MOD(ROW(),2)=0</formula>
    </cfRule>
  </conditionalFormatting>
  <conditionalFormatting sqref="F33:O34 G50:O62 F43:O49 G35:O42">
    <cfRule type="expression" dxfId="25" priority="1">
      <formula>MOD(ROW(),2)=0</formula>
    </cfRule>
  </conditionalFormatting>
  <dataValidations count="9">
    <dataValidation type="whole" operator="greaterThanOrEqual" allowBlank="1" showInputMessage="1" showErrorMessage="1" sqref="F9:O9">
      <formula1>1</formula1>
    </dataValidation>
    <dataValidation operator="greaterThan" allowBlank="1" showInputMessage="1" showErrorMessage="1" sqref="F18:O18"/>
    <dataValidation type="list" allowBlank="1" showInputMessage="1" showErrorMessage="1" sqref="F24:O24">
      <formula1>"mg, mL"</formula1>
    </dataValidation>
    <dataValidation type="decimal" operator="greaterThan" allowBlank="1" showInputMessage="1" showErrorMessage="1" sqref="F23:O23 F25:O25 F16:O17 O19 F30:O30 G55:O56">
      <formula1>0</formula1>
    </dataValidation>
    <dataValidation type="list" allowBlank="1" showInputMessage="1" showErrorMessage="1" sqref="F12:O14 F10:O10 F47:O47 G61:O61 G58:O58">
      <formula1>"Yes, No"</formula1>
    </dataValidation>
    <dataValidation type="list" allowBlank="1" showInputMessage="1" showErrorMessage="1" sqref="G50:O50 G35:O35">
      <formula1>"One-step, Two-step"</formula1>
    </dataValidation>
    <dataValidation type="list" allowBlank="1" showInputMessage="1" showErrorMessage="1" sqref="G57:O57">
      <formula1>"Automatic, Manual"</formula1>
    </dataValidation>
    <dataValidation type="list" allowBlank="1" showInputMessage="1" showErrorMessage="1" sqref="F33:O33">
      <formula1>"qPCR, dPCR, both"</formula1>
    </dataValidation>
    <dataValidation type="decimal" operator="greaterThan" allowBlank="1" showInputMessage="1" showErrorMessage="1" prompt="If the entire pellet is being used then the concentrate volume, and the concentrate used for extraction volume are the same.  If the lab were using a subsample of the concentrate, using the ESV_CF_Calc tab calculator should account for it." sqref="F19:N19">
      <formula1>0</formula1>
    </dataValidation>
  </dataValidations>
  <pageMargins left="0.7" right="0.7" top="1.5" bottom="0.75" header="0.3" footer="0.3"/>
  <pageSetup scale="74" orientation="landscape" r:id="rId1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Dropdown_Data!$S$2:$S$11</xm:f>
          </x14:formula1>
          <xm:sqref>E22:O22 E26 G26:O26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50"/>
  <sheetViews>
    <sheetView topLeftCell="Q1" zoomScaleNormal="100" workbookViewId="0">
      <selection activeCell="AC1" sqref="AC1"/>
    </sheetView>
  </sheetViews>
  <sheetFormatPr defaultColWidth="8.77734375" defaultRowHeight="14.4" x14ac:dyDescent="0.3"/>
  <cols>
    <col min="1" max="1" width="11.44140625" style="38" customWidth="1"/>
    <col min="2" max="2" width="7.44140625" style="38" customWidth="1"/>
    <col min="3" max="3" width="14.44140625" style="38" customWidth="1"/>
    <col min="4" max="4" width="13.109375" style="38" bestFit="1" customWidth="1"/>
    <col min="5" max="5" width="10.109375" style="38" customWidth="1"/>
    <col min="6" max="6" width="18.77734375" style="38" customWidth="1"/>
    <col min="7" max="7" width="8" style="38" customWidth="1"/>
    <col min="8" max="8" width="17" style="38" bestFit="1" customWidth="1"/>
    <col min="9" max="9" width="14.109375" style="38" customWidth="1"/>
    <col min="10" max="10" width="10.77734375" style="38" bestFit="1" customWidth="1"/>
    <col min="11" max="11" width="19.44140625" style="38" customWidth="1"/>
    <col min="12" max="12" width="19.77734375" style="38" customWidth="1"/>
    <col min="13" max="13" width="19" style="38" customWidth="1"/>
    <col min="14" max="16" width="14" style="38" customWidth="1"/>
    <col min="17" max="17" width="15.44140625" style="38" customWidth="1"/>
    <col min="18" max="18" width="19.77734375" style="38" customWidth="1"/>
    <col min="19" max="19" width="37.77734375" style="38" customWidth="1"/>
    <col min="20" max="16384" width="8.77734375" style="38"/>
  </cols>
  <sheetData>
    <row r="1" spans="1:19" ht="19.05" customHeight="1" thickBot="1" x14ac:dyDescent="0.35">
      <c r="A1"/>
      <c r="B1"/>
      <c r="C1" s="1"/>
      <c r="D1" s="1"/>
      <c r="E1" s="1"/>
      <c r="F1" s="1"/>
      <c r="G1"/>
      <c r="H1"/>
      <c r="I1"/>
      <c r="J1"/>
      <c r="K1" s="244" t="s">
        <v>268</v>
      </c>
      <c r="L1" s="245"/>
      <c r="M1" s="245"/>
      <c r="N1" s="242" t="s">
        <v>190</v>
      </c>
      <c r="O1" s="242"/>
      <c r="P1" s="243"/>
      <c r="Q1"/>
      <c r="R1"/>
      <c r="S1"/>
    </row>
    <row r="2" spans="1:19" ht="28.8" x14ac:dyDescent="0.3">
      <c r="A2"/>
      <c r="B2"/>
      <c r="C2" s="1"/>
      <c r="D2" s="1"/>
      <c r="E2" s="1"/>
      <c r="F2" s="1"/>
      <c r="G2"/>
      <c r="H2"/>
      <c r="I2"/>
      <c r="J2"/>
      <c r="K2" s="199" t="s">
        <v>97</v>
      </c>
      <c r="L2" s="200" t="s">
        <v>98</v>
      </c>
      <c r="M2" s="201" t="s">
        <v>99</v>
      </c>
      <c r="N2" s="199" t="s">
        <v>97</v>
      </c>
      <c r="O2" s="200" t="s">
        <v>98</v>
      </c>
      <c r="P2" s="201" t="s">
        <v>99</v>
      </c>
      <c r="Q2"/>
      <c r="R2"/>
      <c r="S2"/>
    </row>
    <row r="3" spans="1:19" ht="43.8" thickBot="1" x14ac:dyDescent="0.35">
      <c r="A3"/>
      <c r="B3" s="47" t="s">
        <v>34</v>
      </c>
      <c r="C3" s="47" t="s">
        <v>1</v>
      </c>
      <c r="D3" s="47" t="s">
        <v>200</v>
      </c>
      <c r="E3" s="67" t="s">
        <v>20</v>
      </c>
      <c r="F3" s="47" t="s">
        <v>222</v>
      </c>
      <c r="G3" s="47" t="s">
        <v>133</v>
      </c>
      <c r="H3" s="47" t="s">
        <v>2</v>
      </c>
      <c r="I3" s="47" t="s">
        <v>3</v>
      </c>
      <c r="J3" s="180" t="s">
        <v>4</v>
      </c>
      <c r="K3" s="182" t="s">
        <v>24</v>
      </c>
      <c r="L3" s="183" t="s">
        <v>25</v>
      </c>
      <c r="M3" s="184" t="s">
        <v>26</v>
      </c>
      <c r="N3" s="186" t="s">
        <v>210</v>
      </c>
      <c r="O3" s="187" t="s">
        <v>211</v>
      </c>
      <c r="P3" s="188" t="s">
        <v>212</v>
      </c>
      <c r="Q3" s="185" t="s">
        <v>136</v>
      </c>
      <c r="R3" s="47" t="s">
        <v>5</v>
      </c>
      <c r="S3" s="47" t="s">
        <v>6</v>
      </c>
    </row>
    <row r="4" spans="1:19" x14ac:dyDescent="0.3">
      <c r="A4" s="189" t="s">
        <v>128</v>
      </c>
      <c r="B4" s="17">
        <v>99</v>
      </c>
      <c r="C4" s="17" t="s">
        <v>239</v>
      </c>
      <c r="D4" s="17">
        <v>1</v>
      </c>
      <c r="E4" s="17">
        <v>1</v>
      </c>
      <c r="F4" s="17" t="s">
        <v>220</v>
      </c>
      <c r="G4" s="17" t="s">
        <v>132</v>
      </c>
      <c r="H4" s="17" t="s">
        <v>10</v>
      </c>
      <c r="I4" s="48" t="s">
        <v>11</v>
      </c>
      <c r="J4" s="17" t="s">
        <v>147</v>
      </c>
      <c r="K4" s="181">
        <v>20.609605138726</v>
      </c>
      <c r="L4" s="181">
        <v>20.726316191782299</v>
      </c>
      <c r="M4" s="181">
        <v>20.679879345471299</v>
      </c>
      <c r="N4" s="181" t="b">
        <v>1</v>
      </c>
      <c r="O4" s="181" t="b">
        <v>1</v>
      </c>
      <c r="P4" s="181" t="b">
        <v>1</v>
      </c>
      <c r="Q4" s="49">
        <v>1000</v>
      </c>
      <c r="R4" s="17" t="s">
        <v>134</v>
      </c>
      <c r="S4" s="17"/>
    </row>
    <row r="5" spans="1:19" x14ac:dyDescent="0.3">
      <c r="A5" s="190" t="s">
        <v>326</v>
      </c>
      <c r="B5" s="44">
        <f>Lab_Code!$C$1</f>
        <v>999</v>
      </c>
      <c r="C5" s="44" t="s">
        <v>239</v>
      </c>
      <c r="D5" s="60">
        <v>1</v>
      </c>
      <c r="E5" s="60">
        <v>1</v>
      </c>
      <c r="F5" s="60" t="s">
        <v>220</v>
      </c>
      <c r="G5" s="60" t="s">
        <v>132</v>
      </c>
      <c r="H5" s="60" t="s">
        <v>10</v>
      </c>
      <c r="I5" s="60" t="s">
        <v>11</v>
      </c>
      <c r="J5" s="60" t="s">
        <v>148</v>
      </c>
      <c r="K5" s="172">
        <v>28.1</v>
      </c>
      <c r="L5" s="172">
        <v>28.2</v>
      </c>
      <c r="M5" s="172">
        <v>28.3</v>
      </c>
      <c r="N5" s="60" t="b">
        <v>1</v>
      </c>
      <c r="O5" s="60" t="b">
        <v>1</v>
      </c>
      <c r="P5" s="60" t="b">
        <v>1</v>
      </c>
      <c r="Q5" s="65">
        <v>1000</v>
      </c>
      <c r="R5" s="60" t="s">
        <v>134</v>
      </c>
      <c r="S5" s="60"/>
    </row>
    <row r="6" spans="1:19" x14ac:dyDescent="0.3">
      <c r="A6" s="45"/>
      <c r="B6" s="44">
        <f>Lab_Code!$C$1</f>
        <v>999</v>
      </c>
      <c r="C6" s="44" t="s">
        <v>239</v>
      </c>
      <c r="D6" s="60">
        <v>1</v>
      </c>
      <c r="E6" s="60">
        <v>1</v>
      </c>
      <c r="F6" s="60" t="s">
        <v>220</v>
      </c>
      <c r="G6" s="60" t="s">
        <v>132</v>
      </c>
      <c r="H6" s="60" t="s">
        <v>10</v>
      </c>
      <c r="I6" s="60" t="s">
        <v>11</v>
      </c>
      <c r="J6" s="60" t="s">
        <v>148</v>
      </c>
      <c r="K6" s="172">
        <v>29.7</v>
      </c>
      <c r="L6" s="172">
        <v>29.8</v>
      </c>
      <c r="M6" s="172">
        <v>29.9</v>
      </c>
      <c r="N6" s="60" t="b">
        <v>1</v>
      </c>
      <c r="O6" s="60" t="b">
        <v>1</v>
      </c>
      <c r="P6" s="60" t="b">
        <v>1</v>
      </c>
      <c r="Q6" s="65">
        <v>400</v>
      </c>
      <c r="R6" s="60" t="s">
        <v>134</v>
      </c>
      <c r="S6" s="60"/>
    </row>
    <row r="7" spans="1:19" x14ac:dyDescent="0.3">
      <c r="A7" s="45"/>
      <c r="B7" s="44">
        <f>Lab_Code!$C$1</f>
        <v>999</v>
      </c>
      <c r="C7" s="44" t="s">
        <v>239</v>
      </c>
      <c r="D7" s="60">
        <v>1</v>
      </c>
      <c r="E7" s="60">
        <v>1</v>
      </c>
      <c r="F7" s="60" t="s">
        <v>220</v>
      </c>
      <c r="G7" s="60" t="s">
        <v>132</v>
      </c>
      <c r="H7" s="60" t="s">
        <v>10</v>
      </c>
      <c r="I7" s="60" t="s">
        <v>11</v>
      </c>
      <c r="J7" s="60" t="s">
        <v>148</v>
      </c>
      <c r="K7" s="172">
        <v>30.7</v>
      </c>
      <c r="L7" s="172">
        <v>30.8</v>
      </c>
      <c r="M7" s="172">
        <v>30.9</v>
      </c>
      <c r="N7" s="60" t="b">
        <v>1</v>
      </c>
      <c r="O7" s="60" t="b">
        <v>1</v>
      </c>
      <c r="P7" s="60" t="b">
        <v>1</v>
      </c>
      <c r="Q7" s="65">
        <v>200</v>
      </c>
      <c r="R7" s="60" t="s">
        <v>134</v>
      </c>
      <c r="S7" s="60"/>
    </row>
    <row r="8" spans="1:19" x14ac:dyDescent="0.3">
      <c r="A8" s="45"/>
      <c r="B8" s="44">
        <f>Lab_Code!$C$1</f>
        <v>999</v>
      </c>
      <c r="C8" s="44" t="s">
        <v>239</v>
      </c>
      <c r="D8" s="60">
        <v>1</v>
      </c>
      <c r="E8" s="60">
        <v>1</v>
      </c>
      <c r="F8" s="60" t="s">
        <v>220</v>
      </c>
      <c r="G8" s="60" t="s">
        <v>132</v>
      </c>
      <c r="H8" s="60" t="s">
        <v>10</v>
      </c>
      <c r="I8" s="60" t="s">
        <v>11</v>
      </c>
      <c r="J8" s="60" t="s">
        <v>148</v>
      </c>
      <c r="K8" s="172">
        <v>31.7</v>
      </c>
      <c r="L8" s="172">
        <v>31.8</v>
      </c>
      <c r="M8" s="172">
        <v>31.9</v>
      </c>
      <c r="N8" s="60" t="b">
        <v>1</v>
      </c>
      <c r="O8" s="60" t="b">
        <v>1</v>
      </c>
      <c r="P8" s="60" t="b">
        <v>1</v>
      </c>
      <c r="Q8" s="65">
        <v>100</v>
      </c>
      <c r="R8" s="60" t="s">
        <v>134</v>
      </c>
      <c r="S8" s="60"/>
    </row>
    <row r="9" spans="1:19" x14ac:dyDescent="0.3">
      <c r="A9" s="45"/>
      <c r="B9" s="44">
        <f>Lab_Code!$C$1</f>
        <v>999</v>
      </c>
      <c r="C9" s="44" t="s">
        <v>239</v>
      </c>
      <c r="D9" s="60">
        <v>1</v>
      </c>
      <c r="E9" s="60">
        <v>1</v>
      </c>
      <c r="F9" s="60" t="s">
        <v>220</v>
      </c>
      <c r="G9" s="60" t="s">
        <v>132</v>
      </c>
      <c r="H9" s="60" t="s">
        <v>10</v>
      </c>
      <c r="I9" s="60" t="s">
        <v>11</v>
      </c>
      <c r="J9" s="60" t="s">
        <v>148</v>
      </c>
      <c r="K9" s="172">
        <v>33.700000000000003</v>
      </c>
      <c r="L9" s="172">
        <v>33.799999999999997</v>
      </c>
      <c r="M9" s="172">
        <v>31.9</v>
      </c>
      <c r="N9" s="60" t="b">
        <v>1</v>
      </c>
      <c r="O9" s="60" t="b">
        <v>0</v>
      </c>
      <c r="P9" s="60" t="b">
        <v>1</v>
      </c>
      <c r="Q9" s="65">
        <v>20</v>
      </c>
      <c r="R9" s="60" t="s">
        <v>134</v>
      </c>
      <c r="S9" s="60"/>
    </row>
    <row r="10" spans="1:19" x14ac:dyDescent="0.3">
      <c r="A10" s="45"/>
      <c r="B10" s="44">
        <f>Lab_Code!$C$1</f>
        <v>999</v>
      </c>
      <c r="C10" s="44" t="s">
        <v>239</v>
      </c>
      <c r="D10" s="60">
        <v>1</v>
      </c>
      <c r="E10" s="60">
        <v>1</v>
      </c>
      <c r="F10" s="60" t="s">
        <v>220</v>
      </c>
      <c r="G10" s="60" t="s">
        <v>132</v>
      </c>
      <c r="H10" s="60" t="s">
        <v>10</v>
      </c>
      <c r="I10" s="60" t="s">
        <v>11</v>
      </c>
      <c r="J10" s="60" t="s">
        <v>148</v>
      </c>
      <c r="K10" s="172">
        <v>36.700000000000003</v>
      </c>
      <c r="L10" s="172">
        <v>36.799999999999997</v>
      </c>
      <c r="M10" s="172">
        <v>36.9</v>
      </c>
      <c r="N10" s="60" t="b">
        <v>1</v>
      </c>
      <c r="O10" s="60" t="b">
        <v>1</v>
      </c>
      <c r="P10" s="60" t="b">
        <v>1</v>
      </c>
      <c r="Q10" s="65">
        <v>5</v>
      </c>
      <c r="R10" s="60" t="s">
        <v>134</v>
      </c>
      <c r="S10" s="60"/>
    </row>
    <row r="11" spans="1:19" x14ac:dyDescent="0.3">
      <c r="A11" s="45"/>
      <c r="B11" s="44">
        <f>Lab_Code!$C$1</f>
        <v>999</v>
      </c>
      <c r="C11" s="44" t="s">
        <v>239</v>
      </c>
      <c r="D11" s="60">
        <v>1</v>
      </c>
      <c r="E11" s="60">
        <v>1</v>
      </c>
      <c r="F11" s="60" t="s">
        <v>220</v>
      </c>
      <c r="G11" s="60" t="s">
        <v>132</v>
      </c>
      <c r="H11" s="60" t="s">
        <v>10</v>
      </c>
      <c r="I11" s="60" t="s">
        <v>14</v>
      </c>
      <c r="J11" s="60" t="s">
        <v>148</v>
      </c>
      <c r="K11" s="172">
        <v>28.1</v>
      </c>
      <c r="L11" s="172">
        <v>28.2</v>
      </c>
      <c r="M11" s="172">
        <v>28.3</v>
      </c>
      <c r="N11" s="60" t="b">
        <v>1</v>
      </c>
      <c r="O11" s="60" t="b">
        <v>1</v>
      </c>
      <c r="P11" s="60" t="b">
        <v>1</v>
      </c>
      <c r="Q11" s="65">
        <v>1000</v>
      </c>
      <c r="R11" s="60" t="s">
        <v>134</v>
      </c>
      <c r="S11" s="60"/>
    </row>
    <row r="12" spans="1:19" x14ac:dyDescent="0.3">
      <c r="A12" s="45"/>
      <c r="B12" s="44">
        <f>Lab_Code!$C$1</f>
        <v>999</v>
      </c>
      <c r="C12" s="44" t="s">
        <v>239</v>
      </c>
      <c r="D12" s="60">
        <v>1</v>
      </c>
      <c r="E12" s="60">
        <v>1</v>
      </c>
      <c r="F12" s="60" t="s">
        <v>220</v>
      </c>
      <c r="G12" s="60" t="s">
        <v>132</v>
      </c>
      <c r="H12" s="60" t="s">
        <v>10</v>
      </c>
      <c r="I12" s="60" t="s">
        <v>14</v>
      </c>
      <c r="J12" s="60" t="s">
        <v>148</v>
      </c>
      <c r="K12" s="172">
        <v>29.7</v>
      </c>
      <c r="L12" s="172">
        <v>29.8</v>
      </c>
      <c r="M12" s="172">
        <v>29.9</v>
      </c>
      <c r="N12" s="60" t="b">
        <v>1</v>
      </c>
      <c r="O12" s="60" t="b">
        <v>1</v>
      </c>
      <c r="P12" s="60" t="b">
        <v>1</v>
      </c>
      <c r="Q12" s="65">
        <v>400</v>
      </c>
      <c r="R12" s="60" t="s">
        <v>134</v>
      </c>
      <c r="S12" s="60"/>
    </row>
    <row r="13" spans="1:19" x14ac:dyDescent="0.3">
      <c r="A13" s="45"/>
      <c r="B13" s="44">
        <f>Lab_Code!$C$1</f>
        <v>999</v>
      </c>
      <c r="C13" s="44" t="s">
        <v>239</v>
      </c>
      <c r="D13" s="60">
        <v>1</v>
      </c>
      <c r="E13" s="60">
        <v>1</v>
      </c>
      <c r="F13" s="60" t="s">
        <v>220</v>
      </c>
      <c r="G13" s="60" t="s">
        <v>132</v>
      </c>
      <c r="H13" s="60" t="s">
        <v>10</v>
      </c>
      <c r="I13" s="60" t="s">
        <v>14</v>
      </c>
      <c r="J13" s="60" t="s">
        <v>148</v>
      </c>
      <c r="K13" s="172">
        <v>30.7</v>
      </c>
      <c r="L13" s="172">
        <v>30.8</v>
      </c>
      <c r="M13" s="172">
        <v>30.9</v>
      </c>
      <c r="N13" s="60" t="b">
        <v>1</v>
      </c>
      <c r="O13" s="60" t="b">
        <v>1</v>
      </c>
      <c r="P13" s="60" t="b">
        <v>1</v>
      </c>
      <c r="Q13" s="65">
        <v>200</v>
      </c>
      <c r="R13" s="60" t="s">
        <v>134</v>
      </c>
      <c r="S13" s="60"/>
    </row>
    <row r="14" spans="1:19" x14ac:dyDescent="0.3">
      <c r="A14" s="45"/>
      <c r="B14" s="44">
        <f>Lab_Code!$C$1</f>
        <v>999</v>
      </c>
      <c r="C14" s="44" t="s">
        <v>239</v>
      </c>
      <c r="D14" s="60">
        <v>1</v>
      </c>
      <c r="E14" s="60">
        <v>1</v>
      </c>
      <c r="F14" s="60" t="s">
        <v>220</v>
      </c>
      <c r="G14" s="60" t="s">
        <v>132</v>
      </c>
      <c r="H14" s="60" t="s">
        <v>10</v>
      </c>
      <c r="I14" s="60" t="s">
        <v>14</v>
      </c>
      <c r="J14" s="60" t="s">
        <v>148</v>
      </c>
      <c r="K14" s="172">
        <v>31.7</v>
      </c>
      <c r="L14" s="172">
        <v>31.8</v>
      </c>
      <c r="M14" s="172">
        <v>31.9</v>
      </c>
      <c r="N14" s="60" t="b">
        <v>1</v>
      </c>
      <c r="O14" s="60" t="b">
        <v>1</v>
      </c>
      <c r="P14" s="60" t="b">
        <v>1</v>
      </c>
      <c r="Q14" s="65">
        <v>100</v>
      </c>
      <c r="R14" s="60" t="s">
        <v>134</v>
      </c>
      <c r="S14" s="60"/>
    </row>
    <row r="15" spans="1:19" x14ac:dyDescent="0.3">
      <c r="A15" s="45"/>
      <c r="B15" s="44">
        <f>Lab_Code!$C$1</f>
        <v>999</v>
      </c>
      <c r="C15" s="44" t="s">
        <v>239</v>
      </c>
      <c r="D15" s="60">
        <v>1</v>
      </c>
      <c r="E15" s="60">
        <v>1</v>
      </c>
      <c r="F15" s="60" t="s">
        <v>220</v>
      </c>
      <c r="G15" s="60" t="s">
        <v>132</v>
      </c>
      <c r="H15" s="60" t="s">
        <v>10</v>
      </c>
      <c r="I15" s="60" t="s">
        <v>14</v>
      </c>
      <c r="J15" s="60" t="s">
        <v>148</v>
      </c>
      <c r="K15" s="172">
        <v>33.700000000000003</v>
      </c>
      <c r="L15" s="172">
        <v>33.799999999999997</v>
      </c>
      <c r="M15" s="172">
        <v>31.9</v>
      </c>
      <c r="N15" s="60" t="b">
        <v>1</v>
      </c>
      <c r="O15" s="60" t="b">
        <v>1</v>
      </c>
      <c r="P15" s="60" t="b">
        <v>1</v>
      </c>
      <c r="Q15" s="65">
        <v>20</v>
      </c>
      <c r="R15" s="60" t="s">
        <v>134</v>
      </c>
      <c r="S15" s="60"/>
    </row>
    <row r="16" spans="1:19" x14ac:dyDescent="0.3">
      <c r="A16" s="45"/>
      <c r="B16" s="44">
        <f>Lab_Code!$C$1</f>
        <v>999</v>
      </c>
      <c r="C16" s="44" t="s">
        <v>239</v>
      </c>
      <c r="D16" s="60">
        <v>1</v>
      </c>
      <c r="E16" s="60">
        <v>1</v>
      </c>
      <c r="F16" s="60" t="s">
        <v>220</v>
      </c>
      <c r="G16" s="60" t="s">
        <v>132</v>
      </c>
      <c r="H16" s="60" t="s">
        <v>10</v>
      </c>
      <c r="I16" s="60" t="s">
        <v>14</v>
      </c>
      <c r="J16" s="60" t="s">
        <v>148</v>
      </c>
      <c r="K16" s="172">
        <v>36.700000000000003</v>
      </c>
      <c r="L16" s="172">
        <v>36.799999999999997</v>
      </c>
      <c r="M16" s="172">
        <v>36.9</v>
      </c>
      <c r="N16" s="60" t="b">
        <v>1</v>
      </c>
      <c r="O16" s="60" t="b">
        <v>0</v>
      </c>
      <c r="P16" s="60" t="b">
        <v>1</v>
      </c>
      <c r="Q16" s="65">
        <v>5</v>
      </c>
      <c r="R16" s="60" t="s">
        <v>134</v>
      </c>
      <c r="S16" s="60"/>
    </row>
    <row r="17" spans="1:19" x14ac:dyDescent="0.3">
      <c r="A17" s="45"/>
      <c r="B17" s="44">
        <f>Lab_Code!$C$1</f>
        <v>999</v>
      </c>
      <c r="C17" s="44" t="s">
        <v>239</v>
      </c>
      <c r="D17" s="60">
        <v>1</v>
      </c>
      <c r="E17" s="60">
        <v>1</v>
      </c>
      <c r="F17" s="60" t="s">
        <v>403</v>
      </c>
      <c r="G17" s="60" t="s">
        <v>132</v>
      </c>
      <c r="H17" s="60" t="s">
        <v>17</v>
      </c>
      <c r="I17" s="60"/>
      <c r="J17" s="60" t="s">
        <v>148</v>
      </c>
      <c r="K17" s="172">
        <v>19.100000000000001</v>
      </c>
      <c r="L17" s="218">
        <v>19.2</v>
      </c>
      <c r="M17" s="218">
        <v>19.3</v>
      </c>
      <c r="N17" s="60" t="b">
        <v>0</v>
      </c>
      <c r="O17" s="60" t="b">
        <v>1</v>
      </c>
      <c r="P17" s="60" t="b">
        <v>1</v>
      </c>
      <c r="Q17" s="205">
        <v>7250000</v>
      </c>
      <c r="R17" s="60" t="s">
        <v>134</v>
      </c>
      <c r="S17" s="60"/>
    </row>
    <row r="18" spans="1:19" x14ac:dyDescent="0.3">
      <c r="A18" s="45"/>
      <c r="B18" s="44">
        <f>Lab_Code!$C$1</f>
        <v>999</v>
      </c>
      <c r="C18" s="44" t="s">
        <v>239</v>
      </c>
      <c r="D18" s="60">
        <v>1</v>
      </c>
      <c r="E18" s="60">
        <v>1</v>
      </c>
      <c r="F18" s="60" t="s">
        <v>403</v>
      </c>
      <c r="G18" s="60" t="s">
        <v>132</v>
      </c>
      <c r="H18" s="60" t="s">
        <v>17</v>
      </c>
      <c r="I18" s="60"/>
      <c r="J18" s="60" t="s">
        <v>148</v>
      </c>
      <c r="K18" s="219">
        <v>20.100000000000001</v>
      </c>
      <c r="L18" s="219">
        <v>20.2</v>
      </c>
      <c r="M18" s="219">
        <v>20.3</v>
      </c>
      <c r="N18" s="60" t="b">
        <v>1</v>
      </c>
      <c r="O18" s="60" t="b">
        <v>1</v>
      </c>
      <c r="P18" s="60" t="b">
        <v>1</v>
      </c>
      <c r="Q18" s="206">
        <v>725000</v>
      </c>
      <c r="R18" s="60" t="s">
        <v>134</v>
      </c>
      <c r="S18" s="60"/>
    </row>
    <row r="19" spans="1:19" x14ac:dyDescent="0.3">
      <c r="A19" s="45"/>
      <c r="B19" s="44">
        <f>Lab_Code!$C$1</f>
        <v>999</v>
      </c>
      <c r="C19" s="44" t="s">
        <v>239</v>
      </c>
      <c r="D19" s="60">
        <v>1</v>
      </c>
      <c r="E19" s="60">
        <v>1</v>
      </c>
      <c r="F19" s="60" t="s">
        <v>403</v>
      </c>
      <c r="G19" s="60" t="s">
        <v>132</v>
      </c>
      <c r="H19" s="60" t="s">
        <v>17</v>
      </c>
      <c r="I19" s="60"/>
      <c r="J19" s="60" t="s">
        <v>148</v>
      </c>
      <c r="K19" s="218">
        <v>23.8</v>
      </c>
      <c r="L19" s="218">
        <v>23.9</v>
      </c>
      <c r="M19" s="218">
        <v>24</v>
      </c>
      <c r="N19" s="60" t="b">
        <v>1</v>
      </c>
      <c r="O19" s="60" t="b">
        <v>1</v>
      </c>
      <c r="P19" s="60" t="b">
        <v>1</v>
      </c>
      <c r="Q19" s="205">
        <v>72500</v>
      </c>
      <c r="R19" s="60" t="s">
        <v>134</v>
      </c>
      <c r="S19" s="60"/>
    </row>
    <row r="20" spans="1:19" x14ac:dyDescent="0.3">
      <c r="A20" s="45"/>
      <c r="B20" s="44">
        <f>Lab_Code!$C$1</f>
        <v>999</v>
      </c>
      <c r="C20" s="44" t="s">
        <v>239</v>
      </c>
      <c r="D20" s="60">
        <v>1</v>
      </c>
      <c r="E20" s="60">
        <v>1</v>
      </c>
      <c r="F20" s="60" t="s">
        <v>403</v>
      </c>
      <c r="G20" s="60" t="s">
        <v>132</v>
      </c>
      <c r="H20" s="60" t="s">
        <v>17</v>
      </c>
      <c r="I20" s="60"/>
      <c r="J20" s="60" t="s">
        <v>148</v>
      </c>
      <c r="K20" s="219">
        <v>27.4</v>
      </c>
      <c r="L20" s="219">
        <v>27.5</v>
      </c>
      <c r="M20" s="219">
        <v>27.6</v>
      </c>
      <c r="N20" s="60" t="b">
        <v>1</v>
      </c>
      <c r="O20" s="60" t="b">
        <v>1</v>
      </c>
      <c r="P20" s="60" t="b">
        <v>1</v>
      </c>
      <c r="Q20" s="206">
        <v>7250</v>
      </c>
      <c r="R20" s="60" t="s">
        <v>134</v>
      </c>
      <c r="S20" s="60"/>
    </row>
    <row r="21" spans="1:19" x14ac:dyDescent="0.3">
      <c r="A21" s="45"/>
      <c r="B21" s="44">
        <f>Lab_Code!$C$1</f>
        <v>999</v>
      </c>
      <c r="C21" s="44" t="s">
        <v>239</v>
      </c>
      <c r="D21" s="60">
        <v>1</v>
      </c>
      <c r="E21" s="60">
        <v>1</v>
      </c>
      <c r="F21" s="60" t="s">
        <v>403</v>
      </c>
      <c r="G21" s="60" t="s">
        <v>132</v>
      </c>
      <c r="H21" s="60" t="s">
        <v>17</v>
      </c>
      <c r="I21" s="60"/>
      <c r="J21" s="60" t="s">
        <v>148</v>
      </c>
      <c r="K21" s="218">
        <v>30.7</v>
      </c>
      <c r="L21" s="218">
        <v>30.8</v>
      </c>
      <c r="M21" s="218">
        <v>30.9</v>
      </c>
      <c r="N21" s="60" t="b">
        <v>1</v>
      </c>
      <c r="O21" s="60" t="b">
        <v>1</v>
      </c>
      <c r="P21" s="60" t="b">
        <v>1</v>
      </c>
      <c r="Q21" s="205">
        <v>725</v>
      </c>
      <c r="R21" s="60" t="s">
        <v>134</v>
      </c>
      <c r="S21" s="60"/>
    </row>
    <row r="22" spans="1:19" x14ac:dyDescent="0.3">
      <c r="A22" s="45"/>
      <c r="B22" s="44">
        <f>Lab_Code!$C$1</f>
        <v>999</v>
      </c>
      <c r="C22" s="44" t="s">
        <v>239</v>
      </c>
      <c r="D22" s="60">
        <v>1</v>
      </c>
      <c r="E22" s="60">
        <v>1</v>
      </c>
      <c r="F22" s="60" t="s">
        <v>403</v>
      </c>
      <c r="G22" s="60" t="s">
        <v>132</v>
      </c>
      <c r="H22" s="60" t="s">
        <v>17</v>
      </c>
      <c r="I22" s="60"/>
      <c r="J22" s="60" t="s">
        <v>148</v>
      </c>
      <c r="K22" s="219">
        <v>34</v>
      </c>
      <c r="L22" s="219">
        <v>34.1</v>
      </c>
      <c r="M22" s="219">
        <v>34.200000000000003</v>
      </c>
      <c r="N22" s="60" t="b">
        <v>1</v>
      </c>
      <c r="O22" s="60" t="b">
        <v>1</v>
      </c>
      <c r="P22" s="60" t="b">
        <v>1</v>
      </c>
      <c r="Q22" s="206">
        <v>72.5</v>
      </c>
      <c r="R22" s="60" t="s">
        <v>134</v>
      </c>
      <c r="S22" s="60"/>
    </row>
    <row r="23" spans="1:19" x14ac:dyDescent="0.3">
      <c r="A23" s="45"/>
      <c r="B23" s="44">
        <f>Lab_Code!$C$1</f>
        <v>999</v>
      </c>
      <c r="C23" s="44" t="s">
        <v>239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5"/>
      <c r="R23" s="60"/>
      <c r="S23" s="60"/>
    </row>
    <row r="24" spans="1:19" x14ac:dyDescent="0.3">
      <c r="A24" s="45"/>
      <c r="B24" s="44">
        <f>Lab_Code!$C$1</f>
        <v>999</v>
      </c>
      <c r="C24" s="44" t="s">
        <v>239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5"/>
      <c r="R24" s="60"/>
      <c r="S24" s="60"/>
    </row>
    <row r="25" spans="1:19" x14ac:dyDescent="0.3">
      <c r="A25" s="45"/>
      <c r="B25" s="44">
        <f>Lab_Code!$C$1</f>
        <v>999</v>
      </c>
      <c r="C25" s="44" t="s">
        <v>239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5"/>
      <c r="R25" s="60"/>
      <c r="S25" s="60"/>
    </row>
    <row r="26" spans="1:19" x14ac:dyDescent="0.3">
      <c r="A26" s="45"/>
      <c r="B26" s="44">
        <f>Lab_Code!$C$1</f>
        <v>999</v>
      </c>
      <c r="C26" s="44" t="s">
        <v>239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5"/>
      <c r="R26" s="60"/>
      <c r="S26" s="60"/>
    </row>
    <row r="27" spans="1:19" x14ac:dyDescent="0.3">
      <c r="A27" s="45"/>
      <c r="B27" s="44">
        <f>Lab_Code!$C$1</f>
        <v>999</v>
      </c>
      <c r="C27" s="44" t="s">
        <v>239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5"/>
      <c r="R27" s="60"/>
      <c r="S27" s="60"/>
    </row>
    <row r="28" spans="1:19" x14ac:dyDescent="0.3">
      <c r="A28" s="45"/>
      <c r="B28" s="44">
        <f>Lab_Code!$C$1</f>
        <v>999</v>
      </c>
      <c r="C28" s="44" t="s">
        <v>239</v>
      </c>
      <c r="D28" s="60"/>
      <c r="E28" s="60"/>
      <c r="F28" s="60"/>
      <c r="G28" s="60"/>
      <c r="H28" s="60"/>
      <c r="I28" s="60"/>
      <c r="J28" s="60"/>
      <c r="K28" s="64"/>
      <c r="L28" s="60"/>
      <c r="M28" s="60"/>
      <c r="N28" s="60"/>
      <c r="O28" s="60"/>
      <c r="P28" s="60"/>
      <c r="Q28" s="65"/>
      <c r="R28" s="60"/>
      <c r="S28" s="60"/>
    </row>
    <row r="29" spans="1:19" x14ac:dyDescent="0.3">
      <c r="A29" s="45"/>
      <c r="B29" s="44">
        <f>Lab_Code!$C$1</f>
        <v>999</v>
      </c>
      <c r="C29" s="44" t="s">
        <v>239</v>
      </c>
      <c r="D29" s="60"/>
      <c r="E29" s="60"/>
      <c r="F29" s="60"/>
      <c r="G29" s="60"/>
      <c r="H29" s="60"/>
      <c r="I29" s="60"/>
      <c r="J29" s="60"/>
      <c r="K29" s="64"/>
      <c r="L29" s="60"/>
      <c r="M29" s="60"/>
      <c r="N29" s="60"/>
      <c r="O29" s="60"/>
      <c r="P29" s="60"/>
      <c r="Q29" s="65"/>
      <c r="R29" s="60"/>
      <c r="S29" s="60"/>
    </row>
    <row r="30" spans="1:19" x14ac:dyDescent="0.3">
      <c r="A30" s="45"/>
      <c r="B30" s="44">
        <f>Lab_Code!$C$1</f>
        <v>999</v>
      </c>
      <c r="C30" s="44" t="s">
        <v>239</v>
      </c>
      <c r="D30" s="60"/>
      <c r="E30" s="60"/>
      <c r="F30" s="60"/>
      <c r="G30" s="60"/>
      <c r="H30" s="60"/>
      <c r="I30" s="60"/>
      <c r="J30" s="60"/>
      <c r="K30" s="64"/>
      <c r="L30" s="60"/>
      <c r="M30" s="60"/>
      <c r="N30" s="60"/>
      <c r="O30" s="60"/>
      <c r="P30" s="60"/>
      <c r="Q30" s="65"/>
      <c r="R30" s="60"/>
      <c r="S30" s="60"/>
    </row>
    <row r="31" spans="1:19" x14ac:dyDescent="0.3">
      <c r="A31" s="45"/>
      <c r="B31" s="44">
        <f>Lab_Code!$C$1</f>
        <v>999</v>
      </c>
      <c r="C31" s="44" t="s">
        <v>239</v>
      </c>
      <c r="D31" s="60"/>
      <c r="E31" s="60"/>
      <c r="F31" s="60"/>
      <c r="G31" s="60"/>
      <c r="H31" s="60"/>
      <c r="I31" s="60"/>
      <c r="J31" s="60"/>
      <c r="K31" s="64"/>
      <c r="L31" s="60"/>
      <c r="M31" s="60"/>
      <c r="N31" s="60"/>
      <c r="O31" s="60"/>
      <c r="P31" s="60"/>
      <c r="Q31" s="65"/>
      <c r="R31" s="60"/>
      <c r="S31" s="60"/>
    </row>
    <row r="32" spans="1:19" x14ac:dyDescent="0.3">
      <c r="A32" s="45"/>
      <c r="B32" s="44">
        <f>Lab_Code!$C$1</f>
        <v>999</v>
      </c>
      <c r="C32" s="44" t="s">
        <v>239</v>
      </c>
      <c r="D32" s="60"/>
      <c r="E32" s="60"/>
      <c r="F32" s="60"/>
      <c r="G32" s="60"/>
      <c r="H32" s="60"/>
      <c r="I32" s="60"/>
      <c r="J32" s="60"/>
      <c r="K32" s="64"/>
      <c r="L32" s="60"/>
      <c r="M32" s="60"/>
      <c r="N32" s="60"/>
      <c r="O32" s="60"/>
      <c r="P32" s="60"/>
      <c r="Q32" s="65"/>
      <c r="R32" s="60"/>
      <c r="S32" s="60"/>
    </row>
    <row r="33" spans="2:19" x14ac:dyDescent="0.3">
      <c r="B33" s="44">
        <f>Lab_Code!$C$1</f>
        <v>999</v>
      </c>
      <c r="C33" s="44" t="s">
        <v>239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5"/>
      <c r="R33" s="60"/>
      <c r="S33" s="60"/>
    </row>
    <row r="34" spans="2:19" x14ac:dyDescent="0.3">
      <c r="B34" s="44">
        <f>Lab_Code!$C$1</f>
        <v>999</v>
      </c>
      <c r="C34" s="44" t="s">
        <v>239</v>
      </c>
      <c r="D34" s="60"/>
      <c r="E34" s="60"/>
      <c r="F34" s="60"/>
      <c r="G34" s="60"/>
      <c r="H34" s="60"/>
      <c r="I34" s="60"/>
      <c r="J34" s="60"/>
      <c r="K34" s="64"/>
      <c r="L34" s="60"/>
      <c r="M34" s="60"/>
      <c r="N34" s="60"/>
      <c r="O34" s="60"/>
      <c r="P34" s="60"/>
      <c r="Q34" s="65"/>
      <c r="R34" s="60"/>
      <c r="S34" s="60"/>
    </row>
    <row r="35" spans="2:19" x14ac:dyDescent="0.3">
      <c r="B35" s="44">
        <f>Lab_Code!$C$1</f>
        <v>999</v>
      </c>
      <c r="C35" s="44" t="s">
        <v>239</v>
      </c>
      <c r="D35" s="60"/>
      <c r="E35" s="60"/>
      <c r="F35" s="60"/>
      <c r="G35" s="60"/>
      <c r="H35" s="60"/>
      <c r="I35" s="60"/>
      <c r="J35" s="60"/>
      <c r="K35" s="64"/>
      <c r="L35" s="60"/>
      <c r="M35" s="60"/>
      <c r="N35" s="60"/>
      <c r="O35" s="60"/>
      <c r="P35" s="60"/>
      <c r="Q35" s="66"/>
      <c r="R35" s="60"/>
      <c r="S35" s="60"/>
    </row>
    <row r="36" spans="2:19" x14ac:dyDescent="0.3">
      <c r="B36" s="44">
        <f>Lab_Code!$C$1</f>
        <v>999</v>
      </c>
      <c r="C36" s="44" t="s">
        <v>239</v>
      </c>
      <c r="D36" s="60"/>
      <c r="E36" s="60"/>
      <c r="F36" s="60"/>
      <c r="G36" s="60"/>
      <c r="H36" s="60"/>
      <c r="I36" s="60"/>
      <c r="J36" s="60"/>
      <c r="K36" s="64"/>
      <c r="L36" s="60"/>
      <c r="M36" s="60"/>
      <c r="N36" s="60"/>
      <c r="O36" s="60"/>
      <c r="P36" s="60"/>
      <c r="Q36" s="65"/>
      <c r="R36" s="60"/>
      <c r="S36" s="60"/>
    </row>
    <row r="37" spans="2:19" x14ac:dyDescent="0.3">
      <c r="B37" s="44">
        <f>Lab_Code!$C$1</f>
        <v>999</v>
      </c>
      <c r="C37" s="44" t="s">
        <v>239</v>
      </c>
      <c r="D37" s="60"/>
      <c r="E37" s="60"/>
      <c r="F37" s="60"/>
      <c r="G37" s="60"/>
      <c r="H37" s="60"/>
      <c r="I37" s="60"/>
      <c r="J37" s="60"/>
      <c r="K37" s="64"/>
      <c r="L37" s="60"/>
      <c r="M37" s="60"/>
      <c r="N37" s="60"/>
      <c r="O37" s="60"/>
      <c r="P37" s="60"/>
      <c r="Q37" s="65"/>
      <c r="R37" s="60"/>
      <c r="S37" s="60"/>
    </row>
    <row r="38" spans="2:19" x14ac:dyDescent="0.3">
      <c r="B38" s="44">
        <f>Lab_Code!$C$1</f>
        <v>999</v>
      </c>
      <c r="C38" s="44" t="s">
        <v>239</v>
      </c>
      <c r="D38" s="60"/>
      <c r="E38" s="60"/>
      <c r="F38" s="60"/>
      <c r="G38" s="60"/>
      <c r="H38" s="60"/>
      <c r="I38" s="60"/>
      <c r="J38" s="60"/>
      <c r="K38" s="64"/>
      <c r="L38" s="60"/>
      <c r="M38" s="60"/>
      <c r="N38" s="60"/>
      <c r="O38" s="60"/>
      <c r="P38" s="60"/>
      <c r="Q38" s="65"/>
      <c r="R38" s="60"/>
      <c r="S38" s="60"/>
    </row>
    <row r="39" spans="2:19" x14ac:dyDescent="0.3">
      <c r="B39" s="44">
        <f>Lab_Code!$C$1</f>
        <v>999</v>
      </c>
      <c r="C39" s="44" t="s">
        <v>239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5"/>
      <c r="R39" s="60"/>
      <c r="S39" s="60"/>
    </row>
    <row r="40" spans="2:19" x14ac:dyDescent="0.3">
      <c r="B40" s="44">
        <f>Lab_Code!$C$1</f>
        <v>999</v>
      </c>
      <c r="C40" s="44" t="s">
        <v>239</v>
      </c>
      <c r="D40" s="60"/>
      <c r="E40" s="60"/>
      <c r="F40" s="60"/>
      <c r="G40" s="60"/>
      <c r="H40" s="60"/>
      <c r="I40" s="60"/>
      <c r="J40" s="60"/>
      <c r="K40" s="64"/>
      <c r="L40" s="60"/>
      <c r="M40" s="60"/>
      <c r="N40" s="60"/>
      <c r="O40" s="60"/>
      <c r="P40" s="60"/>
      <c r="Q40" s="65"/>
      <c r="R40" s="60"/>
      <c r="S40" s="60"/>
    </row>
    <row r="41" spans="2:19" x14ac:dyDescent="0.3">
      <c r="B41" s="44">
        <f>Lab_Code!$C$1</f>
        <v>999</v>
      </c>
      <c r="C41" s="44" t="s">
        <v>239</v>
      </c>
      <c r="D41" s="60"/>
      <c r="E41" s="60"/>
      <c r="F41" s="60"/>
      <c r="G41" s="60"/>
      <c r="H41" s="60"/>
      <c r="I41" s="60"/>
      <c r="J41" s="60"/>
      <c r="K41" s="64"/>
      <c r="L41" s="60"/>
      <c r="M41" s="60"/>
      <c r="N41" s="60"/>
      <c r="O41" s="60"/>
      <c r="P41" s="60"/>
      <c r="Q41" s="65"/>
      <c r="R41" s="60"/>
      <c r="S41" s="60"/>
    </row>
    <row r="42" spans="2:19" x14ac:dyDescent="0.3">
      <c r="B42" s="44">
        <f>Lab_Code!$C$1</f>
        <v>999</v>
      </c>
      <c r="C42" s="44" t="s">
        <v>239</v>
      </c>
      <c r="D42" s="60"/>
      <c r="E42" s="60"/>
      <c r="F42" s="60"/>
      <c r="G42" s="60"/>
      <c r="H42" s="60"/>
      <c r="I42" s="60"/>
      <c r="J42" s="60"/>
      <c r="K42" s="64"/>
      <c r="L42" s="60"/>
      <c r="M42" s="60"/>
      <c r="N42" s="60"/>
      <c r="O42" s="60"/>
      <c r="P42" s="60"/>
      <c r="Q42" s="65"/>
      <c r="R42" s="60"/>
      <c r="S42" s="60"/>
    </row>
    <row r="43" spans="2:19" x14ac:dyDescent="0.3">
      <c r="B43" s="44">
        <f>Lab_Code!$C$1</f>
        <v>999</v>
      </c>
      <c r="C43" s="44" t="s">
        <v>239</v>
      </c>
      <c r="D43" s="60"/>
      <c r="E43" s="60"/>
      <c r="F43" s="60"/>
      <c r="G43" s="60"/>
      <c r="H43" s="60"/>
      <c r="I43" s="60"/>
      <c r="J43" s="60"/>
      <c r="K43" s="64"/>
      <c r="L43" s="60"/>
      <c r="M43" s="60"/>
      <c r="N43" s="60"/>
      <c r="O43" s="60"/>
      <c r="P43" s="60"/>
      <c r="Q43" s="65"/>
      <c r="R43" s="60"/>
      <c r="S43" s="60"/>
    </row>
    <row r="44" spans="2:19" x14ac:dyDescent="0.3">
      <c r="B44" s="44">
        <f>Lab_Code!$C$1</f>
        <v>999</v>
      </c>
      <c r="C44" s="44" t="s">
        <v>239</v>
      </c>
      <c r="D44" s="60"/>
      <c r="E44" s="60"/>
      <c r="F44" s="60"/>
      <c r="G44" s="60"/>
      <c r="H44" s="60"/>
      <c r="I44" s="60"/>
      <c r="J44" s="60"/>
      <c r="K44" s="64"/>
      <c r="L44" s="60"/>
      <c r="M44" s="60"/>
      <c r="N44" s="60"/>
      <c r="O44" s="60"/>
      <c r="P44" s="60"/>
      <c r="Q44" s="66"/>
      <c r="R44" s="60"/>
      <c r="S44" s="60"/>
    </row>
    <row r="45" spans="2:19" x14ac:dyDescent="0.3">
      <c r="B45" s="44">
        <f>Lab_Code!$C$1</f>
        <v>999</v>
      </c>
      <c r="C45" s="44" t="s">
        <v>239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5"/>
      <c r="R45" s="60"/>
      <c r="S45" s="60"/>
    </row>
    <row r="46" spans="2:19" x14ac:dyDescent="0.3">
      <c r="B46" s="44">
        <f>Lab_Code!$C$1</f>
        <v>999</v>
      </c>
      <c r="C46" s="44" t="s">
        <v>239</v>
      </c>
      <c r="D46" s="60"/>
      <c r="E46" s="60"/>
      <c r="F46" s="60"/>
      <c r="G46" s="60"/>
      <c r="H46" s="60"/>
      <c r="I46" s="60"/>
      <c r="J46" s="60"/>
      <c r="K46" s="64"/>
      <c r="L46" s="60"/>
      <c r="M46" s="60"/>
      <c r="N46" s="60"/>
      <c r="O46" s="60"/>
      <c r="P46" s="60"/>
      <c r="Q46" s="65"/>
      <c r="R46" s="60"/>
      <c r="S46" s="60"/>
    </row>
    <row r="47" spans="2:19" x14ac:dyDescent="0.3">
      <c r="B47" s="44">
        <f>Lab_Code!$C$1</f>
        <v>999</v>
      </c>
      <c r="C47" s="44" t="s">
        <v>239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5"/>
      <c r="R47" s="60"/>
      <c r="S47" s="60"/>
    </row>
    <row r="48" spans="2:19" x14ac:dyDescent="0.3">
      <c r="B48" s="44">
        <f>Lab_Code!$C$1</f>
        <v>999</v>
      </c>
      <c r="C48" s="44" t="s">
        <v>239</v>
      </c>
      <c r="D48" s="60"/>
      <c r="E48" s="60"/>
      <c r="F48" s="60"/>
      <c r="G48" s="60"/>
      <c r="H48" s="60"/>
      <c r="I48" s="60"/>
      <c r="J48" s="60"/>
      <c r="K48" s="64"/>
      <c r="L48" s="60"/>
      <c r="M48" s="60"/>
      <c r="N48" s="60"/>
      <c r="O48" s="60"/>
      <c r="P48" s="60"/>
      <c r="Q48" s="65"/>
      <c r="R48" s="60"/>
      <c r="S48" s="60"/>
    </row>
    <row r="49" spans="2:19" x14ac:dyDescent="0.3">
      <c r="B49" s="44">
        <f>Lab_Code!$C$1</f>
        <v>999</v>
      </c>
      <c r="C49" s="44" t="s">
        <v>239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5"/>
      <c r="R49" s="60"/>
      <c r="S49" s="60"/>
    </row>
    <row r="50" spans="2:19" x14ac:dyDescent="0.3">
      <c r="B50" s="44">
        <f>Lab_Code!$C$1</f>
        <v>999</v>
      </c>
      <c r="C50" s="44" t="s">
        <v>239</v>
      </c>
      <c r="D50" s="60"/>
      <c r="E50" s="60"/>
      <c r="F50" s="60"/>
      <c r="G50" s="60"/>
      <c r="H50" s="60"/>
      <c r="I50" s="60"/>
      <c r="J50" s="60"/>
      <c r="K50" s="64"/>
      <c r="L50" s="60"/>
      <c r="M50" s="60"/>
      <c r="N50" s="60"/>
      <c r="O50" s="60"/>
      <c r="P50" s="60"/>
      <c r="Q50" s="65"/>
      <c r="R50" s="60"/>
      <c r="S50" s="60"/>
    </row>
  </sheetData>
  <customSheetViews>
    <customSheetView guid="{95CD56FE-1162-4AE7-88D2-9EB3DF57F0D2}" hiddenColumns="1">
      <selection activeCell="A11" sqref="A11"/>
      <pageMargins left="0.7" right="0.7" top="0.75" bottom="0.75" header="0.3" footer="0.3"/>
      <pageSetup orientation="portrait" verticalDpi="0" r:id="rId1"/>
    </customSheetView>
  </customSheetViews>
  <mergeCells count="2">
    <mergeCell ref="N1:P1"/>
    <mergeCell ref="K1:M1"/>
  </mergeCells>
  <conditionalFormatting sqref="D5:E23">
    <cfRule type="expression" dxfId="5" priority="3">
      <formula>MOD(ROW(),2)=0</formula>
    </cfRule>
  </conditionalFormatting>
  <conditionalFormatting sqref="R5:S22 F23:S23 D24:S50 F5:P22">
    <cfRule type="expression" dxfId="24" priority="5">
      <formula>MOD(ROW(),2)=0</formula>
    </cfRule>
  </conditionalFormatting>
  <conditionalFormatting sqref="Q5:Q16">
    <cfRule type="expression" dxfId="23" priority="1">
      <formula>MOD(ROW(),2)=0</formula>
    </cfRule>
  </conditionalFormatting>
  <dataValidations xWindow="1003" yWindow="408" count="4">
    <dataValidation type="decimal" operator="greaterThanOrEqual" allowBlank="1" showInputMessage="1" showErrorMessage="1" errorTitle="Conc_std (for Standard Curves)" error="Please enter a number no less than 0" sqref="Q4:Q16 Q23:Q50">
      <formula1>0</formula1>
    </dataValidation>
    <dataValidation type="list" allowBlank="1" showInputMessage="1" showErrorMessage="1" sqref="N4:P50">
      <formula1>"TRUE, FALSE, NA"</formula1>
    </dataValidation>
    <dataValidation type="custom" allowBlank="1" showInputMessage="1" showErrorMessage="1" errorTitle="Technical_Replicate_1_CycleNo" error="Please enter an integer or &quot;Max&quot;" promptTitle="ATTENTION" prompt="Please enter a number. If maximum cycle number was reached, enter &quot;Max&quot;" sqref="K4:M50">
      <formula1>OR(ISNUMBER(K4), K4 = "Max")</formula1>
    </dataValidation>
    <dataValidation type="list" allowBlank="1" showInputMessage="1" showErrorMessage="1" sqref="I5:I50">
      <formula1>IF(OR(H5="Influenza A", H5= "Influenza B", H5= "RSV", H5= "RSV A", H5= "RSV B"),influenza_rsv,long_list)</formula1>
    </dataValidation>
  </dataValidations>
  <pageMargins left="0.7" right="0.7" top="1.5" bottom="0.75" header="0.3" footer="0.3"/>
  <pageSetup scale="74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3"/>
  <extLst>
    <ext xmlns:x14="http://schemas.microsoft.com/office/spreadsheetml/2009/9/main" uri="{CCE6A557-97BC-4b89-ADB6-D9C93CAAB3DF}">
      <x14:dataValidations xmlns:xm="http://schemas.microsoft.com/office/excel/2006/main" xWindow="1003" yWindow="408" count="8">
        <x14:dataValidation type="list" allowBlank="1" showInputMessage="1" showErrorMessage="1">
          <x14:formula1>
            <xm:f>Dropdown_Data!$V$2:$V$11</xm:f>
          </x14:formula1>
          <xm:sqref>D4:D50 E5:E22</xm:sqref>
        </x14:dataValidation>
        <x14:dataValidation type="list" allowBlank="1" showInputMessage="1" showErrorMessage="1">
          <x14:formula1>
            <xm:f>Dropdown_Data!$H$2:$H$37</xm:f>
          </x14:formula1>
          <xm:sqref>I4</xm:sqref>
        </x14:dataValidation>
        <x14:dataValidation type="list" allowBlank="1" showInputMessage="1" showErrorMessage="1">
          <x14:formula1>
            <xm:f>Dropdown_Data!$E$2:$E$4</xm:f>
          </x14:formula1>
          <xm:sqref>G4</xm:sqref>
        </x14:dataValidation>
        <x14:dataValidation type="list" allowBlank="1" showInputMessage="1" showErrorMessage="1">
          <x14:formula1>
            <xm:f>Dropdown_Data!$M$2:$M$5</xm:f>
          </x14:formula1>
          <xm:sqref>R4:R50</xm:sqref>
        </x14:dataValidation>
        <x14:dataValidation type="list" allowBlank="1" showInputMessage="1" showErrorMessage="1">
          <x14:formula1>
            <xm:f>Dropdown_Data!$J$2:$J$5</xm:f>
          </x14:formula1>
          <xm:sqref>J4:J50</xm:sqref>
        </x14:dataValidation>
        <x14:dataValidation type="list" allowBlank="1" showInputMessage="1" showErrorMessage="1">
          <x14:formula1>
            <xm:f>Dropdown_Data!$F$2:$F$25</xm:f>
          </x14:formula1>
          <xm:sqref>H4:H50</xm:sqref>
        </x14:dataValidation>
        <x14:dataValidation type="list" allowBlank="1" showInputMessage="1" showErrorMessage="1">
          <x14:formula1>
            <xm:f>Dropdown_Data!$Q$2:$Q$11</xm:f>
          </x14:formula1>
          <xm:sqref>F4:F50</xm:sqref>
        </x14:dataValidation>
        <x14:dataValidation type="list" allowBlank="1" showInputMessage="1" showErrorMessage="1" prompt="Spike administered at Point A or B or N (No Spike) ">
          <x14:formula1>
            <xm:f>Dropdown_Data!$E$2:$E$4</xm:f>
          </x14:formula1>
          <xm:sqref>G5:G50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0.39997558519241921"/>
  </sheetPr>
  <dimension ref="A1:AA9"/>
  <sheetViews>
    <sheetView topLeftCell="Q1" zoomScaleNormal="100" workbookViewId="0">
      <selection activeCell="V19" sqref="V19"/>
    </sheetView>
  </sheetViews>
  <sheetFormatPr defaultColWidth="8.77734375" defaultRowHeight="14.4" x14ac:dyDescent="0.3"/>
  <cols>
    <col min="1" max="1" width="11.44140625" style="38" bestFit="1" customWidth="1"/>
    <col min="2" max="2" width="6.77734375" style="38" bestFit="1" customWidth="1"/>
    <col min="3" max="3" width="13.77734375" style="38" bestFit="1" customWidth="1"/>
    <col min="4" max="4" width="13.109375" style="38" customWidth="1"/>
    <col min="5" max="5" width="14" style="38" customWidth="1"/>
    <col min="6" max="6" width="15.44140625" style="38" customWidth="1"/>
    <col min="7" max="7" width="17.44140625" style="38" customWidth="1"/>
    <col min="8" max="8" width="20.44140625" style="38" customWidth="1"/>
    <col min="9" max="9" width="5.109375" style="38" customWidth="1"/>
    <col min="10" max="10" width="27.77734375" style="38" customWidth="1"/>
    <col min="11" max="12" width="5.109375" style="38" customWidth="1"/>
    <col min="13" max="13" width="30" style="38" customWidth="1"/>
    <col min="14" max="15" width="5.109375" style="38" customWidth="1"/>
    <col min="16" max="16" width="39.77734375" style="38" customWidth="1"/>
    <col min="17" max="17" width="5.109375" style="38" customWidth="1"/>
    <col min="18" max="18" width="22.109375" style="38" customWidth="1"/>
    <col min="19" max="19" width="14" style="38" customWidth="1"/>
    <col min="20" max="22" width="18.44140625" style="38" customWidth="1"/>
    <col min="23" max="23" width="11.44140625" style="38" customWidth="1"/>
    <col min="24" max="24" width="7.44140625" style="38" customWidth="1"/>
    <col min="25" max="25" width="6.77734375" style="38" customWidth="1"/>
    <col min="26" max="26" width="12.44140625" style="38" bestFit="1" customWidth="1"/>
    <col min="27" max="27" width="52.44140625" style="38" customWidth="1"/>
    <col min="28" max="16384" width="8.77734375" style="38"/>
  </cols>
  <sheetData>
    <row r="1" spans="1:27" ht="24.75" customHeight="1" x14ac:dyDescent="0.3">
      <c r="A1"/>
      <c r="B1"/>
      <c r="C1"/>
      <c r="D1"/>
      <c r="E1"/>
      <c r="F1"/>
      <c r="G1"/>
      <c r="H1"/>
      <c r="I1" s="246" t="s">
        <v>419</v>
      </c>
      <c r="J1" s="246"/>
      <c r="K1" s="246"/>
      <c r="L1" s="247" t="s">
        <v>420</v>
      </c>
      <c r="M1" s="247"/>
      <c r="N1" s="247"/>
      <c r="O1" s="246" t="s">
        <v>421</v>
      </c>
      <c r="P1" s="246"/>
      <c r="Q1" s="246"/>
      <c r="R1"/>
      <c r="S1"/>
      <c r="T1"/>
      <c r="U1"/>
      <c r="V1"/>
      <c r="W1"/>
      <c r="X1"/>
      <c r="Y1"/>
      <c r="Z1"/>
    </row>
    <row r="2" spans="1:27" s="71" customFormat="1" ht="33.75" customHeight="1" x14ac:dyDescent="0.3">
      <c r="A2" s="2"/>
      <c r="B2" s="67" t="s">
        <v>34</v>
      </c>
      <c r="C2" s="47" t="s">
        <v>269</v>
      </c>
      <c r="D2" s="47" t="s">
        <v>2</v>
      </c>
      <c r="E2" s="47" t="s">
        <v>3</v>
      </c>
      <c r="F2" s="47" t="s">
        <v>681</v>
      </c>
      <c r="G2" s="47" t="s">
        <v>222</v>
      </c>
      <c r="H2" s="47" t="s">
        <v>448</v>
      </c>
      <c r="I2" s="67" t="s">
        <v>440</v>
      </c>
      <c r="J2" s="67" t="s">
        <v>424</v>
      </c>
      <c r="K2" s="70" t="s">
        <v>441</v>
      </c>
      <c r="L2" s="67" t="s">
        <v>442</v>
      </c>
      <c r="M2" s="67" t="s">
        <v>428</v>
      </c>
      <c r="N2" s="70" t="s">
        <v>443</v>
      </c>
      <c r="O2" s="67" t="s">
        <v>444</v>
      </c>
      <c r="P2" s="67" t="s">
        <v>450</v>
      </c>
      <c r="Q2" s="70" t="s">
        <v>445</v>
      </c>
      <c r="R2" s="72" t="s">
        <v>145</v>
      </c>
      <c r="S2" s="47" t="s">
        <v>144</v>
      </c>
      <c r="T2" s="47" t="s">
        <v>137</v>
      </c>
      <c r="U2" s="47" t="s">
        <v>139</v>
      </c>
      <c r="V2" s="47" t="s">
        <v>138</v>
      </c>
      <c r="W2" s="47" t="s">
        <v>238</v>
      </c>
      <c r="X2" s="72" t="s">
        <v>142</v>
      </c>
      <c r="Y2" s="47" t="s">
        <v>140</v>
      </c>
      <c r="Z2" s="47" t="s">
        <v>141</v>
      </c>
      <c r="AA2" s="73" t="s">
        <v>6</v>
      </c>
    </row>
    <row r="3" spans="1:27" x14ac:dyDescent="0.3">
      <c r="A3" s="189" t="s">
        <v>128</v>
      </c>
      <c r="B3" s="17">
        <v>99</v>
      </c>
      <c r="C3" s="17" t="s">
        <v>113</v>
      </c>
      <c r="D3" s="17" t="s">
        <v>10</v>
      </c>
      <c r="E3" s="17" t="s">
        <v>11</v>
      </c>
      <c r="F3" s="17"/>
      <c r="G3" s="17" t="s">
        <v>220</v>
      </c>
      <c r="H3" s="17" t="s">
        <v>426</v>
      </c>
      <c r="I3" s="68" t="s">
        <v>422</v>
      </c>
      <c r="J3" s="49" t="s">
        <v>425</v>
      </c>
      <c r="K3" s="17" t="s">
        <v>423</v>
      </c>
      <c r="L3" s="68" t="s">
        <v>422</v>
      </c>
      <c r="M3" s="49" t="s">
        <v>439</v>
      </c>
      <c r="N3" s="17" t="s">
        <v>423</v>
      </c>
      <c r="O3" s="68" t="s">
        <v>422</v>
      </c>
      <c r="P3" s="49" t="s">
        <v>446</v>
      </c>
      <c r="Q3" s="17" t="s">
        <v>423</v>
      </c>
      <c r="R3" s="17" t="s">
        <v>146</v>
      </c>
      <c r="S3" s="17">
        <v>100</v>
      </c>
      <c r="T3" s="17" t="s">
        <v>135</v>
      </c>
      <c r="U3" s="17" t="s">
        <v>135</v>
      </c>
      <c r="V3" s="17" t="s">
        <v>135</v>
      </c>
      <c r="W3" s="17">
        <v>36</v>
      </c>
      <c r="X3" s="17">
        <v>0.998</v>
      </c>
      <c r="Y3" s="17">
        <v>-3.57</v>
      </c>
      <c r="Z3" s="17">
        <v>100</v>
      </c>
      <c r="AA3" s="17"/>
    </row>
    <row r="4" spans="1:27" x14ac:dyDescent="0.3">
      <c r="A4" s="190" t="s">
        <v>326</v>
      </c>
      <c r="B4" s="44">
        <f>Lab_Code!$C$1</f>
        <v>999</v>
      </c>
      <c r="C4" s="60" t="s">
        <v>113</v>
      </c>
      <c r="D4" s="60" t="s">
        <v>10</v>
      </c>
      <c r="E4" s="60" t="s">
        <v>11</v>
      </c>
      <c r="F4" s="60" t="s">
        <v>117</v>
      </c>
      <c r="G4" s="60" t="s">
        <v>220</v>
      </c>
      <c r="H4" s="60" t="s">
        <v>426</v>
      </c>
      <c r="I4" s="69" t="s">
        <v>422</v>
      </c>
      <c r="J4" s="65"/>
      <c r="K4" s="44" t="s">
        <v>423</v>
      </c>
      <c r="L4" s="69" t="s">
        <v>422</v>
      </c>
      <c r="M4" s="65"/>
      <c r="N4" s="44" t="s">
        <v>423</v>
      </c>
      <c r="O4" s="69" t="s">
        <v>422</v>
      </c>
      <c r="P4" s="65"/>
      <c r="Q4" s="44" t="s">
        <v>423</v>
      </c>
      <c r="R4" s="60" t="s">
        <v>146</v>
      </c>
      <c r="S4" s="60"/>
      <c r="T4" s="60"/>
      <c r="U4" s="60"/>
      <c r="V4" s="60"/>
      <c r="W4" s="60">
        <v>38.5</v>
      </c>
      <c r="X4" s="210">
        <v>0.99731108580642802</v>
      </c>
      <c r="Y4" s="60">
        <v>-3.4</v>
      </c>
      <c r="Z4" s="209">
        <v>98</v>
      </c>
      <c r="AA4" s="60"/>
    </row>
    <row r="5" spans="1:27" x14ac:dyDescent="0.3">
      <c r="B5" s="44">
        <f>Lab_Code!$C$1</f>
        <v>999</v>
      </c>
      <c r="C5" s="60" t="s">
        <v>113</v>
      </c>
      <c r="D5" s="60" t="s">
        <v>10</v>
      </c>
      <c r="E5" s="60" t="s">
        <v>14</v>
      </c>
      <c r="F5" s="60" t="s">
        <v>117</v>
      </c>
      <c r="G5" s="60" t="s">
        <v>220</v>
      </c>
      <c r="H5" s="60" t="s">
        <v>426</v>
      </c>
      <c r="I5" s="69" t="s">
        <v>422</v>
      </c>
      <c r="J5" s="65"/>
      <c r="K5" s="44" t="s">
        <v>423</v>
      </c>
      <c r="L5" s="69" t="s">
        <v>422</v>
      </c>
      <c r="M5" s="65"/>
      <c r="N5" s="44" t="s">
        <v>423</v>
      </c>
      <c r="O5" s="69" t="s">
        <v>422</v>
      </c>
      <c r="P5" s="65"/>
      <c r="Q5" s="44" t="s">
        <v>423</v>
      </c>
      <c r="R5" s="60" t="s">
        <v>146</v>
      </c>
      <c r="S5" s="60"/>
      <c r="T5" s="60"/>
      <c r="U5" s="60"/>
      <c r="V5" s="60"/>
      <c r="W5" s="60">
        <v>39</v>
      </c>
      <c r="X5" s="177">
        <v>0.99483977466983398</v>
      </c>
      <c r="Y5" s="60">
        <v>-3.3</v>
      </c>
      <c r="Z5" s="60">
        <v>101</v>
      </c>
      <c r="AA5" s="60"/>
    </row>
    <row r="6" spans="1:27" x14ac:dyDescent="0.3">
      <c r="B6" s="44">
        <f>Lab_Code!$C$1</f>
        <v>999</v>
      </c>
      <c r="C6" s="60" t="s">
        <v>113</v>
      </c>
      <c r="D6" s="60" t="s">
        <v>17</v>
      </c>
      <c r="E6" s="60"/>
      <c r="F6" s="60" t="s">
        <v>117</v>
      </c>
      <c r="G6" s="60" t="s">
        <v>403</v>
      </c>
      <c r="H6" s="60" t="s">
        <v>426</v>
      </c>
      <c r="I6" s="69" t="s">
        <v>422</v>
      </c>
      <c r="J6" s="65"/>
      <c r="K6" s="44" t="s">
        <v>423</v>
      </c>
      <c r="L6" s="69" t="s">
        <v>422</v>
      </c>
      <c r="M6" s="65"/>
      <c r="N6" s="44" t="s">
        <v>423</v>
      </c>
      <c r="O6" s="69" t="s">
        <v>422</v>
      </c>
      <c r="P6" s="65"/>
      <c r="Q6" s="44" t="s">
        <v>423</v>
      </c>
      <c r="R6" s="60" t="s">
        <v>146</v>
      </c>
      <c r="S6" s="207"/>
      <c r="T6" s="60"/>
      <c r="U6" s="60"/>
      <c r="V6" s="60"/>
      <c r="W6" s="204">
        <v>40.700000000000003</v>
      </c>
      <c r="X6" s="209">
        <v>0.999</v>
      </c>
      <c r="Y6" s="204">
        <v>-3.4</v>
      </c>
      <c r="Z6" s="208">
        <v>96</v>
      </c>
      <c r="AA6" s="60"/>
    </row>
    <row r="7" spans="1:27" x14ac:dyDescent="0.3">
      <c r="B7" s="44">
        <f>Lab_Code!$C$1</f>
        <v>999</v>
      </c>
      <c r="C7" s="60" t="s">
        <v>113</v>
      </c>
      <c r="D7" s="60"/>
      <c r="E7" s="60"/>
      <c r="F7" s="60"/>
      <c r="G7" s="60"/>
      <c r="H7" s="60"/>
      <c r="I7" s="69" t="s">
        <v>422</v>
      </c>
      <c r="J7" s="65"/>
      <c r="K7" s="44" t="s">
        <v>423</v>
      </c>
      <c r="L7" s="69" t="s">
        <v>422</v>
      </c>
      <c r="M7" s="65"/>
      <c r="N7" s="44" t="s">
        <v>423</v>
      </c>
      <c r="O7" s="69" t="s">
        <v>422</v>
      </c>
      <c r="P7" s="65"/>
      <c r="Q7" s="44" t="s">
        <v>423</v>
      </c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x14ac:dyDescent="0.3">
      <c r="B8" s="44">
        <f>Lab_Code!$C$1</f>
        <v>999</v>
      </c>
      <c r="C8" s="60"/>
      <c r="D8" s="60"/>
      <c r="E8" s="60"/>
      <c r="F8" s="60"/>
      <c r="G8" s="60"/>
      <c r="H8" s="60"/>
      <c r="I8" s="69" t="s">
        <v>422</v>
      </c>
      <c r="J8" s="65"/>
      <c r="K8" s="44" t="s">
        <v>423</v>
      </c>
      <c r="L8" s="69" t="s">
        <v>422</v>
      </c>
      <c r="M8" s="65"/>
      <c r="N8" s="44" t="s">
        <v>423</v>
      </c>
      <c r="O8" s="69" t="s">
        <v>422</v>
      </c>
      <c r="P8" s="65"/>
      <c r="Q8" s="44" t="s">
        <v>423</v>
      </c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x14ac:dyDescent="0.3">
      <c r="B9" s="44">
        <f>Lab_Code!$C$1</f>
        <v>999</v>
      </c>
      <c r="C9" s="60"/>
      <c r="D9" s="60"/>
      <c r="E9" s="60"/>
      <c r="F9" s="60"/>
      <c r="G9" s="60"/>
      <c r="H9" s="60"/>
      <c r="I9" s="69" t="s">
        <v>422</v>
      </c>
      <c r="J9" s="65"/>
      <c r="K9" s="44" t="s">
        <v>423</v>
      </c>
      <c r="L9" s="69" t="s">
        <v>422</v>
      </c>
      <c r="M9" s="65"/>
      <c r="N9" s="44" t="s">
        <v>423</v>
      </c>
      <c r="O9" s="69" t="s">
        <v>422</v>
      </c>
      <c r="P9" s="65"/>
      <c r="Q9" s="44" t="s">
        <v>423</v>
      </c>
      <c r="R9" s="60"/>
      <c r="S9" s="60"/>
      <c r="T9" s="60"/>
      <c r="U9" s="60"/>
      <c r="V9" s="60"/>
      <c r="W9" s="60"/>
      <c r="X9" s="60"/>
      <c r="Y9" s="60"/>
      <c r="Z9" s="60"/>
      <c r="AA9" s="60"/>
    </row>
  </sheetData>
  <customSheetViews>
    <customSheetView guid="{95CD56FE-1162-4AE7-88D2-9EB3DF57F0D2}" hiddenRows="1">
      <selection activeCell="F35" sqref="F35"/>
      <pageMargins left="0.7" right="0.7" top="0.75" bottom="0.75" header="0.3" footer="0.3"/>
      <pageSetup orientation="portrait" verticalDpi="0" r:id="rId1"/>
    </customSheetView>
  </customSheetViews>
  <mergeCells count="3">
    <mergeCell ref="I1:K1"/>
    <mergeCell ref="L1:N1"/>
    <mergeCell ref="O1:Q1"/>
  </mergeCells>
  <conditionalFormatting sqref="C4:H9">
    <cfRule type="expression" dxfId="22" priority="7">
      <formula>MOD(ROW(),2)=0</formula>
    </cfRule>
  </conditionalFormatting>
  <conditionalFormatting sqref="J4:J9">
    <cfRule type="expression" dxfId="21" priority="4">
      <formula>MOD(ROW(),2)=0</formula>
    </cfRule>
  </conditionalFormatting>
  <conditionalFormatting sqref="M4:M9">
    <cfRule type="expression" dxfId="20" priority="3">
      <formula>MOD(ROW(),2)=0</formula>
    </cfRule>
  </conditionalFormatting>
  <conditionalFormatting sqref="P4:P9">
    <cfRule type="expression" dxfId="19" priority="2">
      <formula>MOD(ROW(),2)=0</formula>
    </cfRule>
  </conditionalFormatting>
  <conditionalFormatting sqref="R4:W9">
    <cfRule type="expression" dxfId="18" priority="1">
      <formula>MOD(ROW(),2)=0</formula>
    </cfRule>
  </conditionalFormatting>
  <conditionalFormatting sqref="X4:X9">
    <cfRule type="expression" dxfId="17" priority="12">
      <formula>OR($X4&lt;0.975, $X4 &gt;1)</formula>
    </cfRule>
  </conditionalFormatting>
  <conditionalFormatting sqref="Y4:Y9">
    <cfRule type="expression" dxfId="16" priority="6">
      <formula>MOD(ROW(),2)=0</formula>
    </cfRule>
  </conditionalFormatting>
  <conditionalFormatting sqref="Z4:Z9">
    <cfRule type="expression" dxfId="15" priority="14">
      <formula>OR($Z4&lt;90, $Z4 &gt;110)</formula>
    </cfRule>
  </conditionalFormatting>
  <conditionalFormatting sqref="AA4:AA9">
    <cfRule type="expression" dxfId="14" priority="5">
      <formula>MOD(ROW(),2)=0</formula>
    </cfRule>
  </conditionalFormatting>
  <dataValidations count="2">
    <dataValidation type="list" allowBlank="1" showInputMessage="1" showErrorMessage="1" sqref="R4:R9">
      <formula1>"Automatic, Manual"</formula1>
    </dataValidation>
    <dataValidation type="list" allowBlank="1" showInputMessage="1" showErrorMessage="1" sqref="E4:E9">
      <formula1>IF(OR(D4="Influenza A", D4= "Influenza B", D4= "RSV", D4= "RSV A", D4= "RSV B"),influenza_rsv,long_list)</formula1>
    </dataValidation>
  </dataValidations>
  <pageMargins left="0.7" right="0.7" top="1.5" bottom="0.75" header="0.3" footer="0.3"/>
  <pageSetup scale="74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Dropdown_Data!$R$2:$R$3</xm:f>
          </x14:formula1>
          <xm:sqref>C4:C9</xm:sqref>
        </x14:dataValidation>
        <x14:dataValidation type="list" allowBlank="1" showInputMessage="1" showErrorMessage="1">
          <x14:formula1>
            <xm:f>Dropdown_Data!$F$2:$F$25</xm:f>
          </x14:formula1>
          <xm:sqref>D4:D9</xm:sqref>
        </x14:dataValidation>
        <x14:dataValidation type="list" allowBlank="1" showInputMessage="1" showErrorMessage="1">
          <x14:formula1>
            <xm:f>Dropdown_Data!$T$2:$T$5</xm:f>
          </x14:formula1>
          <xm:sqref>H3:H9</xm:sqref>
        </x14:dataValidation>
        <x14:dataValidation type="list" allowBlank="1" showInputMessage="1" showErrorMessage="1">
          <x14:formula1>
            <xm:f>Dropdown_Data!$Q$2:$Q$11</xm:f>
          </x14:formula1>
          <xm:sqref>G4:G9</xm:sqref>
        </x14:dataValidation>
        <x14:dataValidation type="list" allowBlank="1" showInputMessage="1" showErrorMessage="1" prompt="Indicate here if a long-term standard curve is used for quantification">
          <x14:formula1>
            <xm:f>Dropdown_Data!$R$2:$R$3</xm:f>
          </x14:formula1>
          <xm:sqref>F4:F9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4B79C"/>
  </sheetPr>
  <dimension ref="A1:V35"/>
  <sheetViews>
    <sheetView topLeftCell="P1" zoomScaleNormal="100" workbookViewId="0">
      <selection activeCell="U8" sqref="U8"/>
    </sheetView>
  </sheetViews>
  <sheetFormatPr defaultColWidth="8.77734375" defaultRowHeight="14.4" x14ac:dyDescent="0.3"/>
  <cols>
    <col min="1" max="1" width="12.109375" style="38" customWidth="1"/>
    <col min="2" max="2" width="7.44140625" style="38" customWidth="1"/>
    <col min="3" max="3" width="13.44140625" style="38" customWidth="1"/>
    <col min="4" max="4" width="10.109375" style="38" customWidth="1"/>
    <col min="5" max="5" width="22.44140625" style="38" customWidth="1"/>
    <col min="6" max="6" width="8" style="38" customWidth="1"/>
    <col min="7" max="7" width="17" style="38" bestFit="1" customWidth="1"/>
    <col min="8" max="8" width="14.109375" style="38" customWidth="1"/>
    <col min="9" max="9" width="10.77734375" style="38" bestFit="1" customWidth="1"/>
    <col min="10" max="10" width="19.109375" style="38" customWidth="1"/>
    <col min="11" max="11" width="19" style="38" customWidth="1"/>
    <col min="12" max="12" width="19.44140625" style="38" customWidth="1"/>
    <col min="13" max="13" width="19.77734375" style="38" customWidth="1"/>
    <col min="14" max="18" width="19.44140625" style="38" customWidth="1"/>
    <col min="19" max="19" width="45.77734375" style="38" customWidth="1"/>
    <col min="20" max="20" width="22.77734375" style="38" customWidth="1"/>
    <col min="21" max="21" width="22.44140625" style="38" customWidth="1"/>
    <col min="22" max="22" width="22.77734375" style="38" customWidth="1"/>
    <col min="23" max="16384" width="8.77734375" style="38"/>
  </cols>
  <sheetData>
    <row r="1" spans="1:22" ht="20.55" customHeight="1" x14ac:dyDescent="0.3">
      <c r="A1"/>
      <c r="B1" s="1"/>
      <c r="C1" s="1"/>
      <c r="D1" s="1"/>
      <c r="E1" s="1"/>
      <c r="F1"/>
      <c r="G1"/>
      <c r="H1"/>
      <c r="I1"/>
      <c r="J1" s="248" t="s">
        <v>268</v>
      </c>
      <c r="K1" s="248"/>
      <c r="L1" s="248"/>
      <c r="M1" s="248" t="s">
        <v>682</v>
      </c>
      <c r="N1" s="248"/>
      <c r="O1" s="248"/>
      <c r="P1" s="249" t="s">
        <v>201</v>
      </c>
      <c r="Q1" s="250"/>
      <c r="R1" s="251"/>
      <c r="S1" s="252" t="s">
        <v>692</v>
      </c>
      <c r="T1" s="248" t="s">
        <v>262</v>
      </c>
      <c r="U1" s="248"/>
      <c r="V1" s="248"/>
    </row>
    <row r="2" spans="1:22" ht="30.75" customHeight="1" x14ac:dyDescent="0.3">
      <c r="A2"/>
      <c r="B2"/>
      <c r="C2" s="1"/>
      <c r="D2" s="1"/>
      <c r="E2" s="1"/>
      <c r="F2"/>
      <c r="G2"/>
      <c r="H2"/>
      <c r="I2"/>
      <c r="J2" s="191" t="s">
        <v>97</v>
      </c>
      <c r="K2" s="191" t="s">
        <v>98</v>
      </c>
      <c r="L2" s="191" t="s">
        <v>99</v>
      </c>
      <c r="M2" s="191" t="s">
        <v>97</v>
      </c>
      <c r="N2" s="191" t="s">
        <v>98</v>
      </c>
      <c r="O2" s="191" t="s">
        <v>99</v>
      </c>
      <c r="P2" s="191" t="s">
        <v>97</v>
      </c>
      <c r="Q2" s="191" t="s">
        <v>98</v>
      </c>
      <c r="R2" s="191" t="s">
        <v>99</v>
      </c>
      <c r="S2" s="252"/>
      <c r="T2" s="191" t="s">
        <v>97</v>
      </c>
      <c r="U2" s="191" t="s">
        <v>98</v>
      </c>
      <c r="V2" s="191" t="s">
        <v>99</v>
      </c>
    </row>
    <row r="3" spans="1:22" ht="28.8" x14ac:dyDescent="0.3">
      <c r="A3"/>
      <c r="B3" s="47" t="s">
        <v>34</v>
      </c>
      <c r="C3" s="47" t="s">
        <v>200</v>
      </c>
      <c r="D3" s="47" t="s">
        <v>20</v>
      </c>
      <c r="E3" s="47" t="s">
        <v>1</v>
      </c>
      <c r="F3" s="47" t="s">
        <v>133</v>
      </c>
      <c r="G3" s="47" t="s">
        <v>2</v>
      </c>
      <c r="H3" s="47" t="s">
        <v>3</v>
      </c>
      <c r="I3" s="47" t="s">
        <v>4</v>
      </c>
      <c r="J3" s="47" t="s">
        <v>24</v>
      </c>
      <c r="K3" s="47" t="s">
        <v>25</v>
      </c>
      <c r="L3" s="47" t="s">
        <v>26</v>
      </c>
      <c r="M3" s="47" t="s">
        <v>27</v>
      </c>
      <c r="N3" s="47" t="s">
        <v>28</v>
      </c>
      <c r="O3" s="47" t="s">
        <v>29</v>
      </c>
      <c r="P3" s="47" t="s">
        <v>224</v>
      </c>
      <c r="Q3" s="47" t="s">
        <v>227</v>
      </c>
      <c r="R3" s="47" t="s">
        <v>230</v>
      </c>
      <c r="S3" s="253"/>
      <c r="T3" s="47" t="s">
        <v>233</v>
      </c>
      <c r="U3" s="47" t="s">
        <v>234</v>
      </c>
      <c r="V3" s="47" t="s">
        <v>235</v>
      </c>
    </row>
    <row r="4" spans="1:22" ht="15" customHeight="1" x14ac:dyDescent="0.3">
      <c r="A4" s="189" t="s">
        <v>128</v>
      </c>
      <c r="B4" s="51">
        <v>99</v>
      </c>
      <c r="C4" s="51">
        <v>1</v>
      </c>
      <c r="D4" s="51">
        <v>1</v>
      </c>
      <c r="E4" s="51" t="s">
        <v>179</v>
      </c>
      <c r="F4" s="51" t="s">
        <v>132</v>
      </c>
      <c r="G4" s="51" t="s">
        <v>10</v>
      </c>
      <c r="H4" s="51" t="s">
        <v>306</v>
      </c>
      <c r="I4" s="51" t="s">
        <v>147</v>
      </c>
      <c r="J4" s="178">
        <v>20.660283841840801</v>
      </c>
      <c r="K4" s="178">
        <v>20.7578714211595</v>
      </c>
      <c r="L4" s="178">
        <v>20.828391129187601</v>
      </c>
      <c r="M4" s="178">
        <v>111.385842378494</v>
      </c>
      <c r="N4" s="178">
        <v>103.242186876036</v>
      </c>
      <c r="O4" s="178">
        <v>117.67334708830499</v>
      </c>
      <c r="P4" s="51"/>
      <c r="Q4" s="51"/>
      <c r="R4" s="51"/>
      <c r="S4" s="51"/>
      <c r="T4" s="51"/>
      <c r="U4" s="51"/>
      <c r="V4" s="51"/>
    </row>
    <row r="5" spans="1:22" x14ac:dyDescent="0.3">
      <c r="A5" s="190" t="s">
        <v>326</v>
      </c>
      <c r="B5" s="44">
        <f>Lab_Code!$C$1</f>
        <v>999</v>
      </c>
      <c r="C5" s="60">
        <v>1</v>
      </c>
      <c r="D5" s="60">
        <v>1</v>
      </c>
      <c r="E5" s="60" t="s">
        <v>33</v>
      </c>
      <c r="F5" s="60" t="s">
        <v>132</v>
      </c>
      <c r="G5" s="60" t="s">
        <v>10</v>
      </c>
      <c r="H5" s="61" t="s">
        <v>11</v>
      </c>
      <c r="I5" s="60" t="s">
        <v>148</v>
      </c>
      <c r="J5" s="65" t="s">
        <v>158</v>
      </c>
      <c r="K5" s="65" t="s">
        <v>158</v>
      </c>
      <c r="L5" s="65" t="s">
        <v>158</v>
      </c>
      <c r="M5" s="177"/>
      <c r="N5" s="177"/>
      <c r="O5" s="177"/>
      <c r="P5" s="60" t="s">
        <v>209</v>
      </c>
      <c r="Q5" s="60" t="s">
        <v>209</v>
      </c>
      <c r="R5" s="60" t="s">
        <v>209</v>
      </c>
      <c r="S5" s="60"/>
      <c r="T5" s="44" t="str">
        <f ca="1">OFFSET(Dropdown_Data!$P$1, MATCH(qPCR_QC_Data!P5, Dropdown_Data!$O$2:$O$14,0), 0)</f>
        <v>No qualifier</v>
      </c>
      <c r="U5" s="44" t="str">
        <f ca="1">OFFSET(Dropdown_Data!$P$1, MATCH(qPCR_QC_Data!Q5, Dropdown_Data!$O$2:$O$14,0), 0)</f>
        <v>No qualifier</v>
      </c>
      <c r="V5" s="44" t="str">
        <f ca="1">OFFSET(Dropdown_Data!$P$1, MATCH(qPCR_QC_Data!R5, Dropdown_Data!$O$2:$O$14,0), 0)</f>
        <v>No qualifier</v>
      </c>
    </row>
    <row r="6" spans="1:22" x14ac:dyDescent="0.3">
      <c r="B6" s="44">
        <f>Lab_Code!$C$1</f>
        <v>999</v>
      </c>
      <c r="C6" s="60">
        <v>1</v>
      </c>
      <c r="D6" s="60">
        <v>1</v>
      </c>
      <c r="E6" s="60" t="s">
        <v>33</v>
      </c>
      <c r="F6" s="60" t="s">
        <v>132</v>
      </c>
      <c r="G6" s="60" t="s">
        <v>10</v>
      </c>
      <c r="H6" s="61" t="s">
        <v>14</v>
      </c>
      <c r="I6" s="60" t="s">
        <v>148</v>
      </c>
      <c r="J6" s="65" t="s">
        <v>158</v>
      </c>
      <c r="K6" s="65" t="s">
        <v>158</v>
      </c>
      <c r="L6" s="65" t="s">
        <v>158</v>
      </c>
      <c r="M6" s="177"/>
      <c r="N6" s="177"/>
      <c r="O6" s="177"/>
      <c r="P6" s="60" t="s">
        <v>209</v>
      </c>
      <c r="Q6" s="60" t="s">
        <v>209</v>
      </c>
      <c r="R6" s="60" t="s">
        <v>209</v>
      </c>
      <c r="S6" s="60"/>
      <c r="T6" s="44" t="str">
        <f ca="1">OFFSET(Dropdown_Data!$P$1, MATCH(qPCR_QC_Data!P6, Dropdown_Data!$O$2:$O$14,0), 0)</f>
        <v>No qualifier</v>
      </c>
      <c r="U6" s="44" t="str">
        <f ca="1">OFFSET(Dropdown_Data!$P$1, MATCH(qPCR_QC_Data!Q6, Dropdown_Data!$O$2:$O$14,0), 0)</f>
        <v>No qualifier</v>
      </c>
      <c r="V6" s="44" t="str">
        <f ca="1">OFFSET(Dropdown_Data!$P$1, MATCH(qPCR_QC_Data!R6, Dropdown_Data!$O$2:$O$14,0), 0)</f>
        <v>No qualifier</v>
      </c>
    </row>
    <row r="7" spans="1:22" x14ac:dyDescent="0.3">
      <c r="B7" s="44">
        <f>Lab_Code!$C$1</f>
        <v>999</v>
      </c>
      <c r="C7" s="60">
        <v>1</v>
      </c>
      <c r="D7" s="60">
        <v>1</v>
      </c>
      <c r="E7" s="60" t="s">
        <v>33</v>
      </c>
      <c r="F7" s="60" t="s">
        <v>132</v>
      </c>
      <c r="G7" s="60" t="s">
        <v>17</v>
      </c>
      <c r="H7" s="61"/>
      <c r="I7" s="60" t="s">
        <v>148</v>
      </c>
      <c r="J7" s="65" t="s">
        <v>158</v>
      </c>
      <c r="K7" s="65" t="s">
        <v>158</v>
      </c>
      <c r="L7" s="65" t="s">
        <v>158</v>
      </c>
      <c r="M7" s="177"/>
      <c r="N7" s="177"/>
      <c r="O7" s="177"/>
      <c r="P7" s="60" t="s">
        <v>209</v>
      </c>
      <c r="Q7" s="60" t="s">
        <v>209</v>
      </c>
      <c r="R7" s="60" t="s">
        <v>209</v>
      </c>
      <c r="S7" s="60"/>
      <c r="T7" s="44" t="str">
        <f ca="1">OFFSET(Dropdown_Data!$P$1, MATCH(qPCR_QC_Data!P7, Dropdown_Data!$O$2:$O$14,0), 0)</f>
        <v>No qualifier</v>
      </c>
      <c r="U7" s="44" t="str">
        <f ca="1">OFFSET(Dropdown_Data!$P$1, MATCH(qPCR_QC_Data!Q7, Dropdown_Data!$O$2:$O$14,0), 0)</f>
        <v>No qualifier</v>
      </c>
      <c r="V7" s="44" t="str">
        <f ca="1">OFFSET(Dropdown_Data!$P$1, MATCH(qPCR_QC_Data!R7, Dropdown_Data!$O$2:$O$14,0), 0)</f>
        <v>No qualifier</v>
      </c>
    </row>
    <row r="8" spans="1:22" x14ac:dyDescent="0.3">
      <c r="B8" s="44">
        <f>Lab_Code!$C$1</f>
        <v>999</v>
      </c>
      <c r="C8" s="60">
        <v>1</v>
      </c>
      <c r="D8" s="60">
        <v>1</v>
      </c>
      <c r="E8" s="60" t="s">
        <v>179</v>
      </c>
      <c r="F8" s="60" t="s">
        <v>132</v>
      </c>
      <c r="G8" s="60" t="s">
        <v>10</v>
      </c>
      <c r="H8" s="61" t="s">
        <v>11</v>
      </c>
      <c r="I8" s="60" t="s">
        <v>148</v>
      </c>
      <c r="J8" s="211">
        <v>31</v>
      </c>
      <c r="K8" s="211">
        <v>31</v>
      </c>
      <c r="L8" s="211">
        <v>31</v>
      </c>
      <c r="M8" s="177"/>
      <c r="N8" s="177"/>
      <c r="O8" s="177"/>
      <c r="P8" s="60" t="s">
        <v>209</v>
      </c>
      <c r="Q8" s="60" t="s">
        <v>209</v>
      </c>
      <c r="R8" s="60" t="s">
        <v>209</v>
      </c>
      <c r="S8" s="60"/>
      <c r="T8" s="44" t="str">
        <f ca="1">OFFSET(Dropdown_Data!$P$1, MATCH(qPCR_QC_Data!P8, Dropdown_Data!$O$2:$O$14,0), 0)</f>
        <v>No qualifier</v>
      </c>
      <c r="U8" s="44" t="str">
        <f ca="1">OFFSET(Dropdown_Data!$P$1, MATCH(qPCR_QC_Data!Q8, Dropdown_Data!$O$2:$O$14,0), 0)</f>
        <v>No qualifier</v>
      </c>
      <c r="V8" s="44" t="str">
        <f ca="1">OFFSET(Dropdown_Data!$P$1, MATCH(qPCR_QC_Data!R8, Dropdown_Data!$O$2:$O$14,0), 0)</f>
        <v>No qualifier</v>
      </c>
    </row>
    <row r="9" spans="1:22" x14ac:dyDescent="0.3">
      <c r="B9" s="44">
        <f>Lab_Code!$C$1</f>
        <v>999</v>
      </c>
      <c r="C9" s="60">
        <v>1</v>
      </c>
      <c r="D9" s="60">
        <v>1</v>
      </c>
      <c r="E9" s="60" t="s">
        <v>179</v>
      </c>
      <c r="F9" s="60" t="s">
        <v>132</v>
      </c>
      <c r="G9" s="60" t="s">
        <v>10</v>
      </c>
      <c r="H9" s="61" t="s">
        <v>14</v>
      </c>
      <c r="I9" s="60" t="s">
        <v>148</v>
      </c>
      <c r="J9" s="220">
        <v>31</v>
      </c>
      <c r="K9" s="220">
        <v>31</v>
      </c>
      <c r="L9" s="220">
        <v>31</v>
      </c>
      <c r="M9" s="177"/>
      <c r="N9" s="177"/>
      <c r="O9" s="177"/>
      <c r="P9" s="60" t="s">
        <v>209</v>
      </c>
      <c r="Q9" s="60" t="s">
        <v>209</v>
      </c>
      <c r="R9" s="60" t="s">
        <v>209</v>
      </c>
      <c r="S9" s="60"/>
      <c r="T9" s="44" t="str">
        <f ca="1">OFFSET(Dropdown_Data!$P$1, MATCH(qPCR_QC_Data!P9, Dropdown_Data!$O$2:$O$14,0), 0)</f>
        <v>No qualifier</v>
      </c>
      <c r="U9" s="44" t="str">
        <f ca="1">OFFSET(Dropdown_Data!$P$1, MATCH(qPCR_QC_Data!Q9, Dropdown_Data!$O$2:$O$14,0), 0)</f>
        <v>No qualifier</v>
      </c>
      <c r="V9" s="44" t="str">
        <f ca="1">OFFSET(Dropdown_Data!$P$1, MATCH(qPCR_QC_Data!R9, Dropdown_Data!$O$2:$O$14,0), 0)</f>
        <v>No qualifier</v>
      </c>
    </row>
    <row r="10" spans="1:22" x14ac:dyDescent="0.3">
      <c r="B10" s="44">
        <f>Lab_Code!$C$1</f>
        <v>999</v>
      </c>
      <c r="C10" s="60"/>
      <c r="D10" s="60"/>
      <c r="E10" s="60"/>
      <c r="F10" s="60"/>
      <c r="G10" s="60"/>
      <c r="H10" s="61"/>
      <c r="I10" s="60"/>
      <c r="J10" s="177"/>
      <c r="K10" s="177"/>
      <c r="L10" s="177"/>
      <c r="M10" s="177"/>
      <c r="N10" s="177"/>
      <c r="O10" s="177"/>
      <c r="P10" s="60" t="s">
        <v>209</v>
      </c>
      <c r="Q10" s="60" t="s">
        <v>209</v>
      </c>
      <c r="R10" s="60" t="s">
        <v>209</v>
      </c>
      <c r="S10" s="60"/>
      <c r="T10" s="44" t="str">
        <f ca="1">OFFSET(Dropdown_Data!$P$1, MATCH(qPCR_QC_Data!P10, Dropdown_Data!$O$2:$O$14,0), 0)</f>
        <v>No qualifier</v>
      </c>
      <c r="U10" s="44" t="str">
        <f ca="1">OFFSET(Dropdown_Data!$P$1, MATCH(qPCR_QC_Data!Q10, Dropdown_Data!$O$2:$O$14,0), 0)</f>
        <v>No qualifier</v>
      </c>
      <c r="V10" s="44" t="str">
        <f ca="1">OFFSET(Dropdown_Data!$P$1, MATCH(qPCR_QC_Data!R10, Dropdown_Data!$O$2:$O$14,0), 0)</f>
        <v>No qualifier</v>
      </c>
    </row>
    <row r="11" spans="1:22" x14ac:dyDescent="0.3">
      <c r="B11" s="44">
        <f>Lab_Code!$C$1</f>
        <v>999</v>
      </c>
      <c r="C11" s="60"/>
      <c r="D11" s="60"/>
      <c r="E11" s="60"/>
      <c r="F11" s="60"/>
      <c r="G11" s="60"/>
      <c r="H11" s="61"/>
      <c r="I11" s="60"/>
      <c r="J11" s="177"/>
      <c r="K11" s="177"/>
      <c r="L11" s="177"/>
      <c r="M11" s="177"/>
      <c r="N11" s="177"/>
      <c r="O11" s="177"/>
      <c r="P11" s="60" t="s">
        <v>209</v>
      </c>
      <c r="Q11" s="60" t="s">
        <v>209</v>
      </c>
      <c r="R11" s="60" t="s">
        <v>209</v>
      </c>
      <c r="S11" s="60"/>
      <c r="T11" s="44" t="str">
        <f ca="1">OFFSET(Dropdown_Data!$P$1, MATCH(qPCR_QC_Data!P11, Dropdown_Data!$O$2:$O$14,0), 0)</f>
        <v>No qualifier</v>
      </c>
      <c r="U11" s="44" t="str">
        <f ca="1">OFFSET(Dropdown_Data!$P$1, MATCH(qPCR_QC_Data!Q11, Dropdown_Data!$O$2:$O$14,0), 0)</f>
        <v>No qualifier</v>
      </c>
      <c r="V11" s="44" t="str">
        <f ca="1">OFFSET(Dropdown_Data!$P$1, MATCH(qPCR_QC_Data!R11, Dropdown_Data!$O$2:$O$14,0), 0)</f>
        <v>No qualifier</v>
      </c>
    </row>
    <row r="12" spans="1:22" x14ac:dyDescent="0.3">
      <c r="B12" s="44">
        <f>Lab_Code!$C$1</f>
        <v>999</v>
      </c>
      <c r="C12" s="60"/>
      <c r="D12" s="60"/>
      <c r="E12" s="60"/>
      <c r="F12" s="60"/>
      <c r="G12" s="60"/>
      <c r="H12" s="61"/>
      <c r="I12" s="60"/>
      <c r="J12" s="177"/>
      <c r="K12" s="177"/>
      <c r="L12" s="177"/>
      <c r="M12" s="177"/>
      <c r="N12" s="177"/>
      <c r="O12" s="177"/>
      <c r="P12" s="60" t="s">
        <v>209</v>
      </c>
      <c r="Q12" s="60" t="s">
        <v>209</v>
      </c>
      <c r="R12" s="60" t="s">
        <v>209</v>
      </c>
      <c r="S12" s="60"/>
      <c r="T12" s="44" t="str">
        <f ca="1">OFFSET(Dropdown_Data!$P$1, MATCH(qPCR_QC_Data!P12, Dropdown_Data!$O$2:$O$14,0), 0)</f>
        <v>No qualifier</v>
      </c>
      <c r="U12" s="44" t="str">
        <f ca="1">OFFSET(Dropdown_Data!$P$1, MATCH(qPCR_QC_Data!Q12, Dropdown_Data!$O$2:$O$14,0), 0)</f>
        <v>No qualifier</v>
      </c>
      <c r="V12" s="44" t="str">
        <f ca="1">OFFSET(Dropdown_Data!$P$1, MATCH(qPCR_QC_Data!R12, Dropdown_Data!$O$2:$O$14,0), 0)</f>
        <v>No qualifier</v>
      </c>
    </row>
    <row r="13" spans="1:22" x14ac:dyDescent="0.3">
      <c r="B13" s="44">
        <f>Lab_Code!$C$1</f>
        <v>999</v>
      </c>
      <c r="C13" s="60"/>
      <c r="D13" s="60"/>
      <c r="E13" s="60"/>
      <c r="F13" s="60"/>
      <c r="G13" s="60"/>
      <c r="H13" s="61"/>
      <c r="I13" s="60"/>
      <c r="J13" s="177"/>
      <c r="K13" s="177"/>
      <c r="L13" s="177"/>
      <c r="M13" s="177"/>
      <c r="N13" s="177"/>
      <c r="O13" s="177"/>
      <c r="P13" s="60" t="s">
        <v>209</v>
      </c>
      <c r="Q13" s="60" t="s">
        <v>209</v>
      </c>
      <c r="R13" s="60" t="s">
        <v>209</v>
      </c>
      <c r="S13" s="60"/>
      <c r="T13" s="44" t="str">
        <f ca="1">OFFSET(Dropdown_Data!$P$1, MATCH(qPCR_QC_Data!P13, Dropdown_Data!$O$2:$O$14,0), 0)</f>
        <v>No qualifier</v>
      </c>
      <c r="U13" s="44" t="str">
        <f ca="1">OFFSET(Dropdown_Data!$P$1, MATCH(qPCR_QC_Data!Q13, Dropdown_Data!$O$2:$O$14,0), 0)</f>
        <v>No qualifier</v>
      </c>
      <c r="V13" s="44" t="str">
        <f ca="1">OFFSET(Dropdown_Data!$P$1, MATCH(qPCR_QC_Data!R13, Dropdown_Data!$O$2:$O$14,0), 0)</f>
        <v>No qualifier</v>
      </c>
    </row>
    <row r="14" spans="1:22" x14ac:dyDescent="0.3">
      <c r="B14" s="44">
        <f>Lab_Code!$C$1</f>
        <v>999</v>
      </c>
      <c r="C14" s="60"/>
      <c r="D14" s="60"/>
      <c r="E14" s="60"/>
      <c r="F14" s="60"/>
      <c r="G14" s="60"/>
      <c r="H14" s="61"/>
      <c r="I14" s="60"/>
      <c r="J14" s="177"/>
      <c r="K14" s="177"/>
      <c r="L14" s="177"/>
      <c r="M14" s="177"/>
      <c r="N14" s="177"/>
      <c r="O14" s="177"/>
      <c r="P14" s="60" t="s">
        <v>209</v>
      </c>
      <c r="Q14" s="60" t="s">
        <v>209</v>
      </c>
      <c r="R14" s="60" t="s">
        <v>209</v>
      </c>
      <c r="S14" s="60"/>
      <c r="T14" s="44" t="str">
        <f ca="1">OFFSET(Dropdown_Data!$P$1, MATCH(qPCR_QC_Data!P14, Dropdown_Data!$O$2:$O$14,0), 0)</f>
        <v>No qualifier</v>
      </c>
      <c r="U14" s="44" t="str">
        <f ca="1">OFFSET(Dropdown_Data!$P$1, MATCH(qPCR_QC_Data!Q14, Dropdown_Data!$O$2:$O$14,0), 0)</f>
        <v>No qualifier</v>
      </c>
      <c r="V14" s="44" t="str">
        <f ca="1">OFFSET(Dropdown_Data!$P$1, MATCH(qPCR_QC_Data!R14, Dropdown_Data!$O$2:$O$14,0), 0)</f>
        <v>No qualifier</v>
      </c>
    </row>
    <row r="15" spans="1:22" x14ac:dyDescent="0.3">
      <c r="B15" s="44">
        <f>Lab_Code!$C$1</f>
        <v>999</v>
      </c>
      <c r="C15" s="60"/>
      <c r="D15" s="60"/>
      <c r="E15" s="60"/>
      <c r="F15" s="60"/>
      <c r="G15" s="60"/>
      <c r="H15" s="61"/>
      <c r="I15" s="60"/>
      <c r="J15" s="177"/>
      <c r="K15" s="177"/>
      <c r="L15" s="177"/>
      <c r="M15" s="177"/>
      <c r="N15" s="177"/>
      <c r="O15" s="177"/>
      <c r="P15" s="60" t="s">
        <v>209</v>
      </c>
      <c r="Q15" s="60" t="s">
        <v>209</v>
      </c>
      <c r="R15" s="60" t="s">
        <v>209</v>
      </c>
      <c r="S15" s="60"/>
      <c r="T15" s="44" t="str">
        <f ca="1">OFFSET(Dropdown_Data!$P$1, MATCH(qPCR_QC_Data!P15, Dropdown_Data!$O$2:$O$14,0), 0)</f>
        <v>No qualifier</v>
      </c>
      <c r="U15" s="44" t="str">
        <f ca="1">OFFSET(Dropdown_Data!$P$1, MATCH(qPCR_QC_Data!Q15, Dropdown_Data!$O$2:$O$14,0), 0)</f>
        <v>No qualifier</v>
      </c>
      <c r="V15" s="44" t="str">
        <f ca="1">OFFSET(Dropdown_Data!$P$1, MATCH(qPCR_QC_Data!R15, Dropdown_Data!$O$2:$O$14,0), 0)</f>
        <v>No qualifier</v>
      </c>
    </row>
    <row r="16" spans="1:22" x14ac:dyDescent="0.3">
      <c r="B16" s="44">
        <f>Lab_Code!$C$1</f>
        <v>999</v>
      </c>
      <c r="C16" s="60"/>
      <c r="D16" s="60"/>
      <c r="E16" s="60"/>
      <c r="F16" s="60"/>
      <c r="G16" s="60"/>
      <c r="H16" s="61"/>
      <c r="I16" s="60"/>
      <c r="J16" s="177"/>
      <c r="K16" s="177"/>
      <c r="L16" s="177"/>
      <c r="M16" s="177"/>
      <c r="N16" s="177"/>
      <c r="O16" s="177"/>
      <c r="P16" s="60" t="s">
        <v>209</v>
      </c>
      <c r="Q16" s="60" t="s">
        <v>209</v>
      </c>
      <c r="R16" s="60" t="s">
        <v>209</v>
      </c>
      <c r="S16" s="60"/>
      <c r="T16" s="44" t="str">
        <f ca="1">OFFSET(Dropdown_Data!$P$1, MATCH(qPCR_QC_Data!P16, Dropdown_Data!$O$2:$O$14,0), 0)</f>
        <v>No qualifier</v>
      </c>
      <c r="U16" s="44" t="str">
        <f ca="1">OFFSET(Dropdown_Data!$P$1, MATCH(qPCR_QC_Data!Q16, Dropdown_Data!$O$2:$O$14,0), 0)</f>
        <v>No qualifier</v>
      </c>
      <c r="V16" s="44" t="str">
        <f ca="1">OFFSET(Dropdown_Data!$P$1, MATCH(qPCR_QC_Data!R16, Dropdown_Data!$O$2:$O$14,0), 0)</f>
        <v>No qualifier</v>
      </c>
    </row>
    <row r="17" spans="2:22" x14ac:dyDescent="0.3">
      <c r="B17" s="44">
        <f>Lab_Code!$C$1</f>
        <v>999</v>
      </c>
      <c r="C17" s="60"/>
      <c r="D17" s="60"/>
      <c r="E17" s="60"/>
      <c r="F17" s="60"/>
      <c r="G17" s="60"/>
      <c r="H17" s="61"/>
      <c r="I17" s="60"/>
      <c r="J17" s="177"/>
      <c r="K17" s="177"/>
      <c r="L17" s="177"/>
      <c r="M17" s="177"/>
      <c r="N17" s="177"/>
      <c r="O17" s="177"/>
      <c r="P17" s="60" t="s">
        <v>209</v>
      </c>
      <c r="Q17" s="60" t="s">
        <v>209</v>
      </c>
      <c r="R17" s="60" t="s">
        <v>209</v>
      </c>
      <c r="S17" s="60"/>
      <c r="T17" s="44" t="str">
        <f ca="1">OFFSET(Dropdown_Data!$P$1, MATCH(qPCR_QC_Data!P17, Dropdown_Data!$O$2:$O$14,0), 0)</f>
        <v>No qualifier</v>
      </c>
      <c r="U17" s="44" t="str">
        <f ca="1">OFFSET(Dropdown_Data!$P$1, MATCH(qPCR_QC_Data!Q17, Dropdown_Data!$O$2:$O$14,0), 0)</f>
        <v>No qualifier</v>
      </c>
      <c r="V17" s="44" t="str">
        <f ca="1">OFFSET(Dropdown_Data!$P$1, MATCH(qPCR_QC_Data!R17, Dropdown_Data!$O$2:$O$14,0), 0)</f>
        <v>No qualifier</v>
      </c>
    </row>
    <row r="18" spans="2:22" x14ac:dyDescent="0.3">
      <c r="B18" s="44">
        <f>Lab_Code!$C$1</f>
        <v>999</v>
      </c>
      <c r="C18" s="60"/>
      <c r="D18" s="60"/>
      <c r="E18" s="60"/>
      <c r="F18" s="60"/>
      <c r="G18" s="60"/>
      <c r="H18" s="61"/>
      <c r="I18" s="60"/>
      <c r="J18" s="177"/>
      <c r="K18" s="177"/>
      <c r="L18" s="177"/>
      <c r="M18" s="177"/>
      <c r="N18" s="177"/>
      <c r="O18" s="177"/>
      <c r="P18" s="60" t="s">
        <v>209</v>
      </c>
      <c r="Q18" s="60" t="s">
        <v>209</v>
      </c>
      <c r="R18" s="60" t="s">
        <v>209</v>
      </c>
      <c r="S18" s="60"/>
      <c r="T18" s="44" t="str">
        <f ca="1">OFFSET(Dropdown_Data!$P$1, MATCH(qPCR_QC_Data!P18, Dropdown_Data!$O$2:$O$14,0), 0)</f>
        <v>No qualifier</v>
      </c>
      <c r="U18" s="44" t="str">
        <f ca="1">OFFSET(Dropdown_Data!$P$1, MATCH(qPCR_QC_Data!Q18, Dropdown_Data!$O$2:$O$14,0), 0)</f>
        <v>No qualifier</v>
      </c>
      <c r="V18" s="44" t="str">
        <f ca="1">OFFSET(Dropdown_Data!$P$1, MATCH(qPCR_QC_Data!R18, Dropdown_Data!$O$2:$O$14,0), 0)</f>
        <v>No qualifier</v>
      </c>
    </row>
    <row r="19" spans="2:22" x14ac:dyDescent="0.3">
      <c r="B19" s="44">
        <f>Lab_Code!$C$1</f>
        <v>999</v>
      </c>
      <c r="C19" s="60"/>
      <c r="D19" s="60"/>
      <c r="E19" s="60"/>
      <c r="F19" s="60"/>
      <c r="G19" s="60"/>
      <c r="H19" s="61"/>
      <c r="I19" s="60"/>
      <c r="J19" s="177"/>
      <c r="K19" s="177"/>
      <c r="L19" s="177"/>
      <c r="M19" s="177"/>
      <c r="N19" s="177"/>
      <c r="O19" s="177"/>
      <c r="P19" s="60" t="s">
        <v>209</v>
      </c>
      <c r="Q19" s="60" t="s">
        <v>209</v>
      </c>
      <c r="R19" s="60" t="s">
        <v>209</v>
      </c>
      <c r="S19" s="60"/>
      <c r="T19" s="44" t="str">
        <f ca="1">OFFSET(Dropdown_Data!$P$1, MATCH(qPCR_QC_Data!P19, Dropdown_Data!$O$2:$O$14,0), 0)</f>
        <v>No qualifier</v>
      </c>
      <c r="U19" s="44" t="str">
        <f ca="1">OFFSET(Dropdown_Data!$P$1, MATCH(qPCR_QC_Data!Q19, Dropdown_Data!$O$2:$O$14,0), 0)</f>
        <v>No qualifier</v>
      </c>
      <c r="V19" s="44" t="str">
        <f ca="1">OFFSET(Dropdown_Data!$P$1, MATCH(qPCR_QC_Data!R19, Dropdown_Data!$O$2:$O$14,0), 0)</f>
        <v>No qualifier</v>
      </c>
    </row>
    <row r="20" spans="2:22" x14ac:dyDescent="0.3">
      <c r="B20" s="44">
        <f>Lab_Code!$C$1</f>
        <v>999</v>
      </c>
      <c r="C20" s="60"/>
      <c r="D20" s="60"/>
      <c r="E20" s="60"/>
      <c r="F20" s="60"/>
      <c r="G20" s="60"/>
      <c r="H20" s="61"/>
      <c r="I20" s="60"/>
      <c r="J20" s="177"/>
      <c r="K20" s="177"/>
      <c r="L20" s="177"/>
      <c r="M20" s="177"/>
      <c r="N20" s="177"/>
      <c r="O20" s="177"/>
      <c r="P20" s="60" t="s">
        <v>209</v>
      </c>
      <c r="Q20" s="60" t="s">
        <v>209</v>
      </c>
      <c r="R20" s="60" t="s">
        <v>209</v>
      </c>
      <c r="S20" s="60"/>
      <c r="T20" s="44" t="str">
        <f ca="1">OFFSET(Dropdown_Data!$P$1, MATCH(qPCR_QC_Data!P20, Dropdown_Data!$O$2:$O$14,0), 0)</f>
        <v>No qualifier</v>
      </c>
      <c r="U20" s="44" t="str">
        <f ca="1">OFFSET(Dropdown_Data!$P$1, MATCH(qPCR_QC_Data!Q20, Dropdown_Data!$O$2:$O$14,0), 0)</f>
        <v>No qualifier</v>
      </c>
      <c r="V20" s="44" t="str">
        <f ca="1">OFFSET(Dropdown_Data!$P$1, MATCH(qPCR_QC_Data!R20, Dropdown_Data!$O$2:$O$14,0), 0)</f>
        <v>No qualifier</v>
      </c>
    </row>
    <row r="21" spans="2:22" x14ac:dyDescent="0.3">
      <c r="B21" s="44">
        <f>Lab_Code!$C$1</f>
        <v>999</v>
      </c>
      <c r="C21" s="60"/>
      <c r="D21" s="60"/>
      <c r="E21" s="60"/>
      <c r="F21" s="60"/>
      <c r="G21" s="60"/>
      <c r="H21" s="61"/>
      <c r="I21" s="60"/>
      <c r="J21" s="177"/>
      <c r="K21" s="177"/>
      <c r="L21" s="177"/>
      <c r="M21" s="177"/>
      <c r="N21" s="177"/>
      <c r="O21" s="177"/>
      <c r="P21" s="60" t="s">
        <v>209</v>
      </c>
      <c r="Q21" s="60" t="s">
        <v>209</v>
      </c>
      <c r="R21" s="60" t="s">
        <v>209</v>
      </c>
      <c r="S21" s="60"/>
      <c r="T21" s="44" t="str">
        <f ca="1">OFFSET(Dropdown_Data!$P$1, MATCH(qPCR_QC_Data!P21, Dropdown_Data!$O$2:$O$14,0), 0)</f>
        <v>No qualifier</v>
      </c>
      <c r="U21" s="44" t="str">
        <f ca="1">OFFSET(Dropdown_Data!$P$1, MATCH(qPCR_QC_Data!Q21, Dropdown_Data!$O$2:$O$14,0), 0)</f>
        <v>No qualifier</v>
      </c>
      <c r="V21" s="44" t="str">
        <f ca="1">OFFSET(Dropdown_Data!$P$1, MATCH(qPCR_QC_Data!R21, Dropdown_Data!$O$2:$O$14,0), 0)</f>
        <v>No qualifier</v>
      </c>
    </row>
    <row r="22" spans="2:22" x14ac:dyDescent="0.3">
      <c r="B22" s="44">
        <f>Lab_Code!$C$1</f>
        <v>999</v>
      </c>
      <c r="C22" s="60"/>
      <c r="D22" s="60"/>
      <c r="E22" s="60"/>
      <c r="F22" s="60"/>
      <c r="G22" s="60"/>
      <c r="H22" s="61"/>
      <c r="I22" s="60"/>
      <c r="J22" s="177"/>
      <c r="K22" s="177"/>
      <c r="L22" s="177"/>
      <c r="M22" s="177"/>
      <c r="N22" s="177"/>
      <c r="O22" s="177"/>
      <c r="P22" s="60" t="s">
        <v>209</v>
      </c>
      <c r="Q22" s="60" t="s">
        <v>209</v>
      </c>
      <c r="R22" s="60" t="s">
        <v>209</v>
      </c>
      <c r="S22" s="60"/>
      <c r="T22" s="44" t="str">
        <f ca="1">OFFSET(Dropdown_Data!$P$1, MATCH(qPCR_QC_Data!P22, Dropdown_Data!$O$2:$O$14,0), 0)</f>
        <v>No qualifier</v>
      </c>
      <c r="U22" s="44" t="str">
        <f ca="1">OFFSET(Dropdown_Data!$P$1, MATCH(qPCR_QC_Data!Q22, Dropdown_Data!$O$2:$O$14,0), 0)</f>
        <v>No qualifier</v>
      </c>
      <c r="V22" s="44" t="str">
        <f ca="1">OFFSET(Dropdown_Data!$P$1, MATCH(qPCR_QC_Data!R22, Dropdown_Data!$O$2:$O$14,0), 0)</f>
        <v>No qualifier</v>
      </c>
    </row>
    <row r="23" spans="2:22" x14ac:dyDescent="0.3">
      <c r="B23" s="44">
        <f>Lab_Code!$C$1</f>
        <v>999</v>
      </c>
      <c r="C23" s="60"/>
      <c r="D23" s="60"/>
      <c r="E23" s="60"/>
      <c r="F23" s="60"/>
      <c r="G23" s="60"/>
      <c r="H23" s="61"/>
      <c r="I23" s="60"/>
      <c r="J23" s="177"/>
      <c r="K23" s="177"/>
      <c r="L23" s="177"/>
      <c r="M23" s="179"/>
      <c r="N23" s="179"/>
      <c r="O23" s="179"/>
      <c r="P23" s="60" t="s">
        <v>209</v>
      </c>
      <c r="Q23" s="60" t="s">
        <v>209</v>
      </c>
      <c r="R23" s="60" t="s">
        <v>209</v>
      </c>
      <c r="S23" s="60"/>
      <c r="T23" s="44" t="str">
        <f ca="1">OFFSET(Dropdown_Data!$P$1, MATCH(qPCR_QC_Data!P23, Dropdown_Data!$O$2:$O$14,0), 0)</f>
        <v>No qualifier</v>
      </c>
      <c r="U23" s="44" t="str">
        <f ca="1">OFFSET(Dropdown_Data!$P$1, MATCH(qPCR_QC_Data!Q23, Dropdown_Data!$O$2:$O$14,0), 0)</f>
        <v>No qualifier</v>
      </c>
      <c r="V23" s="44" t="str">
        <f ca="1">OFFSET(Dropdown_Data!$P$1, MATCH(qPCR_QC_Data!R23, Dropdown_Data!$O$2:$O$14,0), 0)</f>
        <v>No qualifier</v>
      </c>
    </row>
    <row r="24" spans="2:22" x14ac:dyDescent="0.3">
      <c r="B24" s="44">
        <f>Lab_Code!$C$1</f>
        <v>999</v>
      </c>
      <c r="C24" s="60"/>
      <c r="D24" s="60"/>
      <c r="E24" s="60"/>
      <c r="F24" s="60"/>
      <c r="G24" s="60"/>
      <c r="H24" s="61"/>
      <c r="I24" s="60"/>
      <c r="J24" s="177"/>
      <c r="K24" s="177"/>
      <c r="L24" s="177"/>
      <c r="M24" s="179"/>
      <c r="N24" s="179"/>
      <c r="O24" s="179"/>
      <c r="P24" s="60" t="s">
        <v>209</v>
      </c>
      <c r="Q24" s="60" t="s">
        <v>209</v>
      </c>
      <c r="R24" s="60" t="s">
        <v>209</v>
      </c>
      <c r="S24" s="60"/>
      <c r="T24" s="44" t="str">
        <f ca="1">OFFSET(Dropdown_Data!$P$1, MATCH(qPCR_QC_Data!P24, Dropdown_Data!$O$2:$O$14,0), 0)</f>
        <v>No qualifier</v>
      </c>
      <c r="U24" s="44" t="str">
        <f ca="1">OFFSET(Dropdown_Data!$P$1, MATCH(qPCR_QC_Data!Q24, Dropdown_Data!$O$2:$O$14,0), 0)</f>
        <v>No qualifier</v>
      </c>
      <c r="V24" s="44" t="str">
        <f ca="1">OFFSET(Dropdown_Data!$P$1, MATCH(qPCR_QC_Data!R24, Dropdown_Data!$O$2:$O$14,0), 0)</f>
        <v>No qualifier</v>
      </c>
    </row>
    <row r="25" spans="2:22" x14ac:dyDescent="0.3">
      <c r="B25" s="44">
        <f>Lab_Code!$C$1</f>
        <v>999</v>
      </c>
      <c r="C25" s="60"/>
      <c r="D25" s="60"/>
      <c r="E25" s="60"/>
      <c r="F25" s="60"/>
      <c r="G25" s="60"/>
      <c r="H25" s="61"/>
      <c r="I25" s="60"/>
      <c r="J25" s="177"/>
      <c r="K25" s="177"/>
      <c r="L25" s="177"/>
      <c r="M25" s="179"/>
      <c r="N25" s="179"/>
      <c r="O25" s="179"/>
      <c r="P25" s="60" t="s">
        <v>209</v>
      </c>
      <c r="Q25" s="60" t="s">
        <v>209</v>
      </c>
      <c r="R25" s="60" t="s">
        <v>209</v>
      </c>
      <c r="S25" s="60"/>
      <c r="T25" s="44" t="str">
        <f ca="1">OFFSET(Dropdown_Data!$P$1, MATCH(qPCR_QC_Data!P25, Dropdown_Data!$O$2:$O$14,0), 0)</f>
        <v>No qualifier</v>
      </c>
      <c r="U25" s="44" t="str">
        <f ca="1">OFFSET(Dropdown_Data!$P$1, MATCH(qPCR_QC_Data!Q25, Dropdown_Data!$O$2:$O$14,0), 0)</f>
        <v>No qualifier</v>
      </c>
      <c r="V25" s="44" t="str">
        <f ca="1">OFFSET(Dropdown_Data!$P$1, MATCH(qPCR_QC_Data!R25, Dropdown_Data!$O$2:$O$14,0), 0)</f>
        <v>No qualifier</v>
      </c>
    </row>
    <row r="26" spans="2:22" x14ac:dyDescent="0.3">
      <c r="B26" s="44">
        <f>Lab_Code!$C$1</f>
        <v>999</v>
      </c>
      <c r="C26" s="60"/>
      <c r="D26" s="60"/>
      <c r="E26" s="60"/>
      <c r="F26" s="60"/>
      <c r="G26" s="60"/>
      <c r="H26" s="61"/>
      <c r="I26" s="60"/>
      <c r="J26" s="177"/>
      <c r="K26" s="177"/>
      <c r="L26" s="177"/>
      <c r="M26" s="179"/>
      <c r="N26" s="179"/>
      <c r="O26" s="179"/>
      <c r="P26" s="60" t="s">
        <v>209</v>
      </c>
      <c r="Q26" s="60" t="s">
        <v>209</v>
      </c>
      <c r="R26" s="60" t="s">
        <v>209</v>
      </c>
      <c r="S26" s="60"/>
      <c r="T26" s="44" t="str">
        <f ca="1">OFFSET(Dropdown_Data!$P$1, MATCH(qPCR_QC_Data!P26, Dropdown_Data!$O$2:$O$14,0), 0)</f>
        <v>No qualifier</v>
      </c>
      <c r="U26" s="44" t="str">
        <f ca="1">OFFSET(Dropdown_Data!$P$1, MATCH(qPCR_QC_Data!Q26, Dropdown_Data!$O$2:$O$14,0), 0)</f>
        <v>No qualifier</v>
      </c>
      <c r="V26" s="44" t="str">
        <f ca="1">OFFSET(Dropdown_Data!$P$1, MATCH(qPCR_QC_Data!R26, Dropdown_Data!$O$2:$O$14,0), 0)</f>
        <v>No qualifier</v>
      </c>
    </row>
    <row r="27" spans="2:22" x14ac:dyDescent="0.3">
      <c r="B27" s="44">
        <f>Lab_Code!$C$1</f>
        <v>999</v>
      </c>
      <c r="C27" s="60"/>
      <c r="D27" s="60"/>
      <c r="E27" s="60"/>
      <c r="F27" s="60"/>
      <c r="G27" s="60"/>
      <c r="H27" s="61"/>
      <c r="I27" s="60"/>
      <c r="J27" s="177"/>
      <c r="K27" s="177"/>
      <c r="L27" s="177"/>
      <c r="M27" s="179"/>
      <c r="N27" s="179"/>
      <c r="O27" s="179"/>
      <c r="P27" s="60" t="s">
        <v>209</v>
      </c>
      <c r="Q27" s="60" t="s">
        <v>209</v>
      </c>
      <c r="R27" s="60" t="s">
        <v>209</v>
      </c>
      <c r="S27" s="60"/>
      <c r="T27" s="44" t="str">
        <f ca="1">OFFSET(Dropdown_Data!$P$1, MATCH(qPCR_QC_Data!P27, Dropdown_Data!$O$2:$O$14,0), 0)</f>
        <v>No qualifier</v>
      </c>
      <c r="U27" s="44" t="str">
        <f ca="1">OFFSET(Dropdown_Data!$P$1, MATCH(qPCR_QC_Data!Q27, Dropdown_Data!$O$2:$O$14,0), 0)</f>
        <v>No qualifier</v>
      </c>
      <c r="V27" s="44" t="str">
        <f ca="1">OFFSET(Dropdown_Data!$P$1, MATCH(qPCR_QC_Data!R27, Dropdown_Data!$O$2:$O$14,0), 0)</f>
        <v>No qualifier</v>
      </c>
    </row>
    <row r="28" spans="2:22" x14ac:dyDescent="0.3">
      <c r="B28" s="44">
        <f>Lab_Code!$C$1</f>
        <v>999</v>
      </c>
      <c r="C28" s="60"/>
      <c r="D28" s="60"/>
      <c r="E28" s="60"/>
      <c r="F28" s="60"/>
      <c r="G28" s="60"/>
      <c r="H28" s="61"/>
      <c r="I28" s="60"/>
      <c r="J28" s="177"/>
      <c r="K28" s="177"/>
      <c r="L28" s="177"/>
      <c r="M28" s="179"/>
      <c r="N28" s="179"/>
      <c r="O28" s="179"/>
      <c r="P28" s="60" t="s">
        <v>209</v>
      </c>
      <c r="Q28" s="60" t="s">
        <v>209</v>
      </c>
      <c r="R28" s="60" t="s">
        <v>209</v>
      </c>
      <c r="S28" s="60"/>
      <c r="T28" s="44" t="str">
        <f ca="1">OFFSET(Dropdown_Data!$P$1, MATCH(qPCR_QC_Data!P28, Dropdown_Data!$O$2:$O$14,0), 0)</f>
        <v>No qualifier</v>
      </c>
      <c r="U28" s="44" t="str">
        <f ca="1">OFFSET(Dropdown_Data!$P$1, MATCH(qPCR_QC_Data!Q28, Dropdown_Data!$O$2:$O$14,0), 0)</f>
        <v>No qualifier</v>
      </c>
      <c r="V28" s="44" t="str">
        <f ca="1">OFFSET(Dropdown_Data!$P$1, MATCH(qPCR_QC_Data!R28, Dropdown_Data!$O$2:$O$14,0), 0)</f>
        <v>No qualifier</v>
      </c>
    </row>
    <row r="29" spans="2:22" x14ac:dyDescent="0.3">
      <c r="B29" s="44">
        <f>Lab_Code!$C$1</f>
        <v>999</v>
      </c>
      <c r="C29" s="60"/>
      <c r="D29" s="60"/>
      <c r="E29" s="60"/>
      <c r="F29" s="60"/>
      <c r="G29" s="60"/>
      <c r="H29" s="61"/>
      <c r="I29" s="60"/>
      <c r="J29" s="177"/>
      <c r="K29" s="177"/>
      <c r="L29" s="177"/>
      <c r="M29" s="179"/>
      <c r="N29" s="179"/>
      <c r="O29" s="179"/>
      <c r="P29" s="60" t="s">
        <v>209</v>
      </c>
      <c r="Q29" s="60" t="s">
        <v>209</v>
      </c>
      <c r="R29" s="60" t="s">
        <v>209</v>
      </c>
      <c r="S29" s="60"/>
      <c r="T29" s="44" t="str">
        <f ca="1">OFFSET(Dropdown_Data!$P$1, MATCH(qPCR_QC_Data!P29, Dropdown_Data!$O$2:$O$14,0), 0)</f>
        <v>No qualifier</v>
      </c>
      <c r="U29" s="44" t="str">
        <f ca="1">OFFSET(Dropdown_Data!$P$1, MATCH(qPCR_QC_Data!Q29, Dropdown_Data!$O$2:$O$14,0), 0)</f>
        <v>No qualifier</v>
      </c>
      <c r="V29" s="44" t="str">
        <f ca="1">OFFSET(Dropdown_Data!$P$1, MATCH(qPCR_QC_Data!R29, Dropdown_Data!$O$2:$O$14,0), 0)</f>
        <v>No qualifier</v>
      </c>
    </row>
    <row r="30" spans="2:22" x14ac:dyDescent="0.3">
      <c r="B30" s="44">
        <f>Lab_Code!$C$1</f>
        <v>999</v>
      </c>
      <c r="C30" s="60"/>
      <c r="D30" s="60"/>
      <c r="E30" s="60"/>
      <c r="F30" s="60"/>
      <c r="G30" s="60"/>
      <c r="H30" s="61"/>
      <c r="I30" s="60"/>
      <c r="J30" s="177"/>
      <c r="K30" s="177"/>
      <c r="L30" s="177"/>
      <c r="M30" s="179"/>
      <c r="N30" s="179"/>
      <c r="O30" s="179"/>
      <c r="P30" s="60" t="s">
        <v>209</v>
      </c>
      <c r="Q30" s="60" t="s">
        <v>209</v>
      </c>
      <c r="R30" s="60" t="s">
        <v>209</v>
      </c>
      <c r="S30" s="60"/>
      <c r="T30" s="44" t="str">
        <f ca="1">OFFSET(Dropdown_Data!$P$1, MATCH(qPCR_QC_Data!P30, Dropdown_Data!$O$2:$O$14,0), 0)</f>
        <v>No qualifier</v>
      </c>
      <c r="U30" s="44" t="str">
        <f ca="1">OFFSET(Dropdown_Data!$P$1, MATCH(qPCR_QC_Data!Q30, Dropdown_Data!$O$2:$O$14,0), 0)</f>
        <v>No qualifier</v>
      </c>
      <c r="V30" s="44" t="str">
        <f ca="1">OFFSET(Dropdown_Data!$P$1, MATCH(qPCR_QC_Data!R30, Dropdown_Data!$O$2:$O$14,0), 0)</f>
        <v>No qualifier</v>
      </c>
    </row>
    <row r="31" spans="2:22" x14ac:dyDescent="0.3">
      <c r="B31" s="44">
        <f>Lab_Code!$C$1</f>
        <v>999</v>
      </c>
      <c r="C31" s="60"/>
      <c r="D31" s="60"/>
      <c r="E31" s="60"/>
      <c r="F31" s="60"/>
      <c r="G31" s="60"/>
      <c r="H31" s="61"/>
      <c r="I31" s="60"/>
      <c r="J31" s="177"/>
      <c r="K31" s="177"/>
      <c r="L31" s="177"/>
      <c r="M31" s="179"/>
      <c r="N31" s="179"/>
      <c r="O31" s="179"/>
      <c r="P31" s="60" t="s">
        <v>209</v>
      </c>
      <c r="Q31" s="60" t="s">
        <v>209</v>
      </c>
      <c r="R31" s="60" t="s">
        <v>209</v>
      </c>
      <c r="S31" s="60"/>
      <c r="T31" s="44" t="str">
        <f ca="1">OFFSET(Dropdown_Data!$P$1, MATCH(qPCR_QC_Data!P31, Dropdown_Data!$O$2:$O$14,0), 0)</f>
        <v>No qualifier</v>
      </c>
      <c r="U31" s="44" t="str">
        <f ca="1">OFFSET(Dropdown_Data!$P$1, MATCH(qPCR_QC_Data!Q31, Dropdown_Data!$O$2:$O$14,0), 0)</f>
        <v>No qualifier</v>
      </c>
      <c r="V31" s="44" t="str">
        <f ca="1">OFFSET(Dropdown_Data!$P$1, MATCH(qPCR_QC_Data!R31, Dropdown_Data!$O$2:$O$14,0), 0)</f>
        <v>No qualifier</v>
      </c>
    </row>
    <row r="32" spans="2:22" x14ac:dyDescent="0.3">
      <c r="B32" s="44">
        <f>Lab_Code!$C$1</f>
        <v>999</v>
      </c>
      <c r="C32" s="60"/>
      <c r="D32" s="60"/>
      <c r="E32" s="60"/>
      <c r="F32" s="60"/>
      <c r="G32" s="60"/>
      <c r="H32" s="61"/>
      <c r="I32" s="60"/>
      <c r="J32" s="177"/>
      <c r="K32" s="177"/>
      <c r="L32" s="177"/>
      <c r="M32" s="179"/>
      <c r="N32" s="179"/>
      <c r="O32" s="179"/>
      <c r="P32" s="60" t="s">
        <v>209</v>
      </c>
      <c r="Q32" s="60" t="s">
        <v>209</v>
      </c>
      <c r="R32" s="60" t="s">
        <v>209</v>
      </c>
      <c r="S32" s="60"/>
      <c r="T32" s="44" t="str">
        <f ca="1">OFFSET(Dropdown_Data!$P$1, MATCH(qPCR_QC_Data!P32, Dropdown_Data!$O$2:$O$14,0), 0)</f>
        <v>No qualifier</v>
      </c>
      <c r="U32" s="44" t="str">
        <f ca="1">OFFSET(Dropdown_Data!$P$1, MATCH(qPCR_QC_Data!Q32, Dropdown_Data!$O$2:$O$14,0), 0)</f>
        <v>No qualifier</v>
      </c>
      <c r="V32" s="44" t="str">
        <f ca="1">OFFSET(Dropdown_Data!$P$1, MATCH(qPCR_QC_Data!R32, Dropdown_Data!$O$2:$O$14,0), 0)</f>
        <v>No qualifier</v>
      </c>
    </row>
    <row r="33" spans="2:22" x14ac:dyDescent="0.3">
      <c r="B33" s="44">
        <f>Lab_Code!$C$1</f>
        <v>999</v>
      </c>
      <c r="C33" s="60"/>
      <c r="D33" s="60"/>
      <c r="E33" s="60"/>
      <c r="F33" s="60"/>
      <c r="G33" s="60"/>
      <c r="H33" s="61"/>
      <c r="I33" s="60"/>
      <c r="J33" s="177"/>
      <c r="K33" s="177"/>
      <c r="L33" s="177"/>
      <c r="M33" s="179"/>
      <c r="N33" s="179"/>
      <c r="O33" s="179"/>
      <c r="P33" s="60" t="s">
        <v>209</v>
      </c>
      <c r="Q33" s="60" t="s">
        <v>209</v>
      </c>
      <c r="R33" s="60" t="s">
        <v>209</v>
      </c>
      <c r="S33" s="60"/>
      <c r="T33" s="44" t="str">
        <f ca="1">OFFSET(Dropdown_Data!$P$1, MATCH(qPCR_QC_Data!P33, Dropdown_Data!$O$2:$O$14,0), 0)</f>
        <v>No qualifier</v>
      </c>
      <c r="U33" s="44" t="str">
        <f ca="1">OFFSET(Dropdown_Data!$P$1, MATCH(qPCR_QC_Data!Q33, Dropdown_Data!$O$2:$O$14,0), 0)</f>
        <v>No qualifier</v>
      </c>
      <c r="V33" s="44" t="str">
        <f ca="1">OFFSET(Dropdown_Data!$P$1, MATCH(qPCR_QC_Data!R33, Dropdown_Data!$O$2:$O$14,0), 0)</f>
        <v>No qualifier</v>
      </c>
    </row>
    <row r="34" spans="2:22" x14ac:dyDescent="0.3">
      <c r="B34" s="44">
        <f>Lab_Code!$C$1</f>
        <v>999</v>
      </c>
      <c r="C34" s="60"/>
      <c r="D34" s="60"/>
      <c r="E34" s="60"/>
      <c r="F34" s="60"/>
      <c r="G34" s="60"/>
      <c r="H34" s="61"/>
      <c r="I34" s="60"/>
      <c r="J34" s="177"/>
      <c r="K34" s="177"/>
      <c r="L34" s="177"/>
      <c r="M34" s="177"/>
      <c r="N34" s="177"/>
      <c r="O34" s="177"/>
      <c r="P34" s="60" t="s">
        <v>209</v>
      </c>
      <c r="Q34" s="60" t="s">
        <v>209</v>
      </c>
      <c r="R34" s="60" t="s">
        <v>209</v>
      </c>
      <c r="S34" s="60"/>
      <c r="T34" s="44" t="str">
        <f ca="1">OFFSET(Dropdown_Data!$P$1, MATCH(qPCR_QC_Data!P34, Dropdown_Data!$O$2:$O$14,0), 0)</f>
        <v>No qualifier</v>
      </c>
      <c r="U34" s="44" t="str">
        <f ca="1">OFFSET(Dropdown_Data!$P$1, MATCH(qPCR_QC_Data!Q34, Dropdown_Data!$O$2:$O$14,0), 0)</f>
        <v>No qualifier</v>
      </c>
      <c r="V34" s="44" t="str">
        <f ca="1">OFFSET(Dropdown_Data!$P$1, MATCH(qPCR_QC_Data!R34, Dropdown_Data!$O$2:$O$14,0), 0)</f>
        <v>No qualifier</v>
      </c>
    </row>
    <row r="35" spans="2:22" x14ac:dyDescent="0.3">
      <c r="B35" s="44">
        <f>Lab_Code!$C$1</f>
        <v>999</v>
      </c>
      <c r="C35" s="60"/>
      <c r="D35" s="60"/>
      <c r="E35" s="60"/>
      <c r="F35" s="60"/>
      <c r="G35" s="60"/>
      <c r="H35" s="61"/>
      <c r="I35" s="60"/>
      <c r="J35" s="177"/>
      <c r="K35" s="177"/>
      <c r="L35" s="177"/>
      <c r="M35" s="177"/>
      <c r="N35" s="177"/>
      <c r="O35" s="177"/>
      <c r="P35" s="60" t="s">
        <v>209</v>
      </c>
      <c r="Q35" s="60" t="s">
        <v>209</v>
      </c>
      <c r="R35" s="60" t="s">
        <v>209</v>
      </c>
      <c r="S35" s="60"/>
      <c r="T35" s="44" t="str">
        <f ca="1">OFFSET(Dropdown_Data!$P$1, MATCH(qPCR_QC_Data!P35, Dropdown_Data!$O$2:$O$14,0), 0)</f>
        <v>No qualifier</v>
      </c>
      <c r="U35" s="44" t="str">
        <f ca="1">OFFSET(Dropdown_Data!$P$1, MATCH(qPCR_QC_Data!Q35, Dropdown_Data!$O$2:$O$14,0), 0)</f>
        <v>No qualifier</v>
      </c>
      <c r="V35" s="44" t="str">
        <f ca="1">OFFSET(Dropdown_Data!$P$1, MATCH(qPCR_QC_Data!R35, Dropdown_Data!$O$2:$O$14,0), 0)</f>
        <v>No qualifier</v>
      </c>
    </row>
  </sheetData>
  <customSheetViews>
    <customSheetView guid="{95CD56FE-1162-4AE7-88D2-9EB3DF57F0D2}">
      <selection activeCell="J10" sqref="J10"/>
      <pageMargins left="0.7" right="0.7" top="0.75" bottom="0.75" header="0.3" footer="0.3"/>
      <pageSetup orientation="portrait" verticalDpi="0" r:id="rId1"/>
    </customSheetView>
  </customSheetViews>
  <mergeCells count="5">
    <mergeCell ref="M1:O1"/>
    <mergeCell ref="J1:L1"/>
    <mergeCell ref="P1:R1"/>
    <mergeCell ref="T1:V1"/>
    <mergeCell ref="S1:S3"/>
  </mergeCells>
  <conditionalFormatting sqref="C5:S35">
    <cfRule type="expression" dxfId="13" priority="1">
      <formula>MOD(ROW(),2)=0</formula>
    </cfRule>
  </conditionalFormatting>
  <dataValidations xWindow="1664" yWindow="419" count="2">
    <dataValidation type="custom" allowBlank="1" showInputMessage="1" showErrorMessage="1" errorTitle="Technical_Replicate_1_CycleNo" error="Please enter an integer or &quot;Max&quot;" promptTitle="ATTENTION" prompt="Please enter a number. If maximum cycle number was reached, enter &quot;Max&quot;" sqref="J5:L35">
      <formula1>OR(ISNUMBER(J5), J5 = "Max")</formula1>
    </dataValidation>
    <dataValidation type="list" allowBlank="1" showInputMessage="1" showErrorMessage="1" sqref="H5:H35">
      <formula1>IF(OR(G5="Influenza A", G5= "Influenza B",G5= "RSV", G5= "RSV A", G5= "RSV B"),influenza_rsv,long_list)</formula1>
    </dataValidation>
  </dataValidations>
  <pageMargins left="0.7" right="0.7" top="1.5" bottom="0.75" header="0.3" footer="0.3"/>
  <pageSetup scale="74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3"/>
  <extLst>
    <ext xmlns:x14="http://schemas.microsoft.com/office/spreadsheetml/2009/9/main" uri="{CCE6A557-97BC-4b89-ADB6-D9C93CAAB3DF}">
      <x14:dataValidations xmlns:xm="http://schemas.microsoft.com/office/excel/2006/main" xWindow="1664" yWindow="419" count="7">
        <x14:dataValidation type="list" allowBlank="1" showInputMessage="1" showErrorMessage="1" prompt="Spike administered at Point A or B or N (No Spike)">
          <x14:formula1>
            <xm:f>Dropdown_Data!$E$2:$E$4</xm:f>
          </x14:formula1>
          <xm:sqref>F5:F35</xm:sqref>
        </x14:dataValidation>
        <x14:dataValidation type="list" allowBlank="1" showInputMessage="1" showErrorMessage="1">
          <x14:formula1>
            <xm:f>Dropdown_Data!$D$2:$D$18</xm:f>
          </x14:formula1>
          <xm:sqref>E5:E35</xm:sqref>
        </x14:dataValidation>
        <x14:dataValidation type="list" allowBlank="1" showInputMessage="1" showErrorMessage="1">
          <x14:formula1>
            <xm:f>Dropdown_Data!$F$2:$F$25</xm:f>
          </x14:formula1>
          <xm:sqref>G5:G35</xm:sqref>
        </x14:dataValidation>
        <x14:dataValidation type="list" allowBlank="1" showInputMessage="1">
          <x14:formula1>
            <xm:f>Dropdown_Data!$L$2:$L$3</xm:f>
          </x14:formula1>
          <xm:sqref>T5:V35</xm:sqref>
        </x14:dataValidation>
        <x14:dataValidation type="list" allowBlank="1" showInputMessage="1" showErrorMessage="1">
          <x14:formula1>
            <xm:f>Dropdown_Data!$J$2:$J$7</xm:f>
          </x14:formula1>
          <xm:sqref>I5:I35</xm:sqref>
        </x14:dataValidation>
        <x14:dataValidation type="list" allowBlank="1" showInputMessage="1" showErrorMessage="1">
          <x14:formula1>
            <xm:f>Dropdown_Data!$O$2:$O$8</xm:f>
          </x14:formula1>
          <xm:sqref>P5:R35</xm:sqref>
        </x14:dataValidation>
        <x14:dataValidation type="list" allowBlank="1" showInputMessage="1" showErrorMessage="1">
          <x14:formula1>
            <xm:f>Dropdown_Data!$V$2:$V$11</xm:f>
          </x14:formula1>
          <xm:sqref>C5:C35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A1CF"/>
  </sheetPr>
  <dimension ref="A1:AZ20"/>
  <sheetViews>
    <sheetView zoomScaleNormal="100" workbookViewId="0">
      <selection activeCell="E8" sqref="E8"/>
    </sheetView>
  </sheetViews>
  <sheetFormatPr defaultColWidth="8.77734375" defaultRowHeight="14.4" x14ac:dyDescent="0.3"/>
  <cols>
    <col min="1" max="1" width="12.109375" style="38" customWidth="1"/>
    <col min="2" max="2" width="8.109375" style="38" customWidth="1"/>
    <col min="3" max="3" width="8.77734375" style="38" customWidth="1"/>
    <col min="4" max="4" width="10.109375" style="38" customWidth="1"/>
    <col min="5" max="5" width="20.109375" style="38" customWidth="1"/>
    <col min="6" max="6" width="8" style="38" customWidth="1"/>
    <col min="7" max="7" width="17" style="38" bestFit="1" customWidth="1"/>
    <col min="8" max="8" width="14.109375" style="38" customWidth="1"/>
    <col min="9" max="9" width="15.44140625" style="38" customWidth="1"/>
    <col min="10" max="10" width="10" style="38" customWidth="1"/>
    <col min="11" max="11" width="8" style="38" customWidth="1"/>
    <col min="12" max="12" width="10" style="38" customWidth="1"/>
    <col min="13" max="13" width="10.44140625" style="38" customWidth="1"/>
    <col min="14" max="14" width="13.44140625" style="38" customWidth="1"/>
    <col min="15" max="15" width="20.109375" style="38" customWidth="1"/>
    <col min="16" max="16" width="18.77734375" style="38" bestFit="1" customWidth="1"/>
    <col min="17" max="17" width="13.44140625" style="38" bestFit="1" customWidth="1"/>
    <col min="18" max="18" width="18.77734375" style="38" bestFit="1" customWidth="1"/>
    <col min="19" max="19" width="13.44140625" style="38" bestFit="1" customWidth="1"/>
    <col min="20" max="20" width="18.77734375" style="38" bestFit="1" customWidth="1"/>
    <col min="21" max="21" width="13.77734375" style="38" bestFit="1" customWidth="1"/>
    <col min="22" max="22" width="16.44140625" style="38" customWidth="1"/>
    <col min="23" max="24" width="26.109375" style="38" customWidth="1"/>
    <col min="25" max="25" width="16.44140625" style="38" customWidth="1"/>
    <col min="26" max="26" width="26.109375" style="38" customWidth="1"/>
    <col min="27" max="27" width="25.77734375" style="38" customWidth="1"/>
    <col min="28" max="28" width="16.44140625" style="38" customWidth="1"/>
    <col min="29" max="29" width="26.109375" style="38" customWidth="1"/>
    <col min="30" max="30" width="25.77734375" style="38" customWidth="1"/>
    <col min="31" max="33" width="20.77734375" style="38" customWidth="1"/>
    <col min="34" max="34" width="13.109375" style="38" customWidth="1"/>
    <col min="35" max="35" width="12.77734375" style="38" customWidth="1"/>
    <col min="36" max="36" width="12.44140625" style="38" customWidth="1"/>
    <col min="37" max="37" width="55.77734375" style="38" customWidth="1"/>
    <col min="38" max="40" width="40.44140625" style="38" customWidth="1"/>
    <col min="41" max="41" width="15.44140625" style="38" customWidth="1"/>
    <col min="42" max="43" width="15.77734375" style="38" customWidth="1"/>
    <col min="44" max="45" width="18.77734375" style="38" customWidth="1"/>
    <col min="46" max="46" width="18.44140625" style="38" customWidth="1"/>
    <col min="47" max="49" width="24.77734375" style="38" customWidth="1"/>
    <col min="50" max="50" width="13.44140625" style="38" customWidth="1"/>
    <col min="51" max="52" width="12.77734375" style="38" customWidth="1"/>
    <col min="53" max="16384" width="8.77734375" style="38"/>
  </cols>
  <sheetData>
    <row r="1" spans="1:52" ht="19.5" customHeight="1" x14ac:dyDescent="0.3">
      <c r="A1"/>
      <c r="B1"/>
      <c r="C1" s="1"/>
      <c r="D1" s="1"/>
      <c r="E1" s="1"/>
      <c r="F1"/>
      <c r="G1"/>
      <c r="H1"/>
      <c r="I1"/>
      <c r="J1"/>
      <c r="K1"/>
      <c r="L1"/>
      <c r="M1"/>
      <c r="N1"/>
      <c r="O1"/>
      <c r="P1" s="249" t="s">
        <v>560</v>
      </c>
      <c r="Q1" s="250"/>
      <c r="R1" s="250"/>
      <c r="S1" s="250"/>
      <c r="T1" s="250"/>
      <c r="U1" s="251"/>
      <c r="V1" s="249" t="s">
        <v>562</v>
      </c>
      <c r="W1" s="250"/>
      <c r="X1" s="250"/>
      <c r="Y1" s="250"/>
      <c r="Z1" s="250"/>
      <c r="AA1" s="250"/>
      <c r="AB1" s="250"/>
      <c r="AC1" s="250"/>
      <c r="AD1" s="251"/>
      <c r="AE1" s="248" t="s">
        <v>564</v>
      </c>
      <c r="AF1" s="248"/>
      <c r="AG1" s="248"/>
      <c r="AH1" s="248" t="s">
        <v>201</v>
      </c>
      <c r="AI1" s="248"/>
      <c r="AJ1" s="248"/>
      <c r="AK1"/>
      <c r="AL1" s="256" t="s">
        <v>262</v>
      </c>
      <c r="AM1" s="256"/>
      <c r="AN1" s="256"/>
      <c r="AO1" s="248" t="s">
        <v>671</v>
      </c>
      <c r="AP1" s="248"/>
      <c r="AQ1" s="248"/>
      <c r="AR1" s="249" t="s">
        <v>561</v>
      </c>
      <c r="AS1" s="250"/>
      <c r="AT1" s="251"/>
      <c r="AU1" s="249" t="s">
        <v>563</v>
      </c>
      <c r="AV1" s="250"/>
      <c r="AW1" s="251"/>
      <c r="AX1" s="248" t="s">
        <v>565</v>
      </c>
      <c r="AY1" s="248"/>
      <c r="AZ1" s="248"/>
    </row>
    <row r="2" spans="1:52" ht="28.8" x14ac:dyDescent="0.3">
      <c r="A2"/>
      <c r="B2"/>
      <c r="C2" s="1"/>
      <c r="D2" s="1"/>
      <c r="E2" s="1"/>
      <c r="F2"/>
      <c r="G2"/>
      <c r="H2"/>
      <c r="I2"/>
      <c r="J2"/>
      <c r="K2"/>
      <c r="L2"/>
      <c r="M2"/>
      <c r="N2"/>
      <c r="O2"/>
      <c r="P2" s="249" t="s">
        <v>97</v>
      </c>
      <c r="Q2" s="250"/>
      <c r="R2" s="249" t="s">
        <v>98</v>
      </c>
      <c r="S2" s="250"/>
      <c r="T2" s="249" t="s">
        <v>99</v>
      </c>
      <c r="U2" s="250"/>
      <c r="V2" s="249" t="s">
        <v>97</v>
      </c>
      <c r="W2" s="250"/>
      <c r="X2" s="250"/>
      <c r="Y2" s="249" t="s">
        <v>98</v>
      </c>
      <c r="Z2" s="250"/>
      <c r="AA2" s="250"/>
      <c r="AB2" s="249" t="s">
        <v>99</v>
      </c>
      <c r="AC2" s="250"/>
      <c r="AD2" s="250"/>
      <c r="AE2" s="191" t="s">
        <v>97</v>
      </c>
      <c r="AF2" s="191" t="s">
        <v>98</v>
      </c>
      <c r="AG2" s="191" t="s">
        <v>99</v>
      </c>
      <c r="AH2" s="191" t="s">
        <v>97</v>
      </c>
      <c r="AI2" s="191" t="s">
        <v>98</v>
      </c>
      <c r="AJ2" s="191" t="s">
        <v>99</v>
      </c>
      <c r="AK2" s="254" t="s">
        <v>693</v>
      </c>
      <c r="AL2" s="191" t="s">
        <v>97</v>
      </c>
      <c r="AM2" s="191" t="s">
        <v>98</v>
      </c>
      <c r="AN2" s="191" t="s">
        <v>99</v>
      </c>
      <c r="AO2" s="191" t="s">
        <v>97</v>
      </c>
      <c r="AP2" s="191" t="s">
        <v>98</v>
      </c>
      <c r="AQ2" s="191" t="s">
        <v>99</v>
      </c>
      <c r="AR2" s="191" t="s">
        <v>97</v>
      </c>
      <c r="AS2" s="191" t="s">
        <v>98</v>
      </c>
      <c r="AT2" s="191" t="s">
        <v>99</v>
      </c>
      <c r="AU2" s="191" t="s">
        <v>97</v>
      </c>
      <c r="AV2" s="191" t="s">
        <v>98</v>
      </c>
      <c r="AW2" s="191" t="s">
        <v>99</v>
      </c>
      <c r="AX2" s="191" t="s">
        <v>97</v>
      </c>
      <c r="AY2" s="191" t="s">
        <v>98</v>
      </c>
      <c r="AZ2" s="191" t="s">
        <v>99</v>
      </c>
    </row>
    <row r="3" spans="1:52" ht="43.2" x14ac:dyDescent="0.3">
      <c r="A3"/>
      <c r="B3" s="47" t="s">
        <v>34</v>
      </c>
      <c r="C3" s="47" t="s">
        <v>200</v>
      </c>
      <c r="D3" s="47" t="s">
        <v>20</v>
      </c>
      <c r="E3" s="47" t="s">
        <v>1</v>
      </c>
      <c r="F3" s="47" t="s">
        <v>133</v>
      </c>
      <c r="G3" s="47" t="s">
        <v>2</v>
      </c>
      <c r="H3" s="47" t="s">
        <v>3</v>
      </c>
      <c r="I3" s="47" t="s">
        <v>4</v>
      </c>
      <c r="J3" s="47" t="s">
        <v>237</v>
      </c>
      <c r="K3" s="47" t="s">
        <v>236</v>
      </c>
      <c r="L3" s="47" t="s">
        <v>566</v>
      </c>
      <c r="M3" s="67" t="s">
        <v>459</v>
      </c>
      <c r="N3" s="47" t="s">
        <v>567</v>
      </c>
      <c r="O3" s="47" t="s">
        <v>590</v>
      </c>
      <c r="P3" s="47" t="s">
        <v>568</v>
      </c>
      <c r="Q3" s="47" t="s">
        <v>569</v>
      </c>
      <c r="R3" s="47" t="s">
        <v>571</v>
      </c>
      <c r="S3" s="47" t="s">
        <v>572</v>
      </c>
      <c r="T3" s="47" t="s">
        <v>574</v>
      </c>
      <c r="U3" s="47" t="s">
        <v>575</v>
      </c>
      <c r="V3" s="47" t="s">
        <v>583</v>
      </c>
      <c r="W3" s="47" t="s">
        <v>660</v>
      </c>
      <c r="X3" s="47" t="s">
        <v>661</v>
      </c>
      <c r="Y3" s="47" t="s">
        <v>584</v>
      </c>
      <c r="Z3" s="47" t="s">
        <v>665</v>
      </c>
      <c r="AA3" s="47" t="s">
        <v>664</v>
      </c>
      <c r="AB3" s="47" t="s">
        <v>585</v>
      </c>
      <c r="AC3" s="47" t="s">
        <v>662</v>
      </c>
      <c r="AD3" s="47" t="s">
        <v>663</v>
      </c>
      <c r="AE3" s="47" t="s">
        <v>213</v>
      </c>
      <c r="AF3" s="47" t="s">
        <v>225</v>
      </c>
      <c r="AG3" s="47" t="s">
        <v>228</v>
      </c>
      <c r="AH3" s="47" t="s">
        <v>224</v>
      </c>
      <c r="AI3" s="47" t="s">
        <v>227</v>
      </c>
      <c r="AJ3" s="47" t="s">
        <v>230</v>
      </c>
      <c r="AK3" s="255"/>
      <c r="AL3" s="47" t="s">
        <v>233</v>
      </c>
      <c r="AM3" s="47" t="s">
        <v>234</v>
      </c>
      <c r="AN3" s="47" t="s">
        <v>235</v>
      </c>
      <c r="AO3" s="47" t="s">
        <v>570</v>
      </c>
      <c r="AP3" s="47" t="s">
        <v>573</v>
      </c>
      <c r="AQ3" s="47" t="s">
        <v>576</v>
      </c>
      <c r="AR3" s="47" t="s">
        <v>577</v>
      </c>
      <c r="AS3" s="47" t="s">
        <v>578</v>
      </c>
      <c r="AT3" s="47" t="s">
        <v>579</v>
      </c>
      <c r="AU3" s="47" t="s">
        <v>580</v>
      </c>
      <c r="AV3" s="47" t="s">
        <v>581</v>
      </c>
      <c r="AW3" s="47" t="s">
        <v>582</v>
      </c>
      <c r="AX3" s="47" t="s">
        <v>586</v>
      </c>
      <c r="AY3" s="47" t="s">
        <v>587</v>
      </c>
      <c r="AZ3" s="47" t="s">
        <v>588</v>
      </c>
    </row>
    <row r="4" spans="1:52" ht="15" customHeight="1" x14ac:dyDescent="0.3">
      <c r="A4" s="189" t="s">
        <v>128</v>
      </c>
      <c r="B4" s="51">
        <v>99</v>
      </c>
      <c r="C4" s="51">
        <v>1</v>
      </c>
      <c r="D4" s="51">
        <v>1</v>
      </c>
      <c r="E4" s="51" t="s">
        <v>179</v>
      </c>
      <c r="F4" s="51" t="s">
        <v>132</v>
      </c>
      <c r="G4" s="51" t="s">
        <v>10</v>
      </c>
      <c r="H4" s="51" t="s">
        <v>306</v>
      </c>
      <c r="I4" s="51" t="s">
        <v>147</v>
      </c>
      <c r="J4" s="51">
        <v>2</v>
      </c>
      <c r="K4" s="51">
        <v>400</v>
      </c>
      <c r="L4" s="51">
        <v>0.90800000000000003</v>
      </c>
      <c r="M4" s="51">
        <v>5</v>
      </c>
      <c r="N4" s="51">
        <v>40</v>
      </c>
      <c r="O4" s="51">
        <v>0.91</v>
      </c>
      <c r="P4" s="51">
        <v>25457</v>
      </c>
      <c r="Q4" s="51">
        <v>68</v>
      </c>
      <c r="R4" s="51">
        <v>24356</v>
      </c>
      <c r="S4" s="51">
        <v>92</v>
      </c>
      <c r="T4" s="51">
        <v>25168</v>
      </c>
      <c r="U4" s="51">
        <v>78</v>
      </c>
      <c r="V4" s="178">
        <v>3.1575549999999999</v>
      </c>
      <c r="W4" s="178"/>
      <c r="X4" s="178"/>
      <c r="Y4" s="178">
        <v>4.2556447000000004</v>
      </c>
      <c r="Z4" s="178"/>
      <c r="AA4" s="178"/>
      <c r="AB4" s="178">
        <v>3.5588739999999999</v>
      </c>
      <c r="AC4" s="178"/>
      <c r="AD4" s="178"/>
      <c r="AE4" s="178">
        <f>V4*$N4/$J4*1.0253</f>
        <v>64.748822830000009</v>
      </c>
      <c r="AF4" s="178">
        <f>Y4*$N4/$J4*0.95583</f>
        <v>81.353457472020011</v>
      </c>
      <c r="AG4" s="178">
        <f>AB4*$N4/$J4</f>
        <v>71.177480000000003</v>
      </c>
      <c r="AH4" s="51"/>
      <c r="AI4" s="51"/>
      <c r="AJ4" s="51"/>
      <c r="AK4" s="51"/>
      <c r="AL4" s="51"/>
      <c r="AM4" s="51"/>
      <c r="AN4" s="51"/>
      <c r="AO4" s="51">
        <f t="shared" ref="AO4:AO20" si="0">IF(ISBLANK(P4)," ",P4-Q4)</f>
        <v>25389</v>
      </c>
      <c r="AP4" s="51">
        <v>25318</v>
      </c>
      <c r="AQ4" s="51">
        <v>25090</v>
      </c>
      <c r="AR4" s="176">
        <v>2.939280150871586</v>
      </c>
      <c r="AS4" s="176">
        <v>4.1587421538985572</v>
      </c>
      <c r="AT4" s="176">
        <v>3.410973557792321</v>
      </c>
      <c r="AU4" s="176">
        <v>58.785603017431718</v>
      </c>
      <c r="AV4" s="176">
        <v>83.174843077971147</v>
      </c>
      <c r="AW4" s="176">
        <v>68.219471155846421</v>
      </c>
      <c r="AX4" s="51">
        <v>-2.5300000000000145</v>
      </c>
      <c r="AY4" s="51">
        <v>4.4169999999999998</v>
      </c>
      <c r="AZ4" s="51">
        <v>0</v>
      </c>
    </row>
    <row r="5" spans="1:52" x14ac:dyDescent="0.3">
      <c r="A5" s="190" t="s">
        <v>326</v>
      </c>
      <c r="B5" s="44">
        <f>Lab_Code!$C$1</f>
        <v>999</v>
      </c>
      <c r="C5" s="60">
        <v>1</v>
      </c>
      <c r="D5" s="60" t="s">
        <v>710</v>
      </c>
      <c r="E5" s="60" t="s">
        <v>33</v>
      </c>
      <c r="F5" s="60" t="s">
        <v>132</v>
      </c>
      <c r="G5" s="60" t="s">
        <v>711</v>
      </c>
      <c r="H5" s="61"/>
      <c r="I5" s="60" t="s">
        <v>148</v>
      </c>
      <c r="J5" s="61"/>
      <c r="K5" s="61"/>
      <c r="L5" s="61"/>
      <c r="M5" s="60">
        <v>5</v>
      </c>
      <c r="N5" s="60">
        <v>9</v>
      </c>
      <c r="O5" s="60">
        <v>0.432</v>
      </c>
      <c r="P5" s="60">
        <v>0</v>
      </c>
      <c r="Q5" s="60"/>
      <c r="R5" s="60"/>
      <c r="S5" s="60"/>
      <c r="T5" s="60"/>
      <c r="U5" s="60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60" t="s">
        <v>209</v>
      </c>
      <c r="AI5" s="60" t="s">
        <v>209</v>
      </c>
      <c r="AJ5" s="60" t="s">
        <v>209</v>
      </c>
      <c r="AK5" s="60"/>
      <c r="AL5" s="44" t="str">
        <f ca="1">OFFSET(Dropdown_Data!$P$1, MATCH(dPCR_QC_Data!AH5, Dropdown_Data!$O$2:$O$14,0), 0)</f>
        <v>No qualifier</v>
      </c>
      <c r="AM5" s="44" t="str">
        <f ca="1">OFFSET(Dropdown_Data!$P$1, MATCH(dPCR_QC_Data!AI5, Dropdown_Data!$O$2:$O$14,0), 0)</f>
        <v>No qualifier</v>
      </c>
      <c r="AN5" s="44" t="str">
        <f ca="1">OFFSET(Dropdown_Data!$P$1, MATCH(dPCR_QC_Data!AJ5, Dropdown_Data!$O$2:$O$14,0), 0)</f>
        <v>No qualifier</v>
      </c>
      <c r="AO5" s="44">
        <f t="shared" si="0"/>
        <v>0</v>
      </c>
      <c r="AP5" s="44" t="str">
        <f t="shared" ref="AP5:AP20" si="1">IF(ISBLANK(R5)," ",R5-S5)</f>
        <v xml:space="preserve"> </v>
      </c>
      <c r="AQ5" s="44" t="str">
        <f t="shared" ref="AQ5:AQ20" si="2">IF(ISBLANK(T5)," ",T5-U5)</f>
        <v xml:space="preserve"> </v>
      </c>
      <c r="AR5" s="140" t="e">
        <f t="shared" ref="AR5:AR20" si="3">IF(ISBLANK(P5)," ",LN(Q5/AO5+1)/$O5*1000)</f>
        <v>#DIV/0!</v>
      </c>
      <c r="AS5" s="140" t="str">
        <f t="shared" ref="AS5:AS20" si="4">IF(ISBLANK(R5)," ",LN(S5/AP5+1)/$O5*1000)</f>
        <v xml:space="preserve"> </v>
      </c>
      <c r="AT5" s="140" t="str">
        <f t="shared" ref="AT5:AT20" si="5">IF(ISBLANK(T5)," ",LN(U5/AQ5+1)/$O5*1000)</f>
        <v xml:space="preserve"> </v>
      </c>
      <c r="AU5" s="140" t="e">
        <f t="shared" ref="AU5:AU20" si="6">IF(ISBLANK(P5)," ",AR5*$N5/$J5)</f>
        <v>#DIV/0!</v>
      </c>
      <c r="AV5" s="140" t="str">
        <f t="shared" ref="AV5:AV20" si="7">IF(ISBLANK(R5)," ",AS5*$N5/$J5)</f>
        <v xml:space="preserve"> </v>
      </c>
      <c r="AW5" s="140" t="str">
        <f t="shared" ref="AW5:AW20" si="8">IF(ISBLANK(T5)," ",AT5*$N5/$J5)</f>
        <v xml:space="preserve"> </v>
      </c>
      <c r="AX5" s="140" t="str">
        <f t="shared" ref="AX5:AX20" si="9">IF(ISBLANK(AE5)," ",(AU5-AE5)/AU5*100)</f>
        <v xml:space="preserve"> </v>
      </c>
      <c r="AY5" s="140" t="str">
        <f t="shared" ref="AY5:AY20" si="10">IF(ISBLANK(AF5)," ",(AV5-AF5)/AV5*100)</f>
        <v xml:space="preserve"> </v>
      </c>
      <c r="AZ5" s="140" t="str">
        <f t="shared" ref="AZ5:AZ20" si="11">IF(ISBLANK(AG5)," ",(AW5-AG5)/AW5*100)</f>
        <v xml:space="preserve"> </v>
      </c>
    </row>
    <row r="6" spans="1:52" x14ac:dyDescent="0.3">
      <c r="B6" s="44">
        <f>Lab_Code!$C$1</f>
        <v>999</v>
      </c>
      <c r="C6" s="60">
        <v>1</v>
      </c>
      <c r="D6" s="60" t="s">
        <v>710</v>
      </c>
      <c r="E6" s="60" t="s">
        <v>179</v>
      </c>
      <c r="F6" s="60" t="s">
        <v>132</v>
      </c>
      <c r="G6" s="60" t="s">
        <v>395</v>
      </c>
      <c r="H6" s="61"/>
      <c r="I6" s="60" t="s">
        <v>148</v>
      </c>
      <c r="J6" s="61"/>
      <c r="K6" s="61"/>
      <c r="L6" s="61"/>
      <c r="M6" s="60">
        <v>5</v>
      </c>
      <c r="N6" s="60">
        <v>9</v>
      </c>
      <c r="O6" s="60">
        <v>0.432</v>
      </c>
      <c r="P6" s="60">
        <v>16</v>
      </c>
      <c r="Q6" s="60"/>
      <c r="R6" s="60"/>
      <c r="S6" s="60"/>
      <c r="T6" s="60"/>
      <c r="U6" s="60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60" t="s">
        <v>209</v>
      </c>
      <c r="AI6" s="60" t="s">
        <v>209</v>
      </c>
      <c r="AJ6" s="60" t="s">
        <v>209</v>
      </c>
      <c r="AK6" s="60"/>
      <c r="AL6" s="44" t="str">
        <f ca="1">OFFSET(Dropdown_Data!$P$1, MATCH(dPCR_QC_Data!AH6, Dropdown_Data!$O$2:$O$14,0), 0)</f>
        <v>No qualifier</v>
      </c>
      <c r="AM6" s="44" t="str">
        <f ca="1">OFFSET(Dropdown_Data!$P$1, MATCH(dPCR_QC_Data!AI6, Dropdown_Data!$O$2:$O$14,0), 0)</f>
        <v>No qualifier</v>
      </c>
      <c r="AN6" s="44" t="str">
        <f ca="1">OFFSET(Dropdown_Data!$P$1, MATCH(dPCR_QC_Data!AJ6, Dropdown_Data!$O$2:$O$14,0), 0)</f>
        <v>No qualifier</v>
      </c>
      <c r="AO6" s="44">
        <f t="shared" si="0"/>
        <v>16</v>
      </c>
      <c r="AP6" s="44" t="str">
        <f t="shared" si="1"/>
        <v xml:space="preserve"> </v>
      </c>
      <c r="AQ6" s="44" t="str">
        <f t="shared" si="2"/>
        <v xml:space="preserve"> </v>
      </c>
      <c r="AR6" s="140">
        <f t="shared" si="3"/>
        <v>0</v>
      </c>
      <c r="AS6" s="140" t="str">
        <f t="shared" si="4"/>
        <v xml:space="preserve"> </v>
      </c>
      <c r="AT6" s="140" t="str">
        <f t="shared" si="5"/>
        <v xml:space="preserve"> </v>
      </c>
      <c r="AU6" s="140" t="e">
        <f t="shared" si="6"/>
        <v>#DIV/0!</v>
      </c>
      <c r="AV6" s="140" t="str">
        <f t="shared" si="7"/>
        <v xml:space="preserve"> </v>
      </c>
      <c r="AW6" s="140" t="str">
        <f t="shared" si="8"/>
        <v xml:space="preserve"> </v>
      </c>
      <c r="AX6" s="140" t="str">
        <f t="shared" si="9"/>
        <v xml:space="preserve"> </v>
      </c>
      <c r="AY6" s="140" t="str">
        <f t="shared" si="10"/>
        <v xml:space="preserve"> </v>
      </c>
      <c r="AZ6" s="140" t="str">
        <f t="shared" si="11"/>
        <v xml:space="preserve"> </v>
      </c>
    </row>
    <row r="7" spans="1:52" x14ac:dyDescent="0.3">
      <c r="B7" s="44">
        <f>Lab_Code!$C$1</f>
        <v>999</v>
      </c>
      <c r="C7" s="60">
        <v>1</v>
      </c>
      <c r="D7" s="60" t="s">
        <v>710</v>
      </c>
      <c r="E7" s="60" t="s">
        <v>179</v>
      </c>
      <c r="F7" s="60" t="s">
        <v>132</v>
      </c>
      <c r="G7" s="60" t="s">
        <v>396</v>
      </c>
      <c r="H7" s="61"/>
      <c r="I7" s="60" t="s">
        <v>148</v>
      </c>
      <c r="J7" s="61"/>
      <c r="K7" s="61"/>
      <c r="L7" s="61"/>
      <c r="M7" s="60">
        <v>5</v>
      </c>
      <c r="N7" s="60">
        <v>9</v>
      </c>
      <c r="O7" s="60">
        <v>0.432</v>
      </c>
      <c r="P7" s="60">
        <v>94</v>
      </c>
      <c r="Q7" s="60"/>
      <c r="R7" s="60"/>
      <c r="S7" s="60"/>
      <c r="T7" s="60"/>
      <c r="U7" s="60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60" t="s">
        <v>209</v>
      </c>
      <c r="AI7" s="60" t="s">
        <v>209</v>
      </c>
      <c r="AJ7" s="60" t="s">
        <v>209</v>
      </c>
      <c r="AK7" s="60"/>
      <c r="AL7" s="44" t="str">
        <f ca="1">OFFSET(Dropdown_Data!$P$1, MATCH(dPCR_QC_Data!AH7, Dropdown_Data!$O$2:$O$14,0), 0)</f>
        <v>No qualifier</v>
      </c>
      <c r="AM7" s="44" t="str">
        <f ca="1">OFFSET(Dropdown_Data!$P$1, MATCH(dPCR_QC_Data!AI7, Dropdown_Data!$O$2:$O$14,0), 0)</f>
        <v>No qualifier</v>
      </c>
      <c r="AN7" s="44" t="str">
        <f ca="1">OFFSET(Dropdown_Data!$P$1, MATCH(dPCR_QC_Data!AJ7, Dropdown_Data!$O$2:$O$14,0), 0)</f>
        <v>No qualifier</v>
      </c>
      <c r="AO7" s="44">
        <f t="shared" si="0"/>
        <v>94</v>
      </c>
      <c r="AP7" s="44" t="str">
        <f t="shared" si="1"/>
        <v xml:space="preserve"> </v>
      </c>
      <c r="AQ7" s="44" t="str">
        <f t="shared" si="2"/>
        <v xml:space="preserve"> </v>
      </c>
      <c r="AR7" s="140">
        <f t="shared" si="3"/>
        <v>0</v>
      </c>
      <c r="AS7" s="140" t="str">
        <f t="shared" si="4"/>
        <v xml:space="preserve"> </v>
      </c>
      <c r="AT7" s="140" t="str">
        <f t="shared" si="5"/>
        <v xml:space="preserve"> </v>
      </c>
      <c r="AU7" s="140" t="e">
        <f t="shared" si="6"/>
        <v>#DIV/0!</v>
      </c>
      <c r="AV7" s="140" t="str">
        <f t="shared" si="7"/>
        <v xml:space="preserve"> </v>
      </c>
      <c r="AW7" s="140" t="str">
        <f t="shared" si="8"/>
        <v xml:space="preserve"> </v>
      </c>
      <c r="AX7" s="140" t="str">
        <f t="shared" si="9"/>
        <v xml:space="preserve"> </v>
      </c>
      <c r="AY7" s="140" t="str">
        <f t="shared" si="10"/>
        <v xml:space="preserve"> </v>
      </c>
      <c r="AZ7" s="140" t="str">
        <f t="shared" si="11"/>
        <v xml:space="preserve"> </v>
      </c>
    </row>
    <row r="8" spans="1:52" x14ac:dyDescent="0.3">
      <c r="B8" s="44">
        <f>Lab_Code!$C$1</f>
        <v>999</v>
      </c>
      <c r="C8" s="60">
        <v>1</v>
      </c>
      <c r="D8" s="60" t="s">
        <v>710</v>
      </c>
      <c r="E8" s="60" t="s">
        <v>33</v>
      </c>
      <c r="F8" s="60" t="s">
        <v>132</v>
      </c>
      <c r="G8" s="60" t="s">
        <v>397</v>
      </c>
      <c r="H8" s="61"/>
      <c r="I8" s="60" t="s">
        <v>148</v>
      </c>
      <c r="J8" s="61"/>
      <c r="K8" s="61"/>
      <c r="L8" s="61"/>
      <c r="M8" s="60">
        <v>5</v>
      </c>
      <c r="N8" s="60">
        <v>9</v>
      </c>
      <c r="O8" s="60">
        <v>0.432</v>
      </c>
      <c r="P8" s="60">
        <v>0</v>
      </c>
      <c r="Q8" s="60"/>
      <c r="R8" s="60"/>
      <c r="S8" s="60"/>
      <c r="T8" s="60"/>
      <c r="U8" s="60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60" t="s">
        <v>209</v>
      </c>
      <c r="AI8" s="60" t="s">
        <v>209</v>
      </c>
      <c r="AJ8" s="60" t="s">
        <v>209</v>
      </c>
      <c r="AK8" s="60"/>
      <c r="AL8" s="44" t="str">
        <f ca="1">OFFSET(Dropdown_Data!$P$1, MATCH(dPCR_QC_Data!AH8, Dropdown_Data!$O$2:$O$14,0), 0)</f>
        <v>No qualifier</v>
      </c>
      <c r="AM8" s="44" t="str">
        <f ca="1">OFFSET(Dropdown_Data!$P$1, MATCH(dPCR_QC_Data!AI8, Dropdown_Data!$O$2:$O$14,0), 0)</f>
        <v>No qualifier</v>
      </c>
      <c r="AN8" s="44" t="str">
        <f ca="1">OFFSET(Dropdown_Data!$P$1, MATCH(dPCR_QC_Data!AJ8, Dropdown_Data!$O$2:$O$14,0), 0)</f>
        <v>No qualifier</v>
      </c>
      <c r="AO8" s="44">
        <f t="shared" si="0"/>
        <v>0</v>
      </c>
      <c r="AP8" s="44" t="str">
        <f t="shared" si="1"/>
        <v xml:space="preserve"> </v>
      </c>
      <c r="AQ8" s="44" t="str">
        <f t="shared" si="2"/>
        <v xml:space="preserve"> </v>
      </c>
      <c r="AR8" s="140" t="e">
        <f t="shared" si="3"/>
        <v>#DIV/0!</v>
      </c>
      <c r="AS8" s="140" t="str">
        <f t="shared" si="4"/>
        <v xml:space="preserve"> </v>
      </c>
      <c r="AT8" s="140" t="str">
        <f t="shared" si="5"/>
        <v xml:space="preserve"> </v>
      </c>
      <c r="AU8" s="140" t="e">
        <f t="shared" si="6"/>
        <v>#DIV/0!</v>
      </c>
      <c r="AV8" s="140" t="str">
        <f t="shared" si="7"/>
        <v xml:space="preserve"> </v>
      </c>
      <c r="AW8" s="140" t="str">
        <f t="shared" si="8"/>
        <v xml:space="preserve"> </v>
      </c>
      <c r="AX8" s="140" t="str">
        <f t="shared" si="9"/>
        <v xml:space="preserve"> </v>
      </c>
      <c r="AY8" s="140" t="str">
        <f t="shared" si="10"/>
        <v xml:space="preserve"> </v>
      </c>
      <c r="AZ8" s="140" t="str">
        <f t="shared" si="11"/>
        <v xml:space="preserve"> </v>
      </c>
    </row>
    <row r="9" spans="1:52" x14ac:dyDescent="0.3">
      <c r="B9" s="44">
        <f>Lab_Code!$C$1</f>
        <v>999</v>
      </c>
      <c r="C9" s="60">
        <v>1</v>
      </c>
      <c r="D9" s="60" t="s">
        <v>710</v>
      </c>
      <c r="E9" s="60" t="s">
        <v>179</v>
      </c>
      <c r="F9" s="60" t="s">
        <v>132</v>
      </c>
      <c r="G9" s="60" t="s">
        <v>398</v>
      </c>
      <c r="H9" s="61"/>
      <c r="I9" s="60" t="s">
        <v>148</v>
      </c>
      <c r="J9" s="61"/>
      <c r="K9" s="61"/>
      <c r="L9" s="61"/>
      <c r="M9" s="60">
        <v>5</v>
      </c>
      <c r="N9" s="60">
        <v>9</v>
      </c>
      <c r="O9" s="60">
        <v>0.432</v>
      </c>
      <c r="P9" s="60">
        <v>51</v>
      </c>
      <c r="Q9" s="60"/>
      <c r="R9" s="60"/>
      <c r="S9" s="60"/>
      <c r="T9" s="60"/>
      <c r="U9" s="60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60" t="s">
        <v>209</v>
      </c>
      <c r="AI9" s="60" t="s">
        <v>209</v>
      </c>
      <c r="AJ9" s="60" t="s">
        <v>209</v>
      </c>
      <c r="AK9" s="60"/>
      <c r="AL9" s="44" t="str">
        <f ca="1">OFFSET(Dropdown_Data!$P$1, MATCH(dPCR_QC_Data!AH9, Dropdown_Data!$O$2:$O$14,0), 0)</f>
        <v>No qualifier</v>
      </c>
      <c r="AM9" s="44" t="str">
        <f ca="1">OFFSET(Dropdown_Data!$P$1, MATCH(dPCR_QC_Data!AI9, Dropdown_Data!$O$2:$O$14,0), 0)</f>
        <v>No qualifier</v>
      </c>
      <c r="AN9" s="44" t="str">
        <f ca="1">OFFSET(Dropdown_Data!$P$1, MATCH(dPCR_QC_Data!AJ9, Dropdown_Data!$O$2:$O$14,0), 0)</f>
        <v>No qualifier</v>
      </c>
      <c r="AO9" s="44">
        <f t="shared" si="0"/>
        <v>51</v>
      </c>
      <c r="AP9" s="44" t="str">
        <f t="shared" si="1"/>
        <v xml:space="preserve"> </v>
      </c>
      <c r="AQ9" s="44" t="str">
        <f t="shared" si="2"/>
        <v xml:space="preserve"> </v>
      </c>
      <c r="AR9" s="140">
        <f t="shared" si="3"/>
        <v>0</v>
      </c>
      <c r="AS9" s="140" t="str">
        <f t="shared" si="4"/>
        <v xml:space="preserve"> </v>
      </c>
      <c r="AT9" s="140" t="str">
        <f t="shared" si="5"/>
        <v xml:space="preserve"> </v>
      </c>
      <c r="AU9" s="140" t="e">
        <f t="shared" si="6"/>
        <v>#DIV/0!</v>
      </c>
      <c r="AV9" s="140" t="str">
        <f t="shared" si="7"/>
        <v xml:space="preserve"> </v>
      </c>
      <c r="AW9" s="140" t="str">
        <f t="shared" si="8"/>
        <v xml:space="preserve"> </v>
      </c>
      <c r="AX9" s="140" t="str">
        <f t="shared" si="9"/>
        <v xml:space="preserve"> </v>
      </c>
      <c r="AY9" s="140" t="str">
        <f t="shared" si="10"/>
        <v xml:space="preserve"> </v>
      </c>
      <c r="AZ9" s="140" t="str">
        <f t="shared" si="11"/>
        <v xml:space="preserve"> </v>
      </c>
    </row>
    <row r="10" spans="1:52" x14ac:dyDescent="0.3">
      <c r="B10" s="44">
        <f>Lab_Code!$C$1</f>
        <v>999</v>
      </c>
      <c r="C10" s="60">
        <v>1</v>
      </c>
      <c r="D10" s="60" t="s">
        <v>710</v>
      </c>
      <c r="E10" s="60" t="s">
        <v>179</v>
      </c>
      <c r="F10" s="60" t="s">
        <v>132</v>
      </c>
      <c r="G10" s="60" t="s">
        <v>399</v>
      </c>
      <c r="H10" s="61"/>
      <c r="I10" s="60" t="s">
        <v>148</v>
      </c>
      <c r="J10" s="61"/>
      <c r="K10" s="61"/>
      <c r="L10" s="61"/>
      <c r="M10" s="60">
        <v>5</v>
      </c>
      <c r="N10" s="60">
        <v>9</v>
      </c>
      <c r="O10" s="60">
        <v>0.432</v>
      </c>
      <c r="P10" s="60">
        <v>146</v>
      </c>
      <c r="Q10" s="60"/>
      <c r="R10" s="60"/>
      <c r="S10" s="60"/>
      <c r="T10" s="60"/>
      <c r="U10" s="60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60" t="s">
        <v>209</v>
      </c>
      <c r="AI10" s="60" t="s">
        <v>209</v>
      </c>
      <c r="AJ10" s="60" t="s">
        <v>209</v>
      </c>
      <c r="AK10" s="60"/>
      <c r="AL10" s="44" t="str">
        <f ca="1">OFFSET(Dropdown_Data!$P$1, MATCH(dPCR_QC_Data!AH10, Dropdown_Data!$O$2:$O$14,0), 0)</f>
        <v>No qualifier</v>
      </c>
      <c r="AM10" s="44" t="str">
        <f ca="1">OFFSET(Dropdown_Data!$P$1, MATCH(dPCR_QC_Data!AI10, Dropdown_Data!$O$2:$O$14,0), 0)</f>
        <v>No qualifier</v>
      </c>
      <c r="AN10" s="44" t="str">
        <f ca="1">OFFSET(Dropdown_Data!$P$1, MATCH(dPCR_QC_Data!AJ10, Dropdown_Data!$O$2:$O$14,0), 0)</f>
        <v>No qualifier</v>
      </c>
      <c r="AO10" s="44">
        <f t="shared" si="0"/>
        <v>146</v>
      </c>
      <c r="AP10" s="44" t="str">
        <f t="shared" si="1"/>
        <v xml:space="preserve"> </v>
      </c>
      <c r="AQ10" s="44" t="str">
        <f t="shared" si="2"/>
        <v xml:space="preserve"> </v>
      </c>
      <c r="AR10" s="140">
        <f t="shared" si="3"/>
        <v>0</v>
      </c>
      <c r="AS10" s="140" t="str">
        <f t="shared" si="4"/>
        <v xml:space="preserve"> </v>
      </c>
      <c r="AT10" s="140" t="str">
        <f t="shared" si="5"/>
        <v xml:space="preserve"> </v>
      </c>
      <c r="AU10" s="140" t="e">
        <f t="shared" si="6"/>
        <v>#DIV/0!</v>
      </c>
      <c r="AV10" s="140" t="str">
        <f t="shared" si="7"/>
        <v xml:space="preserve"> </v>
      </c>
      <c r="AW10" s="140" t="str">
        <f t="shared" si="8"/>
        <v xml:space="preserve"> </v>
      </c>
      <c r="AX10" s="140" t="str">
        <f t="shared" si="9"/>
        <v xml:space="preserve"> </v>
      </c>
      <c r="AY10" s="140" t="str">
        <f t="shared" si="10"/>
        <v xml:space="preserve"> </v>
      </c>
      <c r="AZ10" s="140" t="str">
        <f t="shared" si="11"/>
        <v xml:space="preserve"> </v>
      </c>
    </row>
    <row r="11" spans="1:52" x14ac:dyDescent="0.3">
      <c r="B11" s="44">
        <f>Lab_Code!$C$1</f>
        <v>999</v>
      </c>
      <c r="C11" s="60"/>
      <c r="D11" s="60"/>
      <c r="E11" s="60"/>
      <c r="F11" s="60"/>
      <c r="G11" s="60"/>
      <c r="H11" s="61"/>
      <c r="I11" s="60"/>
      <c r="J11" s="61"/>
      <c r="K11" s="61"/>
      <c r="L11" s="61"/>
      <c r="M11" s="60"/>
      <c r="N11" s="60"/>
      <c r="O11" s="60"/>
      <c r="P11" s="60"/>
      <c r="Q11" s="60"/>
      <c r="R11" s="60"/>
      <c r="S11" s="60"/>
      <c r="T11" s="60"/>
      <c r="U11" s="60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60" t="s">
        <v>209</v>
      </c>
      <c r="AI11" s="60" t="s">
        <v>209</v>
      </c>
      <c r="AJ11" s="60" t="s">
        <v>209</v>
      </c>
      <c r="AK11" s="60"/>
      <c r="AL11" s="44" t="str">
        <f ca="1">OFFSET(Dropdown_Data!$P$1, MATCH(dPCR_QC_Data!AH11, Dropdown_Data!$O$2:$O$14,0), 0)</f>
        <v>No qualifier</v>
      </c>
      <c r="AM11" s="44" t="str">
        <f ca="1">OFFSET(Dropdown_Data!$P$1, MATCH(dPCR_QC_Data!AI11, Dropdown_Data!$O$2:$O$14,0), 0)</f>
        <v>No qualifier</v>
      </c>
      <c r="AN11" s="44" t="str">
        <f ca="1">OFFSET(Dropdown_Data!$P$1, MATCH(dPCR_QC_Data!AJ11, Dropdown_Data!$O$2:$O$14,0), 0)</f>
        <v>No qualifier</v>
      </c>
      <c r="AO11" s="44" t="str">
        <f t="shared" si="0"/>
        <v xml:space="preserve"> </v>
      </c>
      <c r="AP11" s="44" t="str">
        <f t="shared" si="1"/>
        <v xml:space="preserve"> </v>
      </c>
      <c r="AQ11" s="44" t="str">
        <f t="shared" si="2"/>
        <v xml:space="preserve"> </v>
      </c>
      <c r="AR11" s="140" t="str">
        <f t="shared" si="3"/>
        <v xml:space="preserve"> </v>
      </c>
      <c r="AS11" s="140" t="str">
        <f t="shared" si="4"/>
        <v xml:space="preserve"> </v>
      </c>
      <c r="AT11" s="140" t="str">
        <f t="shared" si="5"/>
        <v xml:space="preserve"> </v>
      </c>
      <c r="AU11" s="140" t="str">
        <f t="shared" si="6"/>
        <v xml:space="preserve"> </v>
      </c>
      <c r="AV11" s="140" t="str">
        <f t="shared" si="7"/>
        <v xml:space="preserve"> </v>
      </c>
      <c r="AW11" s="140" t="str">
        <f t="shared" si="8"/>
        <v xml:space="preserve"> </v>
      </c>
      <c r="AX11" s="140" t="str">
        <f t="shared" si="9"/>
        <v xml:space="preserve"> </v>
      </c>
      <c r="AY11" s="140" t="str">
        <f t="shared" si="10"/>
        <v xml:space="preserve"> </v>
      </c>
      <c r="AZ11" s="140" t="str">
        <f t="shared" si="11"/>
        <v xml:space="preserve"> </v>
      </c>
    </row>
    <row r="12" spans="1:52" x14ac:dyDescent="0.3">
      <c r="B12" s="44">
        <f>Lab_Code!$C$1</f>
        <v>999</v>
      </c>
      <c r="C12" s="60"/>
      <c r="D12" s="60"/>
      <c r="E12" s="60"/>
      <c r="F12" s="60"/>
      <c r="G12" s="60"/>
      <c r="H12" s="61"/>
      <c r="I12" s="60"/>
      <c r="J12" s="61"/>
      <c r="K12" s="61"/>
      <c r="L12" s="61"/>
      <c r="M12" s="60"/>
      <c r="N12" s="60"/>
      <c r="O12" s="60"/>
      <c r="P12" s="60"/>
      <c r="Q12" s="60"/>
      <c r="R12" s="60"/>
      <c r="S12" s="60"/>
      <c r="T12" s="60"/>
      <c r="U12" s="60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60" t="s">
        <v>209</v>
      </c>
      <c r="AI12" s="60" t="s">
        <v>209</v>
      </c>
      <c r="AJ12" s="60" t="s">
        <v>209</v>
      </c>
      <c r="AK12" s="60"/>
      <c r="AL12" s="44" t="str">
        <f ca="1">OFFSET(Dropdown_Data!$P$1, MATCH(dPCR_QC_Data!AH12, Dropdown_Data!$O$2:$O$14,0), 0)</f>
        <v>No qualifier</v>
      </c>
      <c r="AM12" s="44" t="str">
        <f ca="1">OFFSET(Dropdown_Data!$P$1, MATCH(dPCR_QC_Data!AI12, Dropdown_Data!$O$2:$O$14,0), 0)</f>
        <v>No qualifier</v>
      </c>
      <c r="AN12" s="44" t="str">
        <f ca="1">OFFSET(Dropdown_Data!$P$1, MATCH(dPCR_QC_Data!AJ12, Dropdown_Data!$O$2:$O$14,0), 0)</f>
        <v>No qualifier</v>
      </c>
      <c r="AO12" s="44" t="str">
        <f t="shared" si="0"/>
        <v xml:space="preserve"> </v>
      </c>
      <c r="AP12" s="44" t="str">
        <f t="shared" si="1"/>
        <v xml:space="preserve"> </v>
      </c>
      <c r="AQ12" s="44" t="str">
        <f t="shared" si="2"/>
        <v xml:space="preserve"> </v>
      </c>
      <c r="AR12" s="140" t="str">
        <f t="shared" si="3"/>
        <v xml:space="preserve"> </v>
      </c>
      <c r="AS12" s="140" t="str">
        <f t="shared" si="4"/>
        <v xml:space="preserve"> </v>
      </c>
      <c r="AT12" s="140" t="str">
        <f t="shared" si="5"/>
        <v xml:space="preserve"> </v>
      </c>
      <c r="AU12" s="140" t="str">
        <f t="shared" si="6"/>
        <v xml:space="preserve"> </v>
      </c>
      <c r="AV12" s="140" t="str">
        <f t="shared" si="7"/>
        <v xml:space="preserve"> </v>
      </c>
      <c r="AW12" s="140" t="str">
        <f t="shared" si="8"/>
        <v xml:space="preserve"> </v>
      </c>
      <c r="AX12" s="140" t="str">
        <f t="shared" si="9"/>
        <v xml:space="preserve"> </v>
      </c>
      <c r="AY12" s="140" t="str">
        <f t="shared" si="10"/>
        <v xml:space="preserve"> </v>
      </c>
      <c r="AZ12" s="140" t="str">
        <f t="shared" si="11"/>
        <v xml:space="preserve"> </v>
      </c>
    </row>
    <row r="13" spans="1:52" x14ac:dyDescent="0.3">
      <c r="B13" s="44">
        <f>Lab_Code!$C$1</f>
        <v>999</v>
      </c>
      <c r="C13" s="60"/>
      <c r="D13" s="60"/>
      <c r="E13" s="60"/>
      <c r="F13" s="60"/>
      <c r="G13" s="60"/>
      <c r="H13" s="61"/>
      <c r="I13" s="60"/>
      <c r="J13" s="61"/>
      <c r="K13" s="61"/>
      <c r="L13" s="61"/>
      <c r="M13" s="60"/>
      <c r="N13" s="60"/>
      <c r="O13" s="60"/>
      <c r="P13" s="60"/>
      <c r="Q13" s="60"/>
      <c r="R13" s="60"/>
      <c r="S13" s="60"/>
      <c r="T13" s="60"/>
      <c r="U13" s="60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60" t="s">
        <v>209</v>
      </c>
      <c r="AI13" s="60" t="s">
        <v>209</v>
      </c>
      <c r="AJ13" s="60" t="s">
        <v>209</v>
      </c>
      <c r="AK13" s="60"/>
      <c r="AL13" s="44" t="str">
        <f ca="1">OFFSET(Dropdown_Data!$P$1, MATCH(dPCR_QC_Data!AH13, Dropdown_Data!$O$2:$O$14,0), 0)</f>
        <v>No qualifier</v>
      </c>
      <c r="AM13" s="44" t="str">
        <f ca="1">OFFSET(Dropdown_Data!$P$1, MATCH(dPCR_QC_Data!AI13, Dropdown_Data!$O$2:$O$14,0), 0)</f>
        <v>No qualifier</v>
      </c>
      <c r="AN13" s="44" t="str">
        <f ca="1">OFFSET(Dropdown_Data!$P$1, MATCH(dPCR_QC_Data!AJ13, Dropdown_Data!$O$2:$O$14,0), 0)</f>
        <v>No qualifier</v>
      </c>
      <c r="AO13" s="44" t="str">
        <f t="shared" si="0"/>
        <v xml:space="preserve"> </v>
      </c>
      <c r="AP13" s="44" t="str">
        <f t="shared" si="1"/>
        <v xml:space="preserve"> </v>
      </c>
      <c r="AQ13" s="44" t="str">
        <f t="shared" si="2"/>
        <v xml:space="preserve"> </v>
      </c>
      <c r="AR13" s="140" t="str">
        <f t="shared" si="3"/>
        <v xml:space="preserve"> </v>
      </c>
      <c r="AS13" s="140" t="str">
        <f t="shared" si="4"/>
        <v xml:space="preserve"> </v>
      </c>
      <c r="AT13" s="140" t="str">
        <f t="shared" si="5"/>
        <v xml:space="preserve"> </v>
      </c>
      <c r="AU13" s="140" t="str">
        <f t="shared" si="6"/>
        <v xml:space="preserve"> </v>
      </c>
      <c r="AV13" s="140" t="str">
        <f t="shared" si="7"/>
        <v xml:space="preserve"> </v>
      </c>
      <c r="AW13" s="140" t="str">
        <f t="shared" si="8"/>
        <v xml:space="preserve"> </v>
      </c>
      <c r="AX13" s="140" t="str">
        <f t="shared" si="9"/>
        <v xml:space="preserve"> </v>
      </c>
      <c r="AY13" s="140" t="str">
        <f t="shared" si="10"/>
        <v xml:space="preserve"> </v>
      </c>
      <c r="AZ13" s="140" t="str">
        <f t="shared" si="11"/>
        <v xml:space="preserve"> </v>
      </c>
    </row>
    <row r="14" spans="1:52" x14ac:dyDescent="0.3">
      <c r="B14" s="44">
        <f>Lab_Code!$C$1</f>
        <v>999</v>
      </c>
      <c r="C14" s="60"/>
      <c r="D14" s="60"/>
      <c r="E14" s="60"/>
      <c r="F14" s="60"/>
      <c r="G14" s="60"/>
      <c r="H14" s="61"/>
      <c r="I14" s="60"/>
      <c r="J14" s="61"/>
      <c r="K14" s="61"/>
      <c r="L14" s="61"/>
      <c r="M14" s="60"/>
      <c r="N14" s="60"/>
      <c r="O14" s="60"/>
      <c r="P14" s="60"/>
      <c r="Q14" s="60"/>
      <c r="R14" s="60"/>
      <c r="S14" s="60"/>
      <c r="T14" s="60"/>
      <c r="U14" s="60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60" t="s">
        <v>209</v>
      </c>
      <c r="AI14" s="60" t="s">
        <v>209</v>
      </c>
      <c r="AJ14" s="60" t="s">
        <v>209</v>
      </c>
      <c r="AK14" s="60"/>
      <c r="AL14" s="44" t="str">
        <f ca="1">OFFSET(Dropdown_Data!$P$1, MATCH(dPCR_QC_Data!AH14, Dropdown_Data!$O$2:$O$14,0), 0)</f>
        <v>No qualifier</v>
      </c>
      <c r="AM14" s="44" t="str">
        <f ca="1">OFFSET(Dropdown_Data!$P$1, MATCH(dPCR_QC_Data!AI14, Dropdown_Data!$O$2:$O$14,0), 0)</f>
        <v>No qualifier</v>
      </c>
      <c r="AN14" s="44" t="str">
        <f ca="1">OFFSET(Dropdown_Data!$P$1, MATCH(dPCR_QC_Data!AJ14, Dropdown_Data!$O$2:$O$14,0), 0)</f>
        <v>No qualifier</v>
      </c>
      <c r="AO14" s="44" t="str">
        <f t="shared" si="0"/>
        <v xml:space="preserve"> </v>
      </c>
      <c r="AP14" s="44" t="str">
        <f t="shared" si="1"/>
        <v xml:space="preserve"> </v>
      </c>
      <c r="AQ14" s="44" t="str">
        <f t="shared" si="2"/>
        <v xml:space="preserve"> </v>
      </c>
      <c r="AR14" s="140" t="str">
        <f t="shared" si="3"/>
        <v xml:space="preserve"> </v>
      </c>
      <c r="AS14" s="140" t="str">
        <f t="shared" si="4"/>
        <v xml:space="preserve"> </v>
      </c>
      <c r="AT14" s="140" t="str">
        <f t="shared" si="5"/>
        <v xml:space="preserve"> </v>
      </c>
      <c r="AU14" s="140" t="str">
        <f t="shared" si="6"/>
        <v xml:space="preserve"> </v>
      </c>
      <c r="AV14" s="140" t="str">
        <f t="shared" si="7"/>
        <v xml:space="preserve"> </v>
      </c>
      <c r="AW14" s="140" t="str">
        <f t="shared" si="8"/>
        <v xml:space="preserve"> </v>
      </c>
      <c r="AX14" s="140" t="str">
        <f t="shared" si="9"/>
        <v xml:space="preserve"> </v>
      </c>
      <c r="AY14" s="140" t="str">
        <f t="shared" si="10"/>
        <v xml:space="preserve"> </v>
      </c>
      <c r="AZ14" s="140" t="str">
        <f t="shared" si="11"/>
        <v xml:space="preserve"> </v>
      </c>
    </row>
    <row r="15" spans="1:52" x14ac:dyDescent="0.3">
      <c r="B15" s="44">
        <f>Lab_Code!$C$1</f>
        <v>999</v>
      </c>
      <c r="C15" s="60"/>
      <c r="D15" s="60"/>
      <c r="E15" s="60"/>
      <c r="F15" s="60"/>
      <c r="G15" s="60"/>
      <c r="H15" s="61"/>
      <c r="I15" s="60"/>
      <c r="J15" s="61"/>
      <c r="K15" s="61"/>
      <c r="L15" s="61"/>
      <c r="M15" s="60"/>
      <c r="N15" s="60"/>
      <c r="O15" s="60"/>
      <c r="P15" s="60"/>
      <c r="Q15" s="60"/>
      <c r="R15" s="60"/>
      <c r="S15" s="60"/>
      <c r="T15" s="60"/>
      <c r="U15" s="60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60" t="s">
        <v>209</v>
      </c>
      <c r="AI15" s="60" t="s">
        <v>209</v>
      </c>
      <c r="AJ15" s="60" t="s">
        <v>209</v>
      </c>
      <c r="AK15" s="60"/>
      <c r="AL15" s="44" t="str">
        <f ca="1">OFFSET(Dropdown_Data!$P$1, MATCH(dPCR_QC_Data!AH15, Dropdown_Data!$O$2:$O$14,0), 0)</f>
        <v>No qualifier</v>
      </c>
      <c r="AM15" s="44" t="str">
        <f ca="1">OFFSET(Dropdown_Data!$P$1, MATCH(dPCR_QC_Data!AI15, Dropdown_Data!$O$2:$O$14,0), 0)</f>
        <v>No qualifier</v>
      </c>
      <c r="AN15" s="44" t="str">
        <f ca="1">OFFSET(Dropdown_Data!$P$1, MATCH(dPCR_QC_Data!AJ15, Dropdown_Data!$O$2:$O$14,0), 0)</f>
        <v>No qualifier</v>
      </c>
      <c r="AO15" s="44" t="str">
        <f t="shared" si="0"/>
        <v xml:space="preserve"> </v>
      </c>
      <c r="AP15" s="44" t="str">
        <f t="shared" si="1"/>
        <v xml:space="preserve"> </v>
      </c>
      <c r="AQ15" s="44" t="str">
        <f t="shared" si="2"/>
        <v xml:space="preserve"> </v>
      </c>
      <c r="AR15" s="140" t="str">
        <f t="shared" si="3"/>
        <v xml:space="preserve"> </v>
      </c>
      <c r="AS15" s="140" t="str">
        <f t="shared" si="4"/>
        <v xml:space="preserve"> </v>
      </c>
      <c r="AT15" s="140" t="str">
        <f t="shared" si="5"/>
        <v xml:space="preserve"> </v>
      </c>
      <c r="AU15" s="140" t="str">
        <f t="shared" si="6"/>
        <v xml:space="preserve"> </v>
      </c>
      <c r="AV15" s="140" t="str">
        <f t="shared" si="7"/>
        <v xml:space="preserve"> </v>
      </c>
      <c r="AW15" s="140" t="str">
        <f t="shared" si="8"/>
        <v xml:space="preserve"> </v>
      </c>
      <c r="AX15" s="140" t="str">
        <f t="shared" si="9"/>
        <v xml:space="preserve"> </v>
      </c>
      <c r="AY15" s="140" t="str">
        <f t="shared" si="10"/>
        <v xml:space="preserve"> </v>
      </c>
      <c r="AZ15" s="140" t="str">
        <f t="shared" si="11"/>
        <v xml:space="preserve"> </v>
      </c>
    </row>
    <row r="16" spans="1:52" x14ac:dyDescent="0.3">
      <c r="B16" s="44">
        <f>Lab_Code!$C$1</f>
        <v>999</v>
      </c>
      <c r="C16" s="60"/>
      <c r="D16" s="60"/>
      <c r="E16" s="60"/>
      <c r="F16" s="60"/>
      <c r="G16" s="60"/>
      <c r="H16" s="61"/>
      <c r="I16" s="60"/>
      <c r="J16" s="61"/>
      <c r="K16" s="61"/>
      <c r="L16" s="61"/>
      <c r="M16" s="60"/>
      <c r="N16" s="60"/>
      <c r="O16" s="60"/>
      <c r="P16" s="60"/>
      <c r="Q16" s="60"/>
      <c r="R16" s="60"/>
      <c r="S16" s="60"/>
      <c r="T16" s="60"/>
      <c r="U16" s="60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60" t="s">
        <v>209</v>
      </c>
      <c r="AI16" s="60" t="s">
        <v>209</v>
      </c>
      <c r="AJ16" s="60" t="s">
        <v>209</v>
      </c>
      <c r="AK16" s="60"/>
      <c r="AL16" s="44" t="str">
        <f ca="1">OFFSET(Dropdown_Data!$P$1, MATCH(dPCR_QC_Data!AH16, Dropdown_Data!$O$2:$O$14,0), 0)</f>
        <v>No qualifier</v>
      </c>
      <c r="AM16" s="44" t="str">
        <f ca="1">OFFSET(Dropdown_Data!$P$1, MATCH(dPCR_QC_Data!AI16, Dropdown_Data!$O$2:$O$14,0), 0)</f>
        <v>No qualifier</v>
      </c>
      <c r="AN16" s="44" t="str">
        <f ca="1">OFFSET(Dropdown_Data!$P$1, MATCH(dPCR_QC_Data!AJ16, Dropdown_Data!$O$2:$O$14,0), 0)</f>
        <v>No qualifier</v>
      </c>
      <c r="AO16" s="44" t="str">
        <f t="shared" si="0"/>
        <v xml:space="preserve"> </v>
      </c>
      <c r="AP16" s="44" t="str">
        <f t="shared" si="1"/>
        <v xml:space="preserve"> </v>
      </c>
      <c r="AQ16" s="44" t="str">
        <f t="shared" si="2"/>
        <v xml:space="preserve"> </v>
      </c>
      <c r="AR16" s="140" t="str">
        <f t="shared" si="3"/>
        <v xml:space="preserve"> </v>
      </c>
      <c r="AS16" s="140" t="str">
        <f t="shared" si="4"/>
        <v xml:space="preserve"> </v>
      </c>
      <c r="AT16" s="140" t="str">
        <f t="shared" si="5"/>
        <v xml:space="preserve"> </v>
      </c>
      <c r="AU16" s="140" t="str">
        <f t="shared" si="6"/>
        <v xml:space="preserve"> </v>
      </c>
      <c r="AV16" s="140" t="str">
        <f t="shared" si="7"/>
        <v xml:space="preserve"> </v>
      </c>
      <c r="AW16" s="140" t="str">
        <f t="shared" si="8"/>
        <v xml:space="preserve"> </v>
      </c>
      <c r="AX16" s="140" t="str">
        <f t="shared" si="9"/>
        <v xml:space="preserve"> </v>
      </c>
      <c r="AY16" s="140" t="str">
        <f t="shared" si="10"/>
        <v xml:space="preserve"> </v>
      </c>
      <c r="AZ16" s="140" t="str">
        <f t="shared" si="11"/>
        <v xml:space="preserve"> </v>
      </c>
    </row>
    <row r="17" spans="2:52" x14ac:dyDescent="0.3">
      <c r="B17" s="44">
        <f>Lab_Code!$C$1</f>
        <v>999</v>
      </c>
      <c r="C17" s="60"/>
      <c r="D17" s="60"/>
      <c r="E17" s="60"/>
      <c r="F17" s="60"/>
      <c r="G17" s="60"/>
      <c r="H17" s="61"/>
      <c r="I17" s="60"/>
      <c r="J17" s="61"/>
      <c r="K17" s="61"/>
      <c r="L17" s="61"/>
      <c r="M17" s="60"/>
      <c r="N17" s="60"/>
      <c r="O17" s="60"/>
      <c r="P17" s="60"/>
      <c r="Q17" s="60"/>
      <c r="R17" s="60"/>
      <c r="S17" s="60"/>
      <c r="T17" s="60"/>
      <c r="U17" s="60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60" t="s">
        <v>209</v>
      </c>
      <c r="AI17" s="60" t="s">
        <v>209</v>
      </c>
      <c r="AJ17" s="60" t="s">
        <v>209</v>
      </c>
      <c r="AK17" s="60"/>
      <c r="AL17" s="44" t="str">
        <f ca="1">OFFSET(Dropdown_Data!$P$1, MATCH(dPCR_QC_Data!AH17, Dropdown_Data!$O$2:$O$14,0), 0)</f>
        <v>No qualifier</v>
      </c>
      <c r="AM17" s="44" t="str">
        <f ca="1">OFFSET(Dropdown_Data!$P$1, MATCH(dPCR_QC_Data!AI17, Dropdown_Data!$O$2:$O$14,0), 0)</f>
        <v>No qualifier</v>
      </c>
      <c r="AN17" s="44" t="str">
        <f ca="1">OFFSET(Dropdown_Data!$P$1, MATCH(dPCR_QC_Data!AJ17, Dropdown_Data!$O$2:$O$14,0), 0)</f>
        <v>No qualifier</v>
      </c>
      <c r="AO17" s="44" t="str">
        <f t="shared" si="0"/>
        <v xml:space="preserve"> </v>
      </c>
      <c r="AP17" s="44" t="str">
        <f t="shared" si="1"/>
        <v xml:space="preserve"> </v>
      </c>
      <c r="AQ17" s="44" t="str">
        <f t="shared" si="2"/>
        <v xml:space="preserve"> </v>
      </c>
      <c r="AR17" s="140" t="str">
        <f t="shared" si="3"/>
        <v xml:space="preserve"> </v>
      </c>
      <c r="AS17" s="140" t="str">
        <f t="shared" si="4"/>
        <v xml:space="preserve"> </v>
      </c>
      <c r="AT17" s="140" t="str">
        <f t="shared" si="5"/>
        <v xml:space="preserve"> </v>
      </c>
      <c r="AU17" s="140" t="str">
        <f t="shared" si="6"/>
        <v xml:space="preserve"> </v>
      </c>
      <c r="AV17" s="140" t="str">
        <f t="shared" si="7"/>
        <v xml:space="preserve"> </v>
      </c>
      <c r="AW17" s="140" t="str">
        <f t="shared" si="8"/>
        <v xml:space="preserve"> </v>
      </c>
      <c r="AX17" s="140" t="str">
        <f t="shared" si="9"/>
        <v xml:space="preserve"> </v>
      </c>
      <c r="AY17" s="140" t="str">
        <f t="shared" si="10"/>
        <v xml:space="preserve"> </v>
      </c>
      <c r="AZ17" s="140" t="str">
        <f t="shared" si="11"/>
        <v xml:space="preserve"> </v>
      </c>
    </row>
    <row r="18" spans="2:52" x14ac:dyDescent="0.3">
      <c r="B18" s="44">
        <f>Lab_Code!$C$1</f>
        <v>999</v>
      </c>
      <c r="C18" s="60"/>
      <c r="D18" s="60"/>
      <c r="E18" s="60"/>
      <c r="F18" s="60"/>
      <c r="G18" s="60"/>
      <c r="H18" s="61"/>
      <c r="I18" s="60"/>
      <c r="J18" s="61"/>
      <c r="K18" s="61"/>
      <c r="L18" s="61"/>
      <c r="M18" s="60"/>
      <c r="N18" s="60"/>
      <c r="O18" s="60"/>
      <c r="P18" s="60"/>
      <c r="Q18" s="60"/>
      <c r="R18" s="60"/>
      <c r="S18" s="60"/>
      <c r="T18" s="60"/>
      <c r="U18" s="60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60" t="s">
        <v>209</v>
      </c>
      <c r="AI18" s="60" t="s">
        <v>209</v>
      </c>
      <c r="AJ18" s="60" t="s">
        <v>209</v>
      </c>
      <c r="AK18" s="60"/>
      <c r="AL18" s="44" t="str">
        <f ca="1">OFFSET(Dropdown_Data!$P$1, MATCH(dPCR_QC_Data!AH18, Dropdown_Data!$O$2:$O$14,0), 0)</f>
        <v>No qualifier</v>
      </c>
      <c r="AM18" s="44" t="str">
        <f ca="1">OFFSET(Dropdown_Data!$P$1, MATCH(dPCR_QC_Data!AI18, Dropdown_Data!$O$2:$O$14,0), 0)</f>
        <v>No qualifier</v>
      </c>
      <c r="AN18" s="44" t="str">
        <f ca="1">OFFSET(Dropdown_Data!$P$1, MATCH(dPCR_QC_Data!AJ18, Dropdown_Data!$O$2:$O$14,0), 0)</f>
        <v>No qualifier</v>
      </c>
      <c r="AO18" s="44" t="str">
        <f t="shared" si="0"/>
        <v xml:space="preserve"> </v>
      </c>
      <c r="AP18" s="44" t="str">
        <f t="shared" si="1"/>
        <v xml:space="preserve"> </v>
      </c>
      <c r="AQ18" s="44" t="str">
        <f t="shared" si="2"/>
        <v xml:space="preserve"> </v>
      </c>
      <c r="AR18" s="140" t="str">
        <f t="shared" si="3"/>
        <v xml:space="preserve"> </v>
      </c>
      <c r="AS18" s="140" t="str">
        <f t="shared" si="4"/>
        <v xml:space="preserve"> </v>
      </c>
      <c r="AT18" s="140" t="str">
        <f t="shared" si="5"/>
        <v xml:space="preserve"> </v>
      </c>
      <c r="AU18" s="140" t="str">
        <f t="shared" si="6"/>
        <v xml:space="preserve"> </v>
      </c>
      <c r="AV18" s="140" t="str">
        <f t="shared" si="7"/>
        <v xml:space="preserve"> </v>
      </c>
      <c r="AW18" s="140" t="str">
        <f t="shared" si="8"/>
        <v xml:space="preserve"> </v>
      </c>
      <c r="AX18" s="140" t="str">
        <f t="shared" si="9"/>
        <v xml:space="preserve"> </v>
      </c>
      <c r="AY18" s="140" t="str">
        <f t="shared" si="10"/>
        <v xml:space="preserve"> </v>
      </c>
      <c r="AZ18" s="140" t="str">
        <f t="shared" si="11"/>
        <v xml:space="preserve"> </v>
      </c>
    </row>
    <row r="19" spans="2:52" x14ac:dyDescent="0.3">
      <c r="B19" s="44">
        <f>Lab_Code!$C$1</f>
        <v>999</v>
      </c>
      <c r="C19" s="60"/>
      <c r="D19" s="60"/>
      <c r="E19" s="60"/>
      <c r="F19" s="60"/>
      <c r="G19" s="60"/>
      <c r="H19" s="61"/>
      <c r="I19" s="60"/>
      <c r="J19" s="61"/>
      <c r="K19" s="61"/>
      <c r="L19" s="61"/>
      <c r="M19" s="60"/>
      <c r="N19" s="60"/>
      <c r="O19" s="60"/>
      <c r="P19" s="60"/>
      <c r="Q19" s="60"/>
      <c r="R19" s="60"/>
      <c r="S19" s="60"/>
      <c r="T19" s="60"/>
      <c r="U19" s="60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60" t="s">
        <v>209</v>
      </c>
      <c r="AI19" s="60" t="s">
        <v>209</v>
      </c>
      <c r="AJ19" s="60" t="s">
        <v>209</v>
      </c>
      <c r="AK19" s="60"/>
      <c r="AL19" s="44" t="str">
        <f ca="1">OFFSET(Dropdown_Data!$P$1, MATCH(dPCR_QC_Data!AH19, Dropdown_Data!$O$2:$O$14,0), 0)</f>
        <v>No qualifier</v>
      </c>
      <c r="AM19" s="44" t="str">
        <f ca="1">OFFSET(Dropdown_Data!$P$1, MATCH(dPCR_QC_Data!AI19, Dropdown_Data!$O$2:$O$14,0), 0)</f>
        <v>No qualifier</v>
      </c>
      <c r="AN19" s="44" t="str">
        <f ca="1">OFFSET(Dropdown_Data!$P$1, MATCH(dPCR_QC_Data!AJ19, Dropdown_Data!$O$2:$O$14,0), 0)</f>
        <v>No qualifier</v>
      </c>
      <c r="AO19" s="44" t="str">
        <f t="shared" si="0"/>
        <v xml:space="preserve"> </v>
      </c>
      <c r="AP19" s="44" t="str">
        <f t="shared" si="1"/>
        <v xml:space="preserve"> </v>
      </c>
      <c r="AQ19" s="44" t="str">
        <f t="shared" si="2"/>
        <v xml:space="preserve"> </v>
      </c>
      <c r="AR19" s="140" t="str">
        <f t="shared" si="3"/>
        <v xml:space="preserve"> </v>
      </c>
      <c r="AS19" s="140" t="str">
        <f t="shared" si="4"/>
        <v xml:space="preserve"> </v>
      </c>
      <c r="AT19" s="140" t="str">
        <f t="shared" si="5"/>
        <v xml:space="preserve"> </v>
      </c>
      <c r="AU19" s="140" t="str">
        <f t="shared" si="6"/>
        <v xml:space="preserve"> </v>
      </c>
      <c r="AV19" s="140" t="str">
        <f t="shared" si="7"/>
        <v xml:space="preserve"> </v>
      </c>
      <c r="AW19" s="140" t="str">
        <f t="shared" si="8"/>
        <v xml:space="preserve"> </v>
      </c>
      <c r="AX19" s="140" t="str">
        <f t="shared" si="9"/>
        <v xml:space="preserve"> </v>
      </c>
      <c r="AY19" s="140" t="str">
        <f t="shared" si="10"/>
        <v xml:space="preserve"> </v>
      </c>
      <c r="AZ19" s="140" t="str">
        <f t="shared" si="11"/>
        <v xml:space="preserve"> </v>
      </c>
    </row>
    <row r="20" spans="2:52" x14ac:dyDescent="0.3">
      <c r="B20" s="44">
        <f>Lab_Code!$C$1</f>
        <v>999</v>
      </c>
      <c r="C20" s="60"/>
      <c r="D20" s="60"/>
      <c r="E20" s="60"/>
      <c r="F20" s="60"/>
      <c r="G20" s="60"/>
      <c r="H20" s="61"/>
      <c r="I20" s="60"/>
      <c r="J20" s="61"/>
      <c r="K20" s="61"/>
      <c r="L20" s="61"/>
      <c r="M20" s="60"/>
      <c r="N20" s="60"/>
      <c r="O20" s="60"/>
      <c r="P20" s="60"/>
      <c r="Q20" s="60"/>
      <c r="R20" s="60"/>
      <c r="S20" s="60"/>
      <c r="T20" s="60"/>
      <c r="U20" s="60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60" t="s">
        <v>209</v>
      </c>
      <c r="AI20" s="60" t="s">
        <v>209</v>
      </c>
      <c r="AJ20" s="60" t="s">
        <v>209</v>
      </c>
      <c r="AK20" s="60"/>
      <c r="AL20" s="44" t="str">
        <f ca="1">OFFSET(Dropdown_Data!$P$1, MATCH(dPCR_QC_Data!AH20, Dropdown_Data!$O$2:$O$14,0), 0)</f>
        <v>No qualifier</v>
      </c>
      <c r="AM20" s="44" t="str">
        <f ca="1">OFFSET(Dropdown_Data!$P$1, MATCH(dPCR_QC_Data!AI20, Dropdown_Data!$O$2:$O$14,0), 0)</f>
        <v>No qualifier</v>
      </c>
      <c r="AN20" s="44" t="str">
        <f ca="1">OFFSET(Dropdown_Data!$P$1, MATCH(dPCR_QC_Data!AJ20, Dropdown_Data!$O$2:$O$14,0), 0)</f>
        <v>No qualifier</v>
      </c>
      <c r="AO20" s="44" t="str">
        <f t="shared" si="0"/>
        <v xml:space="preserve"> </v>
      </c>
      <c r="AP20" s="44" t="str">
        <f t="shared" si="1"/>
        <v xml:space="preserve"> </v>
      </c>
      <c r="AQ20" s="44" t="str">
        <f t="shared" si="2"/>
        <v xml:space="preserve"> </v>
      </c>
      <c r="AR20" s="140" t="str">
        <f t="shared" si="3"/>
        <v xml:space="preserve"> </v>
      </c>
      <c r="AS20" s="140" t="str">
        <f t="shared" si="4"/>
        <v xml:space="preserve"> </v>
      </c>
      <c r="AT20" s="140" t="str">
        <f t="shared" si="5"/>
        <v xml:space="preserve"> </v>
      </c>
      <c r="AU20" s="140" t="str">
        <f t="shared" si="6"/>
        <v xml:space="preserve"> </v>
      </c>
      <c r="AV20" s="140" t="str">
        <f t="shared" si="7"/>
        <v xml:space="preserve"> </v>
      </c>
      <c r="AW20" s="140" t="str">
        <f t="shared" si="8"/>
        <v xml:space="preserve"> </v>
      </c>
      <c r="AX20" s="140" t="str">
        <f t="shared" si="9"/>
        <v xml:space="preserve"> </v>
      </c>
      <c r="AY20" s="140" t="str">
        <f t="shared" si="10"/>
        <v xml:space="preserve"> </v>
      </c>
      <c r="AZ20" s="140" t="str">
        <f t="shared" si="11"/>
        <v xml:space="preserve"> </v>
      </c>
    </row>
  </sheetData>
  <mergeCells count="16">
    <mergeCell ref="AX1:AZ1"/>
    <mergeCell ref="AH1:AJ1"/>
    <mergeCell ref="AL1:AN1"/>
    <mergeCell ref="AE1:AG1"/>
    <mergeCell ref="AO1:AQ1"/>
    <mergeCell ref="AU1:AW1"/>
    <mergeCell ref="AR1:AT1"/>
    <mergeCell ref="AK2:AK3"/>
    <mergeCell ref="V2:X2"/>
    <mergeCell ref="Y2:AA2"/>
    <mergeCell ref="AB2:AD2"/>
    <mergeCell ref="P1:U1"/>
    <mergeCell ref="P2:Q2"/>
    <mergeCell ref="R2:S2"/>
    <mergeCell ref="T2:U2"/>
    <mergeCell ref="V1:AD1"/>
  </mergeCells>
  <conditionalFormatting sqref="C5:AK20">
    <cfRule type="expression" dxfId="12" priority="1">
      <formula>MOD(ROW(),2)=0</formula>
    </cfRule>
  </conditionalFormatting>
  <dataValidations count="7">
    <dataValidation type="decimal" allowBlank="1" showInputMessage="1" showErrorMessage="1" sqref="M21:O1048576 M4 O4 O1:O2 N1:N4 M1:M2">
      <formula1>0.0001</formula1>
      <formula2>1000</formula2>
    </dataValidation>
    <dataValidation type="decimal" operator="greaterThan" allowBlank="1" showInputMessage="1" showErrorMessage="1" sqref="M5:O20">
      <formula1>0</formula1>
    </dataValidation>
    <dataValidation type="decimal" allowBlank="1" showInputMessage="1" sqref="O3">
      <formula1>0.0001</formula1>
      <formula2>1000</formula2>
    </dataValidation>
    <dataValidation errorStyle="information" allowBlank="1" sqref="AK5:AK20"/>
    <dataValidation type="decimal" operator="greaterThan" allowBlank="1" sqref="V5:AG20">
      <formula1>0</formula1>
    </dataValidation>
    <dataValidation type="list" allowBlank="1" showInputMessage="1" showErrorMessage="1" sqref="H5:H20">
      <formula1>IF(OR(G5="Influenza A", G5= "Influenza B",G5= "RSV", G5= "RSV A", G5= "RSV B"),influenza_rsv,long_list)</formula1>
    </dataValidation>
    <dataValidation type="whole" operator="greaterThan" allowBlank="1" showErrorMessage="1" sqref="AO5:AP20 P5:U20">
      <formula1>-1</formula1>
    </dataValidation>
  </dataValidations>
  <pageMargins left="0.7" right="0.7" top="1.5" bottom="0.75" header="0.3" footer="0.3"/>
  <pageSetup scale="74" orientation="landscape" r:id="rId1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Dropdown_Data!$D$2:$D$17</xm:f>
          </x14:formula1>
          <xm:sqref>E5:E20</xm:sqref>
        </x14:dataValidation>
        <x14:dataValidation type="list" allowBlank="1" showInputMessage="1" showErrorMessage="1">
          <x14:formula1>
            <xm:f>Dropdown_Data!$F$2:$F$26</xm:f>
          </x14:formula1>
          <xm:sqref>G6:G20</xm:sqref>
        </x14:dataValidation>
        <x14:dataValidation type="list" allowBlank="1" showInputMessage="1" showErrorMessage="1">
          <x14:formula1>
            <xm:f>Dropdown_Data!$O$2:$O$8</xm:f>
          </x14:formula1>
          <xm:sqref>AH5:AJ20</xm:sqref>
        </x14:dataValidation>
        <x14:dataValidation type="list" allowBlank="1" showInputMessage="1" showErrorMessage="1" prompt="Spike administered at Point A or B or N (No Spike)">
          <x14:formula1>
            <xm:f>Dropdown_Data!$E$2:$E$9</xm:f>
          </x14:formula1>
          <xm:sqref>F5:F20</xm:sqref>
        </x14:dataValidation>
        <x14:dataValidation type="list" allowBlank="1" showInputMessage="1" showErrorMessage="1">
          <x14:formula1>
            <xm:f>Dropdown_Data!$J$2:$J$7</xm:f>
          </x14:formula1>
          <xm:sqref>I5:I20</xm:sqref>
        </x14:dataValidation>
        <x14:dataValidation type="list" allowBlank="1" showInputMessage="1" showErrorMessage="1">
          <x14:formula1>
            <xm:f>Dropdown_Data!$V$2:$V$11</xm:f>
          </x14:formula1>
          <xm:sqref>C5:C20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AK48"/>
  <sheetViews>
    <sheetView zoomScaleNormal="100" workbookViewId="0">
      <selection activeCell="C8" sqref="C8"/>
    </sheetView>
  </sheetViews>
  <sheetFormatPr defaultColWidth="8.77734375" defaultRowHeight="14.4" x14ac:dyDescent="0.3"/>
  <cols>
    <col min="1" max="1" width="10.44140625" customWidth="1"/>
    <col min="2" max="2" width="40.109375" customWidth="1"/>
    <col min="5" max="5" width="81.44140625" customWidth="1"/>
    <col min="6" max="6" width="7.44140625" customWidth="1"/>
    <col min="7" max="7" width="10" customWidth="1"/>
    <col min="9" max="9" width="12.77734375" bestFit="1" customWidth="1"/>
    <col min="10" max="10" width="9.109375" customWidth="1"/>
    <col min="13" max="13" width="2.44140625" customWidth="1"/>
    <col min="21" max="21" width="3.77734375" customWidth="1"/>
    <col min="36" max="36" width="11.44140625" customWidth="1"/>
  </cols>
  <sheetData>
    <row r="2" spans="2:36" x14ac:dyDescent="0.3">
      <c r="B2" s="259" t="s">
        <v>556</v>
      </c>
      <c r="C2" s="259"/>
      <c r="D2" s="259"/>
      <c r="E2" s="259"/>
    </row>
    <row r="3" spans="2:36" ht="33" customHeight="1" x14ac:dyDescent="0.3">
      <c r="B3" s="259"/>
      <c r="C3" s="259"/>
      <c r="D3" s="259"/>
      <c r="E3" s="259"/>
      <c r="F3" s="74"/>
      <c r="G3" s="74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</row>
    <row r="4" spans="2:36" ht="15" customHeight="1" thickBot="1" x14ac:dyDescent="0.35">
      <c r="B4" s="54" t="s">
        <v>250</v>
      </c>
      <c r="C4" s="54" t="s">
        <v>249</v>
      </c>
      <c r="D4" s="54" t="s">
        <v>253</v>
      </c>
      <c r="E4" s="54" t="s">
        <v>6</v>
      </c>
      <c r="F4" s="54"/>
      <c r="G4" s="137"/>
      <c r="H4" s="119"/>
      <c r="I4" s="119"/>
      <c r="L4" s="258" t="s">
        <v>559</v>
      </c>
      <c r="N4" s="101" t="s">
        <v>475</v>
      </c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2:36" ht="30" customHeight="1" thickTop="1" x14ac:dyDescent="0.3">
      <c r="B5" s="99" t="s">
        <v>375</v>
      </c>
      <c r="C5" s="150">
        <v>1</v>
      </c>
      <c r="D5" s="99" t="s">
        <v>258</v>
      </c>
      <c r="E5" s="100" t="s">
        <v>261</v>
      </c>
      <c r="F5" s="116"/>
      <c r="G5" s="112"/>
      <c r="H5" s="102"/>
      <c r="I5" s="102"/>
      <c r="J5" s="120"/>
      <c r="L5" s="258"/>
      <c r="N5" s="257" t="s">
        <v>523</v>
      </c>
      <c r="O5" s="257"/>
      <c r="P5" s="257"/>
      <c r="Q5" s="257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24" t="s">
        <v>525</v>
      </c>
      <c r="AG5" s="124"/>
      <c r="AH5" s="124"/>
      <c r="AI5" s="124"/>
      <c r="AJ5" s="124"/>
    </row>
    <row r="6" spans="2:36" x14ac:dyDescent="0.3">
      <c r="B6" s="99" t="s">
        <v>243</v>
      </c>
      <c r="C6" s="150">
        <v>200</v>
      </c>
      <c r="D6" s="99" t="s">
        <v>254</v>
      </c>
      <c r="E6" s="100" t="s">
        <v>251</v>
      </c>
      <c r="F6" s="116"/>
      <c r="G6" s="112"/>
      <c r="H6" s="260" t="s">
        <v>475</v>
      </c>
      <c r="I6" s="260"/>
      <c r="J6" s="121"/>
      <c r="L6" s="258"/>
      <c r="N6" s="257"/>
      <c r="O6" s="257"/>
      <c r="P6" s="257"/>
      <c r="Q6" s="257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</row>
    <row r="7" spans="2:36" x14ac:dyDescent="0.3">
      <c r="B7" s="99" t="s">
        <v>244</v>
      </c>
      <c r="C7" s="150">
        <v>3</v>
      </c>
      <c r="D7" s="99" t="s">
        <v>254</v>
      </c>
      <c r="E7" s="100" t="s">
        <v>252</v>
      </c>
      <c r="F7" s="116"/>
      <c r="G7" s="112"/>
      <c r="H7" s="113" t="s">
        <v>259</v>
      </c>
      <c r="I7" s="109">
        <f>C6*C8/C7*C10/1000/C9/C5</f>
        <v>0.26666666666666666</v>
      </c>
      <c r="J7" s="122" t="s">
        <v>254</v>
      </c>
      <c r="L7" s="258"/>
      <c r="N7" s="257"/>
      <c r="O7" s="257"/>
      <c r="P7" s="257"/>
      <c r="Q7" s="257"/>
      <c r="R7" s="101" t="s">
        <v>524</v>
      </c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</row>
    <row r="8" spans="2:36" ht="28.8" x14ac:dyDescent="0.3">
      <c r="B8" s="99" t="s">
        <v>245</v>
      </c>
      <c r="C8" s="150">
        <v>0.4</v>
      </c>
      <c r="D8" s="99" t="s">
        <v>254</v>
      </c>
      <c r="E8" s="100" t="s">
        <v>651</v>
      </c>
      <c r="F8" s="116"/>
      <c r="G8" s="112"/>
      <c r="H8" s="113" t="s">
        <v>260</v>
      </c>
      <c r="I8" s="109">
        <f>C6/C7*C8/C9/C5</f>
        <v>133.33333333333334</v>
      </c>
      <c r="J8" s="122"/>
      <c r="L8" s="258"/>
      <c r="N8" s="102"/>
      <c r="O8" s="154"/>
      <c r="P8" s="101" t="s">
        <v>140</v>
      </c>
      <c r="Q8" s="102"/>
      <c r="R8" s="154"/>
      <c r="S8" s="101" t="s">
        <v>100</v>
      </c>
      <c r="T8" s="102"/>
      <c r="U8" s="102"/>
      <c r="V8" s="88" t="e">
        <f>10^((R8-O9)/O8)</f>
        <v>#DIV/0!</v>
      </c>
      <c r="W8" s="104" t="s">
        <v>526</v>
      </c>
      <c r="X8" s="101" t="s">
        <v>519</v>
      </c>
      <c r="Y8" s="102"/>
      <c r="Z8" s="104" t="s">
        <v>527</v>
      </c>
      <c r="AA8" s="102"/>
      <c r="AB8" s="102"/>
      <c r="AC8" s="102"/>
      <c r="AD8" s="102"/>
      <c r="AE8" s="102"/>
      <c r="AF8" s="101" t="s">
        <v>528</v>
      </c>
      <c r="AG8" s="89" t="e">
        <f>V8/Y9</f>
        <v>#DIV/0!</v>
      </c>
      <c r="AH8" s="104" t="s">
        <v>526</v>
      </c>
      <c r="AI8" s="102"/>
      <c r="AJ8" s="102"/>
    </row>
    <row r="9" spans="2:36" ht="15" thickBot="1" x14ac:dyDescent="0.35">
      <c r="B9" s="99" t="s">
        <v>247</v>
      </c>
      <c r="C9" s="150">
        <v>0.2</v>
      </c>
      <c r="D9" s="99" t="s">
        <v>254</v>
      </c>
      <c r="E9" s="100" t="s">
        <v>256</v>
      </c>
      <c r="F9" s="116"/>
      <c r="G9" s="117"/>
      <c r="H9" s="118"/>
      <c r="I9" s="118"/>
      <c r="J9" s="123"/>
      <c r="K9" s="1"/>
      <c r="L9" s="258"/>
      <c r="M9" s="1"/>
      <c r="N9" s="102"/>
      <c r="O9" s="155"/>
      <c r="P9" s="101" t="s">
        <v>529</v>
      </c>
      <c r="Q9" s="102"/>
      <c r="R9" s="102"/>
      <c r="S9" s="102"/>
      <c r="T9" s="102"/>
      <c r="U9" s="102"/>
      <c r="V9" s="102"/>
      <c r="W9" s="102" t="s">
        <v>527</v>
      </c>
      <c r="X9" s="102"/>
      <c r="Y9" s="88">
        <f>I7</f>
        <v>0.26666666666666666</v>
      </c>
      <c r="Z9" s="102" t="s">
        <v>530</v>
      </c>
      <c r="AA9" s="102"/>
      <c r="AB9" s="102"/>
      <c r="AC9" s="102"/>
      <c r="AD9" s="102"/>
      <c r="AE9" s="102"/>
      <c r="AF9" s="102"/>
      <c r="AG9" s="105"/>
      <c r="AH9" s="102" t="s">
        <v>530</v>
      </c>
      <c r="AI9" s="102"/>
      <c r="AJ9" s="102"/>
    </row>
    <row r="10" spans="2:36" ht="15" thickTop="1" x14ac:dyDescent="0.3">
      <c r="B10" s="99" t="s">
        <v>246</v>
      </c>
      <c r="C10" s="150">
        <v>2</v>
      </c>
      <c r="D10" s="99" t="s">
        <v>255</v>
      </c>
      <c r="E10" s="100" t="s">
        <v>257</v>
      </c>
      <c r="F10" s="53"/>
      <c r="G10" s="91"/>
      <c r="K10" s="1"/>
      <c r="L10" s="258"/>
      <c r="M10" s="1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</row>
    <row r="11" spans="2:36" ht="15.75" customHeight="1" thickBot="1" x14ac:dyDescent="0.35">
      <c r="B11" s="53"/>
      <c r="C11" s="53"/>
      <c r="D11" s="53"/>
      <c r="E11" s="91"/>
      <c r="F11" s="53"/>
      <c r="G11" s="91"/>
      <c r="H11" s="52"/>
      <c r="I11" s="111"/>
      <c r="J11" s="1"/>
      <c r="K11" s="1"/>
      <c r="L11" s="258"/>
      <c r="M11" s="1"/>
    </row>
    <row r="12" spans="2:36" ht="15" thickTop="1" x14ac:dyDescent="0.3">
      <c r="B12" s="133" t="s">
        <v>538</v>
      </c>
      <c r="C12" s="132">
        <f>I7/C10</f>
        <v>0.13333333333333333</v>
      </c>
      <c r="D12" s="93" t="s">
        <v>254</v>
      </c>
      <c r="E12" s="94" t="s">
        <v>539</v>
      </c>
      <c r="F12" s="114"/>
      <c r="G12" s="130"/>
      <c r="H12" s="261" t="s">
        <v>426</v>
      </c>
      <c r="I12" s="261"/>
      <c r="J12" s="125"/>
      <c r="K12" s="1"/>
      <c r="L12" s="258"/>
      <c r="M12" s="1"/>
      <c r="N12" s="95" t="s">
        <v>426</v>
      </c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2:36" x14ac:dyDescent="0.3">
      <c r="B13" s="134"/>
      <c r="C13" s="152">
        <v>9</v>
      </c>
      <c r="D13" s="93" t="s">
        <v>540</v>
      </c>
      <c r="E13" s="94" t="s">
        <v>541</v>
      </c>
      <c r="F13" s="114"/>
      <c r="G13" s="92"/>
      <c r="H13" s="95" t="s">
        <v>259</v>
      </c>
      <c r="I13" s="109">
        <f>I7</f>
        <v>0.26666666666666666</v>
      </c>
      <c r="J13" s="95" t="s">
        <v>254</v>
      </c>
      <c r="K13" s="126"/>
      <c r="L13" s="258"/>
      <c r="M13" s="1"/>
      <c r="N13" s="95"/>
      <c r="O13" s="95"/>
      <c r="P13" s="95"/>
      <c r="Q13" s="95"/>
      <c r="R13" s="95" t="s">
        <v>531</v>
      </c>
      <c r="S13" s="95"/>
      <c r="T13" s="95"/>
      <c r="U13" s="95"/>
      <c r="V13" s="95" t="s">
        <v>532</v>
      </c>
      <c r="W13" s="95"/>
      <c r="X13" s="95"/>
      <c r="Y13" s="95"/>
      <c r="Z13" s="96"/>
      <c r="AA13" s="96"/>
      <c r="AB13" s="96"/>
      <c r="AC13" s="95"/>
      <c r="AD13" s="95"/>
      <c r="AE13" s="95"/>
      <c r="AF13" s="95"/>
      <c r="AG13" s="97"/>
      <c r="AH13" s="95"/>
      <c r="AI13" s="95"/>
      <c r="AJ13" s="96"/>
    </row>
    <row r="14" spans="2:36" x14ac:dyDescent="0.3">
      <c r="B14" s="134"/>
      <c r="C14" s="153">
        <v>0.432</v>
      </c>
      <c r="D14" s="93" t="s">
        <v>543</v>
      </c>
      <c r="E14" s="94" t="s">
        <v>544</v>
      </c>
      <c r="F14" s="114"/>
      <c r="G14" s="92"/>
      <c r="H14" s="95" t="s">
        <v>553</v>
      </c>
      <c r="I14" s="109">
        <f>C20</f>
        <v>0.26209919999999998</v>
      </c>
      <c r="J14" s="115" t="s">
        <v>254</v>
      </c>
      <c r="K14" s="1"/>
      <c r="L14" s="258"/>
      <c r="M14" s="1"/>
      <c r="N14" s="95"/>
      <c r="O14" s="95"/>
      <c r="P14" s="95"/>
      <c r="Q14" s="95"/>
      <c r="R14" s="154"/>
      <c r="S14" s="95" t="s">
        <v>533</v>
      </c>
      <c r="T14" s="95"/>
      <c r="U14" s="95"/>
      <c r="V14" s="88" t="e">
        <f>LN(R14/(R15-R14)+1)/C14*1000</f>
        <v>#DIV/0!</v>
      </c>
      <c r="W14" s="98" t="s">
        <v>526</v>
      </c>
      <c r="X14" s="95" t="s">
        <v>519</v>
      </c>
      <c r="Y14" s="90">
        <f>$C$13</f>
        <v>9</v>
      </c>
      <c r="Z14" s="98" t="s">
        <v>534</v>
      </c>
      <c r="AA14" s="96"/>
      <c r="AB14" s="95" t="s">
        <v>519</v>
      </c>
      <c r="AC14" s="90">
        <v>1</v>
      </c>
      <c r="AD14" s="96" t="s">
        <v>535</v>
      </c>
      <c r="AE14" s="95"/>
      <c r="AF14" s="96" t="s">
        <v>528</v>
      </c>
      <c r="AG14" s="89" t="e">
        <f>V14*Y14/Y15/AC15</f>
        <v>#DIV/0!</v>
      </c>
      <c r="AH14" s="98" t="s">
        <v>526</v>
      </c>
      <c r="AI14" s="95"/>
      <c r="AJ14" s="96"/>
    </row>
    <row r="15" spans="2:36" ht="15.75" customHeight="1" x14ac:dyDescent="0.3">
      <c r="B15" s="134"/>
      <c r="C15" s="217">
        <v>20476.5</v>
      </c>
      <c r="D15" s="93" t="s">
        <v>545</v>
      </c>
      <c r="E15" s="94" t="s">
        <v>546</v>
      </c>
      <c r="F15" s="114"/>
      <c r="G15" s="262" t="s">
        <v>558</v>
      </c>
      <c r="H15" s="263"/>
      <c r="I15" s="263"/>
      <c r="J15" s="264"/>
      <c r="K15" s="1"/>
      <c r="L15" s="258"/>
      <c r="M15" s="1"/>
      <c r="N15" s="95"/>
      <c r="O15" s="95"/>
      <c r="P15" s="95"/>
      <c r="Q15" s="95"/>
      <c r="R15" s="155"/>
      <c r="S15" s="95" t="s">
        <v>536</v>
      </c>
      <c r="T15" s="95"/>
      <c r="U15" s="95"/>
      <c r="V15" s="95"/>
      <c r="W15" s="96" t="s">
        <v>534</v>
      </c>
      <c r="X15" s="95"/>
      <c r="Y15" s="88">
        <f>$C$10</f>
        <v>2</v>
      </c>
      <c r="Z15" s="96" t="s">
        <v>537</v>
      </c>
      <c r="AA15" s="96"/>
      <c r="AB15" s="96"/>
      <c r="AC15" s="88">
        <f>$C$12</f>
        <v>0.13333333333333333</v>
      </c>
      <c r="AD15" s="96" t="s">
        <v>530</v>
      </c>
      <c r="AE15" s="95"/>
      <c r="AF15" s="95"/>
      <c r="AG15" s="97"/>
      <c r="AH15" s="96" t="s">
        <v>530</v>
      </c>
      <c r="AI15" s="95"/>
      <c r="AJ15" s="96"/>
    </row>
    <row r="16" spans="2:36" ht="15" thickBot="1" x14ac:dyDescent="0.35">
      <c r="B16" s="134"/>
      <c r="C16" s="132">
        <f>C15*C14/1000</f>
        <v>8.8458480000000002</v>
      </c>
      <c r="D16" s="93" t="s">
        <v>540</v>
      </c>
      <c r="E16" s="94" t="s">
        <v>547</v>
      </c>
      <c r="F16" s="114"/>
      <c r="G16" s="265"/>
      <c r="H16" s="266"/>
      <c r="I16" s="266"/>
      <c r="J16" s="267"/>
      <c r="K16" s="1"/>
      <c r="L16" s="258"/>
      <c r="M16" s="1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7"/>
      <c r="AH16" s="95"/>
      <c r="AI16" s="95"/>
      <c r="AJ16" s="96"/>
    </row>
    <row r="17" spans="2:37" ht="30.75" customHeight="1" thickTop="1" x14ac:dyDescent="0.3">
      <c r="B17" s="134"/>
      <c r="C17" s="132">
        <f>C13-C16</f>
        <v>0.15415199999999984</v>
      </c>
      <c r="D17" s="93" t="s">
        <v>540</v>
      </c>
      <c r="E17" s="94" t="s">
        <v>548</v>
      </c>
      <c r="F17" s="1"/>
      <c r="G17" s="1"/>
      <c r="H17" s="1"/>
      <c r="I17" s="1"/>
      <c r="J17" s="1"/>
      <c r="K17" s="1"/>
      <c r="L17" s="258"/>
      <c r="M17" s="1"/>
      <c r="N17" s="95"/>
      <c r="O17" s="95"/>
      <c r="P17" s="95"/>
      <c r="Q17" s="95"/>
      <c r="R17" s="95"/>
      <c r="S17" s="95"/>
      <c r="T17" s="95"/>
      <c r="U17" s="95"/>
      <c r="V17" s="95" t="s">
        <v>542</v>
      </c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7"/>
      <c r="AH17" s="95"/>
      <c r="AI17" s="95"/>
      <c r="AJ17" s="96"/>
    </row>
    <row r="18" spans="2:37" ht="43.2" x14ac:dyDescent="0.3">
      <c r="B18" s="134"/>
      <c r="C18" s="132">
        <f>C17/C13*100</f>
        <v>1.7127999999999983</v>
      </c>
      <c r="D18" s="93" t="s">
        <v>549</v>
      </c>
      <c r="E18" s="94" t="s">
        <v>550</v>
      </c>
      <c r="F18" s="1"/>
      <c r="G18" s="1"/>
      <c r="H18" s="1"/>
      <c r="I18" s="1"/>
      <c r="J18" s="1"/>
      <c r="K18" s="1"/>
      <c r="L18" s="258"/>
      <c r="M18" s="1"/>
      <c r="N18" s="95"/>
      <c r="O18" s="95"/>
      <c r="P18" s="95"/>
      <c r="Q18" s="95"/>
      <c r="R18" s="95"/>
      <c r="S18" s="95"/>
      <c r="T18" s="95"/>
      <c r="U18" s="95"/>
      <c r="V18" s="155"/>
      <c r="W18" s="98" t="s">
        <v>526</v>
      </c>
      <c r="X18" s="95" t="s">
        <v>519</v>
      </c>
      <c r="Y18" s="90">
        <f>$C$13</f>
        <v>9</v>
      </c>
      <c r="Z18" s="98" t="s">
        <v>534</v>
      </c>
      <c r="AA18" s="96"/>
      <c r="AB18" s="95" t="s">
        <v>519</v>
      </c>
      <c r="AC18" s="90">
        <v>1</v>
      </c>
      <c r="AD18" s="96" t="s">
        <v>535</v>
      </c>
      <c r="AE18" s="95"/>
      <c r="AF18" s="96" t="s">
        <v>528</v>
      </c>
      <c r="AG18" s="89">
        <f>V18*Y18/Y19/AC19</f>
        <v>0</v>
      </c>
      <c r="AH18" s="98" t="s">
        <v>526</v>
      </c>
      <c r="AI18" s="95"/>
      <c r="AJ18" s="96"/>
    </row>
    <row r="19" spans="2:37" ht="28.8" x14ac:dyDescent="0.3">
      <c r="B19" s="134"/>
      <c r="C19" s="132">
        <f>(100-C18)*C10/100</f>
        <v>1.9657439999999999</v>
      </c>
      <c r="D19" s="93" t="s">
        <v>540</v>
      </c>
      <c r="E19" s="94" t="s">
        <v>554</v>
      </c>
      <c r="F19" s="1"/>
      <c r="G19" s="1"/>
      <c r="H19" s="1"/>
      <c r="I19" s="1"/>
      <c r="J19" s="1"/>
      <c r="K19" s="1"/>
      <c r="L19" s="258"/>
      <c r="M19" s="1"/>
      <c r="N19" s="95"/>
      <c r="O19" s="95"/>
      <c r="P19" s="95"/>
      <c r="Q19" s="95"/>
      <c r="R19" s="95"/>
      <c r="S19" s="95"/>
      <c r="T19" s="95"/>
      <c r="U19" s="95"/>
      <c r="V19" s="95"/>
      <c r="W19" s="96" t="s">
        <v>534</v>
      </c>
      <c r="X19" s="95"/>
      <c r="Y19" s="88">
        <f>$C$10</f>
        <v>2</v>
      </c>
      <c r="Z19" s="96" t="s">
        <v>537</v>
      </c>
      <c r="AA19" s="96"/>
      <c r="AB19" s="96"/>
      <c r="AC19" s="88">
        <f>$C$12</f>
        <v>0.13333333333333333</v>
      </c>
      <c r="AD19" s="96" t="s">
        <v>530</v>
      </c>
      <c r="AE19" s="95"/>
      <c r="AF19" s="95"/>
      <c r="AG19" s="95"/>
      <c r="AH19" s="96" t="s">
        <v>530</v>
      </c>
      <c r="AI19" s="95"/>
      <c r="AJ19" s="96"/>
    </row>
    <row r="20" spans="2:37" ht="37.5" customHeight="1" x14ac:dyDescent="0.3">
      <c r="B20" s="135"/>
      <c r="C20" s="132">
        <f>C12*C19</f>
        <v>0.26209919999999998</v>
      </c>
      <c r="D20" s="93" t="s">
        <v>254</v>
      </c>
      <c r="E20" s="94" t="s">
        <v>552</v>
      </c>
      <c r="F20" s="1"/>
      <c r="G20" s="1"/>
      <c r="H20" s="1"/>
      <c r="I20" s="1"/>
      <c r="J20" s="1"/>
      <c r="K20" s="1"/>
      <c r="L20" s="258"/>
      <c r="N20" s="96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6"/>
    </row>
    <row r="21" spans="2:37" x14ac:dyDescent="0.3">
      <c r="B21" s="53"/>
      <c r="C21" s="53"/>
      <c r="D21" s="53"/>
      <c r="E21" s="53"/>
      <c r="F21" s="53"/>
      <c r="G21" s="53"/>
      <c r="H21" s="1"/>
      <c r="I21" s="1"/>
      <c r="J21" s="1"/>
      <c r="K21" s="1"/>
      <c r="L21" s="258"/>
    </row>
    <row r="22" spans="2:37" x14ac:dyDescent="0.3">
      <c r="B22" s="53"/>
      <c r="C22" s="53"/>
      <c r="D22" s="53"/>
      <c r="E22" s="53"/>
      <c r="F22" s="53"/>
      <c r="G22" s="53"/>
      <c r="H22" s="1"/>
      <c r="I22" s="1"/>
      <c r="J22" s="1"/>
      <c r="K22" s="1"/>
      <c r="L22" s="258"/>
    </row>
    <row r="23" spans="2:37" x14ac:dyDescent="0.3">
      <c r="B23" s="259" t="s">
        <v>557</v>
      </c>
      <c r="C23" s="259"/>
      <c r="D23" s="259"/>
      <c r="E23" s="259"/>
      <c r="F23" s="53"/>
      <c r="G23" s="53"/>
      <c r="H23" s="1"/>
      <c r="I23" s="1"/>
      <c r="J23" s="1"/>
      <c r="K23" s="1"/>
      <c r="L23" s="258"/>
    </row>
    <row r="24" spans="2:37" ht="31.5" customHeight="1" x14ac:dyDescent="0.3">
      <c r="B24" s="259"/>
      <c r="C24" s="259"/>
      <c r="D24" s="259"/>
      <c r="E24" s="259"/>
      <c r="F24" s="53"/>
      <c r="G24" s="53"/>
      <c r="H24" s="1"/>
      <c r="I24" s="1"/>
      <c r="J24" s="1"/>
      <c r="K24" s="1"/>
      <c r="L24" s="258"/>
    </row>
    <row r="25" spans="2:37" ht="15" thickBot="1" x14ac:dyDescent="0.35">
      <c r="B25" s="58" t="s">
        <v>250</v>
      </c>
      <c r="C25" s="58" t="s">
        <v>249</v>
      </c>
      <c r="D25" s="58" t="s">
        <v>253</v>
      </c>
      <c r="E25" s="58" t="s">
        <v>6</v>
      </c>
      <c r="F25" s="54"/>
      <c r="G25" s="54"/>
      <c r="L25" s="258"/>
    </row>
    <row r="26" spans="2:37" ht="15" customHeight="1" thickTop="1" x14ac:dyDescent="0.3">
      <c r="B26" s="107" t="s">
        <v>383</v>
      </c>
      <c r="C26" s="151"/>
      <c r="D26" s="107" t="s">
        <v>157</v>
      </c>
      <c r="E26" s="108" t="s">
        <v>377</v>
      </c>
      <c r="F26" s="91"/>
      <c r="G26" s="128"/>
      <c r="H26" s="129"/>
      <c r="I26" s="129"/>
      <c r="J26" s="120"/>
      <c r="L26" s="258"/>
      <c r="N26" s="101" t="s">
        <v>475</v>
      </c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3"/>
      <c r="AK26" s="4"/>
    </row>
    <row r="27" spans="2:37" x14ac:dyDescent="0.3">
      <c r="B27" s="99" t="s">
        <v>382</v>
      </c>
      <c r="C27" s="150"/>
      <c r="D27" s="99" t="s">
        <v>254</v>
      </c>
      <c r="E27" s="100" t="s">
        <v>370</v>
      </c>
      <c r="F27" s="91"/>
      <c r="G27" s="127"/>
      <c r="H27" s="260" t="s">
        <v>475</v>
      </c>
      <c r="I27" s="260"/>
      <c r="J27" s="121"/>
      <c r="L27" s="258"/>
      <c r="N27" s="257" t="s">
        <v>523</v>
      </c>
      <c r="O27" s="257"/>
      <c r="P27" s="257"/>
      <c r="Q27" s="257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24" t="s">
        <v>525</v>
      </c>
      <c r="AG27" s="124"/>
      <c r="AH27" s="124"/>
      <c r="AI27" s="124"/>
      <c r="AJ27" s="124"/>
      <c r="AK27" s="4"/>
    </row>
    <row r="28" spans="2:37" x14ac:dyDescent="0.3">
      <c r="B28" s="99" t="s">
        <v>384</v>
      </c>
      <c r="C28" s="150"/>
      <c r="D28" s="99" t="s">
        <v>157</v>
      </c>
      <c r="E28" s="100" t="s">
        <v>378</v>
      </c>
      <c r="F28" s="91"/>
      <c r="G28" s="127"/>
      <c r="H28" s="113" t="s">
        <v>259</v>
      </c>
      <c r="I28" s="109" t="e">
        <f>(C33*C35/C34*C38/(C36*1000))/C37</f>
        <v>#DIV/0!</v>
      </c>
      <c r="J28" s="122" t="s">
        <v>254</v>
      </c>
      <c r="L28" s="258"/>
      <c r="N28" s="257"/>
      <c r="O28" s="257"/>
      <c r="P28" s="257"/>
      <c r="Q28" s="257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4"/>
    </row>
    <row r="29" spans="2:37" ht="30.3" customHeight="1" x14ac:dyDescent="0.3">
      <c r="B29" s="99" t="s">
        <v>385</v>
      </c>
      <c r="C29" s="150"/>
      <c r="D29" s="99" t="s">
        <v>254</v>
      </c>
      <c r="E29" s="100" t="s">
        <v>371</v>
      </c>
      <c r="F29" s="91"/>
      <c r="G29" s="127"/>
      <c r="H29" s="113" t="s">
        <v>376</v>
      </c>
      <c r="I29" s="109" t="e">
        <f>(C33/C34*C35/C36)/C37</f>
        <v>#DIV/0!</v>
      </c>
      <c r="J29" s="121"/>
      <c r="L29" s="258"/>
      <c r="N29" s="257"/>
      <c r="O29" s="257"/>
      <c r="P29" s="257"/>
      <c r="Q29" s="257"/>
      <c r="R29" s="101" t="s">
        <v>524</v>
      </c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4"/>
    </row>
    <row r="30" spans="2:37" ht="30.3" customHeight="1" thickBot="1" x14ac:dyDescent="0.35">
      <c r="B30" s="99" t="s">
        <v>386</v>
      </c>
      <c r="C30" s="55">
        <f>C27-C29</f>
        <v>0</v>
      </c>
      <c r="D30" s="99" t="s">
        <v>254</v>
      </c>
      <c r="E30" s="100" t="s">
        <v>372</v>
      </c>
      <c r="F30" s="91"/>
      <c r="G30" s="117"/>
      <c r="H30" s="118"/>
      <c r="I30" s="118"/>
      <c r="J30" s="123"/>
      <c r="L30" s="258"/>
      <c r="N30" s="102"/>
      <c r="O30" s="154"/>
      <c r="P30" s="101" t="s">
        <v>140</v>
      </c>
      <c r="Q30" s="102"/>
      <c r="R30" s="154"/>
      <c r="S30" s="101" t="s">
        <v>100</v>
      </c>
      <c r="T30" s="102"/>
      <c r="U30" s="102"/>
      <c r="V30" s="88" t="e">
        <f>10^((R30-O31)/O30)</f>
        <v>#DIV/0!</v>
      </c>
      <c r="W30" s="104" t="s">
        <v>526</v>
      </c>
      <c r="X30" s="101" t="s">
        <v>519</v>
      </c>
      <c r="Y30" s="102"/>
      <c r="Z30" s="104" t="s">
        <v>527</v>
      </c>
      <c r="AA30" s="102"/>
      <c r="AB30" s="102"/>
      <c r="AC30" s="102"/>
      <c r="AD30" s="102"/>
      <c r="AE30" s="102"/>
      <c r="AF30" s="101" t="s">
        <v>528</v>
      </c>
      <c r="AG30" s="89" t="e">
        <f>V30/Y31</f>
        <v>#DIV/0!</v>
      </c>
      <c r="AH30" s="104" t="s">
        <v>526</v>
      </c>
      <c r="AI30" s="102"/>
      <c r="AJ30" s="102"/>
      <c r="AK30" s="4"/>
    </row>
    <row r="31" spans="2:37" ht="30.3" customHeight="1" thickTop="1" x14ac:dyDescent="0.3">
      <c r="B31" s="99" t="s">
        <v>387</v>
      </c>
      <c r="C31" s="55">
        <f>C26*C27-C28*C29</f>
        <v>0</v>
      </c>
      <c r="D31" s="99" t="s">
        <v>112</v>
      </c>
      <c r="E31" s="100" t="s">
        <v>392</v>
      </c>
      <c r="F31" s="91"/>
      <c r="G31" s="91"/>
      <c r="L31" s="258"/>
      <c r="N31" s="102"/>
      <c r="O31" s="155"/>
      <c r="P31" s="101" t="s">
        <v>529</v>
      </c>
      <c r="Q31" s="102"/>
      <c r="R31" s="102"/>
      <c r="S31" s="102"/>
      <c r="T31" s="102"/>
      <c r="U31" s="102"/>
      <c r="V31" s="102"/>
      <c r="W31" s="102" t="s">
        <v>527</v>
      </c>
      <c r="X31" s="102"/>
      <c r="Y31" s="136" t="e">
        <f>I28</f>
        <v>#DIV/0!</v>
      </c>
      <c r="Z31" s="102" t="s">
        <v>530</v>
      </c>
      <c r="AA31" s="102"/>
      <c r="AB31" s="102"/>
      <c r="AC31" s="102"/>
      <c r="AD31" s="102"/>
      <c r="AE31" s="102"/>
      <c r="AF31" s="102"/>
      <c r="AG31" s="105"/>
      <c r="AH31" s="102" t="s">
        <v>530</v>
      </c>
      <c r="AI31" s="102"/>
      <c r="AJ31" s="102"/>
      <c r="AK31" s="4"/>
    </row>
    <row r="32" spans="2:37" ht="30.3" customHeight="1" x14ac:dyDescent="0.3">
      <c r="B32" s="99" t="s">
        <v>388</v>
      </c>
      <c r="C32" s="56" t="e">
        <f>C31/C33</f>
        <v>#DIV/0!</v>
      </c>
      <c r="D32" s="99" t="s">
        <v>157</v>
      </c>
      <c r="E32" s="100" t="s">
        <v>379</v>
      </c>
      <c r="F32" s="91"/>
      <c r="L32" s="258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4"/>
    </row>
    <row r="33" spans="2:37" ht="30.3" customHeight="1" x14ac:dyDescent="0.3">
      <c r="B33" s="99" t="s">
        <v>391</v>
      </c>
      <c r="C33" s="57" t="e">
        <f>C31/C26</f>
        <v>#DIV/0!</v>
      </c>
      <c r="D33" s="99" t="s">
        <v>254</v>
      </c>
      <c r="E33" s="100" t="s">
        <v>393</v>
      </c>
      <c r="F33" s="91"/>
      <c r="G33" s="91"/>
      <c r="L33" s="258"/>
      <c r="AK33" s="4"/>
    </row>
    <row r="34" spans="2:37" x14ac:dyDescent="0.3">
      <c r="B34" s="99" t="s">
        <v>373</v>
      </c>
      <c r="C34" s="150"/>
      <c r="D34" s="99" t="s">
        <v>112</v>
      </c>
      <c r="E34" s="100" t="s">
        <v>389</v>
      </c>
      <c r="F34" s="91"/>
      <c r="L34" s="258"/>
      <c r="AK34" s="4"/>
    </row>
    <row r="35" spans="2:37" x14ac:dyDescent="0.3">
      <c r="B35" s="99" t="s">
        <v>374</v>
      </c>
      <c r="C35" s="150"/>
      <c r="D35" s="99" t="s">
        <v>112</v>
      </c>
      <c r="E35" s="100" t="s">
        <v>390</v>
      </c>
      <c r="F35" s="91"/>
      <c r="L35" s="258"/>
      <c r="AK35" s="4"/>
    </row>
    <row r="36" spans="2:37" x14ac:dyDescent="0.3">
      <c r="B36" s="99" t="s">
        <v>247</v>
      </c>
      <c r="C36" s="150"/>
      <c r="D36" s="99" t="s">
        <v>254</v>
      </c>
      <c r="E36" s="100" t="s">
        <v>380</v>
      </c>
      <c r="F36" s="91"/>
      <c r="L36" s="258"/>
      <c r="AK36" s="4"/>
    </row>
    <row r="37" spans="2:37" x14ac:dyDescent="0.3">
      <c r="B37" s="99" t="s">
        <v>375</v>
      </c>
      <c r="C37" s="150"/>
      <c r="D37" s="99" t="s">
        <v>258</v>
      </c>
      <c r="E37" s="100" t="s">
        <v>261</v>
      </c>
      <c r="F37" s="91"/>
      <c r="K37" s="1"/>
      <c r="L37" s="258"/>
      <c r="M37" s="1"/>
      <c r="AK37" s="4"/>
    </row>
    <row r="38" spans="2:37" x14ac:dyDescent="0.3">
      <c r="B38" s="99" t="s">
        <v>246</v>
      </c>
      <c r="C38" s="150"/>
      <c r="D38" s="99" t="s">
        <v>555</v>
      </c>
      <c r="E38" s="100" t="s">
        <v>381</v>
      </c>
      <c r="F38" s="91"/>
      <c r="L38" s="258"/>
      <c r="AK38" s="4"/>
    </row>
    <row r="39" spans="2:37" ht="15" thickBot="1" x14ac:dyDescent="0.35">
      <c r="I39" s="110"/>
      <c r="L39" s="258"/>
      <c r="N39" s="95" t="s">
        <v>426</v>
      </c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4"/>
    </row>
    <row r="40" spans="2:37" ht="15" thickTop="1" x14ac:dyDescent="0.3">
      <c r="B40" s="133" t="s">
        <v>538</v>
      </c>
      <c r="C40" s="55" t="e">
        <f>I28/C38</f>
        <v>#DIV/0!</v>
      </c>
      <c r="D40" s="93" t="s">
        <v>254</v>
      </c>
      <c r="E40" s="94" t="s">
        <v>539</v>
      </c>
      <c r="F40" s="91"/>
      <c r="G40" s="130"/>
      <c r="H40" s="261" t="s">
        <v>426</v>
      </c>
      <c r="I40" s="261"/>
      <c r="J40" s="125"/>
      <c r="L40" s="258"/>
      <c r="N40" s="95"/>
      <c r="O40" s="95"/>
      <c r="P40" s="95"/>
      <c r="Q40" s="95"/>
      <c r="R40" s="95" t="s">
        <v>531</v>
      </c>
      <c r="S40" s="95"/>
      <c r="T40" s="95"/>
      <c r="U40" s="95"/>
      <c r="V40" s="95" t="s">
        <v>532</v>
      </c>
      <c r="W40" s="95"/>
      <c r="X40" s="95"/>
      <c r="Y40" s="95"/>
      <c r="Z40" s="96"/>
      <c r="AA40" s="96"/>
      <c r="AB40" s="96"/>
      <c r="AC40" s="95"/>
      <c r="AD40" s="95"/>
      <c r="AE40" s="95"/>
      <c r="AF40" s="95"/>
      <c r="AG40" s="97"/>
      <c r="AH40" s="95"/>
      <c r="AI40" s="95"/>
      <c r="AJ40" s="96"/>
      <c r="AK40" s="4"/>
    </row>
    <row r="41" spans="2:37" x14ac:dyDescent="0.3">
      <c r="B41" s="134"/>
      <c r="C41" s="149"/>
      <c r="D41" s="93" t="s">
        <v>540</v>
      </c>
      <c r="E41" s="94" t="s">
        <v>541</v>
      </c>
      <c r="F41" s="91"/>
      <c r="G41" s="131"/>
      <c r="H41" s="95" t="s">
        <v>248</v>
      </c>
      <c r="I41" s="109" t="e">
        <f>I28</f>
        <v>#DIV/0!</v>
      </c>
      <c r="J41" s="115" t="s">
        <v>254</v>
      </c>
      <c r="L41" s="258"/>
      <c r="N41" s="95"/>
      <c r="O41" s="95"/>
      <c r="P41" s="95"/>
      <c r="Q41" s="95"/>
      <c r="R41" s="154"/>
      <c r="S41" s="95" t="s">
        <v>533</v>
      </c>
      <c r="T41" s="95"/>
      <c r="U41" s="95"/>
      <c r="V41" s="88" t="e">
        <f>LN(R41/(R42-R41)+1)/C42*1000</f>
        <v>#DIV/0!</v>
      </c>
      <c r="W41" s="98" t="s">
        <v>526</v>
      </c>
      <c r="X41" s="95" t="s">
        <v>519</v>
      </c>
      <c r="Y41" s="90">
        <f>$C$41</f>
        <v>0</v>
      </c>
      <c r="Z41" s="98" t="s">
        <v>534</v>
      </c>
      <c r="AA41" s="96"/>
      <c r="AB41" s="95" t="s">
        <v>519</v>
      </c>
      <c r="AC41" s="90">
        <v>1</v>
      </c>
      <c r="AD41" s="96" t="s">
        <v>535</v>
      </c>
      <c r="AE41" s="95"/>
      <c r="AF41" s="96" t="s">
        <v>528</v>
      </c>
      <c r="AG41" s="89" t="e">
        <f>V41*Y41/Y42/AC42</f>
        <v>#DIV/0!</v>
      </c>
      <c r="AH41" s="98" t="s">
        <v>526</v>
      </c>
      <c r="AI41" s="95"/>
      <c r="AJ41" s="96"/>
      <c r="AK41" s="4"/>
    </row>
    <row r="42" spans="2:37" x14ac:dyDescent="0.3">
      <c r="B42" s="134"/>
      <c r="C42" s="150"/>
      <c r="D42" s="93" t="s">
        <v>543</v>
      </c>
      <c r="E42" s="94" t="s">
        <v>544</v>
      </c>
      <c r="F42" s="91"/>
      <c r="G42" s="131"/>
      <c r="H42" s="95" t="s">
        <v>553</v>
      </c>
      <c r="I42" s="109" t="e">
        <f>C48</f>
        <v>#DIV/0!</v>
      </c>
      <c r="J42" s="115" t="s">
        <v>254</v>
      </c>
      <c r="L42" s="258"/>
      <c r="N42" s="95"/>
      <c r="O42" s="95"/>
      <c r="P42" s="95"/>
      <c r="Q42" s="95"/>
      <c r="R42" s="155"/>
      <c r="S42" s="95" t="s">
        <v>536</v>
      </c>
      <c r="T42" s="95"/>
      <c r="U42" s="95"/>
      <c r="V42" s="95"/>
      <c r="W42" s="96" t="s">
        <v>534</v>
      </c>
      <c r="X42" s="95"/>
      <c r="Y42" s="88">
        <f>$C$38</f>
        <v>0</v>
      </c>
      <c r="Z42" s="96" t="s">
        <v>537</v>
      </c>
      <c r="AA42" s="96"/>
      <c r="AB42" s="96"/>
      <c r="AC42" s="88" t="e">
        <f>$C$40</f>
        <v>#DIV/0!</v>
      </c>
      <c r="AD42" s="96" t="s">
        <v>530</v>
      </c>
      <c r="AE42" s="95"/>
      <c r="AF42" s="95"/>
      <c r="AG42" s="97"/>
      <c r="AH42" s="96" t="s">
        <v>530</v>
      </c>
      <c r="AI42" s="95"/>
      <c r="AJ42" s="96"/>
      <c r="AK42" s="4"/>
    </row>
    <row r="43" spans="2:37" ht="15.75" customHeight="1" x14ac:dyDescent="0.3">
      <c r="B43" s="134"/>
      <c r="C43" s="149"/>
      <c r="D43" s="93" t="s">
        <v>545</v>
      </c>
      <c r="E43" s="94" t="s">
        <v>546</v>
      </c>
      <c r="F43" s="138"/>
      <c r="G43" s="262" t="s">
        <v>558</v>
      </c>
      <c r="H43" s="263"/>
      <c r="I43" s="263"/>
      <c r="J43" s="263"/>
      <c r="K43" s="139"/>
      <c r="L43" s="258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7"/>
      <c r="AH43" s="95"/>
      <c r="AI43" s="95"/>
      <c r="AJ43" s="96"/>
      <c r="AK43" s="4"/>
    </row>
    <row r="44" spans="2:37" ht="15" thickBot="1" x14ac:dyDescent="0.35">
      <c r="B44" s="134"/>
      <c r="C44" s="55">
        <f>C43*C42/1000</f>
        <v>0</v>
      </c>
      <c r="D44" s="93" t="s">
        <v>540</v>
      </c>
      <c r="E44" s="94" t="s">
        <v>547</v>
      </c>
      <c r="F44" s="138"/>
      <c r="G44" s="265"/>
      <c r="H44" s="266"/>
      <c r="I44" s="266"/>
      <c r="J44" s="266"/>
      <c r="K44" s="139"/>
      <c r="L44" s="258"/>
      <c r="N44" s="95"/>
      <c r="O44" s="95"/>
      <c r="P44" s="95"/>
      <c r="Q44" s="95"/>
      <c r="R44" s="95"/>
      <c r="S44" s="95"/>
      <c r="T44" s="95"/>
      <c r="U44" s="95"/>
      <c r="V44" s="95" t="s">
        <v>542</v>
      </c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7"/>
      <c r="AH44" s="95"/>
      <c r="AI44" s="95"/>
      <c r="AJ44" s="96"/>
    </row>
    <row r="45" spans="2:37" ht="15" thickTop="1" x14ac:dyDescent="0.3">
      <c r="B45" s="134"/>
      <c r="C45" s="55">
        <f>C41-C44</f>
        <v>0</v>
      </c>
      <c r="D45" s="93" t="s">
        <v>540</v>
      </c>
      <c r="E45" s="94" t="s">
        <v>548</v>
      </c>
      <c r="F45" s="91"/>
      <c r="L45" s="258"/>
      <c r="N45" s="95"/>
      <c r="O45" s="95"/>
      <c r="P45" s="95"/>
      <c r="Q45" s="95"/>
      <c r="R45" s="95"/>
      <c r="S45" s="95"/>
      <c r="T45" s="95"/>
      <c r="U45" s="95"/>
      <c r="V45" s="155"/>
      <c r="W45" s="98" t="s">
        <v>526</v>
      </c>
      <c r="X45" s="95" t="s">
        <v>519</v>
      </c>
      <c r="Y45" s="90">
        <f>$C$41</f>
        <v>0</v>
      </c>
      <c r="Z45" s="98" t="s">
        <v>534</v>
      </c>
      <c r="AA45" s="96"/>
      <c r="AB45" s="95" t="s">
        <v>519</v>
      </c>
      <c r="AC45" s="90">
        <v>1</v>
      </c>
      <c r="AD45" s="96" t="s">
        <v>535</v>
      </c>
      <c r="AE45" s="95"/>
      <c r="AF45" s="96" t="s">
        <v>528</v>
      </c>
      <c r="AG45" s="89" t="e">
        <f>V45*Y45/Y46/AC46</f>
        <v>#DIV/0!</v>
      </c>
      <c r="AH45" s="98" t="s">
        <v>526</v>
      </c>
      <c r="AI45" s="95"/>
      <c r="AJ45" s="96"/>
    </row>
    <row r="46" spans="2:37" ht="43.2" x14ac:dyDescent="0.3">
      <c r="B46" s="134"/>
      <c r="C46" s="55" t="e">
        <f>C45/C41*100</f>
        <v>#DIV/0!</v>
      </c>
      <c r="D46" s="93" t="s">
        <v>549</v>
      </c>
      <c r="E46" s="94" t="s">
        <v>550</v>
      </c>
      <c r="F46" s="91"/>
      <c r="L46" s="258"/>
      <c r="N46" s="95"/>
      <c r="O46" s="95"/>
      <c r="P46" s="95"/>
      <c r="Q46" s="95"/>
      <c r="R46" s="95"/>
      <c r="S46" s="95"/>
      <c r="T46" s="95"/>
      <c r="U46" s="95"/>
      <c r="V46" s="95"/>
      <c r="W46" s="96" t="s">
        <v>534</v>
      </c>
      <c r="X46" s="95"/>
      <c r="Y46" s="88">
        <f>$C$38</f>
        <v>0</v>
      </c>
      <c r="Z46" s="96" t="s">
        <v>537</v>
      </c>
      <c r="AA46" s="96"/>
      <c r="AB46" s="96"/>
      <c r="AC46" s="88" t="e">
        <f>$C$40</f>
        <v>#DIV/0!</v>
      </c>
      <c r="AD46" s="96" t="s">
        <v>530</v>
      </c>
      <c r="AE46" s="95"/>
      <c r="AF46" s="95"/>
      <c r="AG46" s="95"/>
      <c r="AH46" s="96" t="s">
        <v>530</v>
      </c>
      <c r="AI46" s="95"/>
      <c r="AJ46" s="96"/>
    </row>
    <row r="47" spans="2:37" ht="28.8" x14ac:dyDescent="0.3">
      <c r="B47" s="134"/>
      <c r="C47" s="55" t="e">
        <f>(100-C46)*C38/100</f>
        <v>#DIV/0!</v>
      </c>
      <c r="D47" s="93" t="s">
        <v>540</v>
      </c>
      <c r="E47" s="94" t="s">
        <v>551</v>
      </c>
      <c r="F47" s="53"/>
      <c r="L47" s="258"/>
      <c r="N47" s="96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6"/>
    </row>
    <row r="48" spans="2:37" ht="28.8" x14ac:dyDescent="0.3">
      <c r="B48" s="135"/>
      <c r="C48" s="55" t="e">
        <f>C40*C47</f>
        <v>#DIV/0!</v>
      </c>
      <c r="D48" s="93" t="s">
        <v>254</v>
      </c>
      <c r="E48" s="94" t="s">
        <v>552</v>
      </c>
      <c r="F48" s="53"/>
      <c r="K48" s="1"/>
      <c r="L48" s="1"/>
    </row>
  </sheetData>
  <mergeCells count="11">
    <mergeCell ref="N5:Q7"/>
    <mergeCell ref="N27:Q29"/>
    <mergeCell ref="L4:L47"/>
    <mergeCell ref="B2:E3"/>
    <mergeCell ref="B23:E24"/>
    <mergeCell ref="H6:I6"/>
    <mergeCell ref="H12:I12"/>
    <mergeCell ref="G15:J16"/>
    <mergeCell ref="G43:J44"/>
    <mergeCell ref="H27:I27"/>
    <mergeCell ref="H40:I40"/>
  </mergeCells>
  <conditionalFormatting sqref="C5:C10 C26:C29 C34:C38">
    <cfRule type="expression" dxfId="11" priority="2">
      <formula>MOD(ROW(),2)=0</formula>
    </cfRule>
  </conditionalFormatting>
  <pageMargins left="0.7" right="0.7" top="1.5" bottom="0.75" header="0.3" footer="0.3"/>
  <pageSetup scale="74" orientation="landscape" r:id="rId1"/>
  <headerFooter>
    <oddHeader>&amp;L&amp;G&amp;CProficiency Testing Program (PTP)
PCR-based approaches to quantify viral targets in wastewater matrices&amp;RDoc ID: Reporting_template
Rev Date: 2024-07-15
Rev: Unduli
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4B79C"/>
  </sheetPr>
  <dimension ref="A1:AA24"/>
  <sheetViews>
    <sheetView topLeftCell="I1" zoomScaleNormal="100" workbookViewId="0">
      <selection activeCell="I8" sqref="I8"/>
    </sheetView>
  </sheetViews>
  <sheetFormatPr defaultColWidth="8.77734375" defaultRowHeight="14.4" x14ac:dyDescent="0.3"/>
  <cols>
    <col min="1" max="1" width="16.44140625" style="38" bestFit="1" customWidth="1"/>
    <col min="2" max="2" width="15" style="38" customWidth="1"/>
    <col min="3" max="3" width="16.44140625" style="38" customWidth="1"/>
    <col min="4" max="4" width="18.44140625" style="38" customWidth="1"/>
    <col min="5" max="5" width="26.77734375" style="38" customWidth="1"/>
    <col min="6" max="6" width="13.44140625" style="38" customWidth="1"/>
    <col min="7" max="7" width="26.77734375" style="38" customWidth="1"/>
    <col min="8" max="8" width="14.109375" style="38" customWidth="1"/>
    <col min="9" max="9" width="10" style="38" customWidth="1"/>
    <col min="10" max="10" width="8" style="38" customWidth="1"/>
    <col min="11" max="11" width="10.77734375" style="38" bestFit="1" customWidth="1"/>
    <col min="12" max="14" width="27.77734375" style="38" customWidth="1"/>
    <col min="15" max="20" width="29.44140625" style="38" customWidth="1"/>
    <col min="21" max="23" width="19.109375" style="38" bestFit="1" customWidth="1"/>
    <col min="24" max="24" width="55.77734375" style="38" customWidth="1"/>
    <col min="25" max="27" width="40.44140625" style="38" customWidth="1"/>
    <col min="28" max="16384" width="8.77734375" style="38"/>
  </cols>
  <sheetData>
    <row r="1" spans="1:27" x14ac:dyDescent="0.3">
      <c r="A1" s="52" t="s">
        <v>31</v>
      </c>
      <c r="B1" s="46">
        <f>Lab_Code!H1</f>
        <v>20240722</v>
      </c>
      <c r="C1" s="268" t="s">
        <v>409</v>
      </c>
      <c r="D1" s="269"/>
      <c r="E1" s="62">
        <v>45495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5.6" x14ac:dyDescent="0.3">
      <c r="A2" s="52" t="s">
        <v>30</v>
      </c>
      <c r="B2" s="46" t="str">
        <f>Lab_Code!H2</f>
        <v>Unduli</v>
      </c>
      <c r="C2" s="268" t="s">
        <v>410</v>
      </c>
      <c r="D2" s="269"/>
      <c r="E2" s="63">
        <v>45496</v>
      </c>
      <c r="F2"/>
      <c r="G2"/>
      <c r="H2"/>
      <c r="I2"/>
      <c r="J2"/>
      <c r="K2"/>
      <c r="L2" s="5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3">
      <c r="A3" s="1" t="s">
        <v>673</v>
      </c>
      <c r="B3" s="63" t="s">
        <v>712</v>
      </c>
      <c r="C3" s="268" t="s">
        <v>411</v>
      </c>
      <c r="D3" s="269"/>
      <c r="E3" s="63">
        <v>45496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x14ac:dyDescent="0.3">
      <c r="A4"/>
      <c r="B4" s="1"/>
      <c r="C4" s="1"/>
      <c r="D4"/>
      <c r="E4"/>
      <c r="F4"/>
      <c r="G4"/>
      <c r="H4"/>
      <c r="I4"/>
      <c r="J4"/>
      <c r="K4"/>
      <c r="L4" s="248" t="s">
        <v>100</v>
      </c>
      <c r="M4" s="248"/>
      <c r="N4" s="248"/>
      <c r="O4" s="248" t="s">
        <v>215</v>
      </c>
      <c r="P4" s="248"/>
      <c r="Q4" s="248"/>
      <c r="R4" s="248" t="s">
        <v>216</v>
      </c>
      <c r="S4" s="248"/>
      <c r="T4" s="248"/>
      <c r="U4" s="248" t="s">
        <v>201</v>
      </c>
      <c r="V4" s="248"/>
      <c r="W4" s="248"/>
      <c r="X4" s="247" t="s">
        <v>130</v>
      </c>
      <c r="Y4" s="248" t="s">
        <v>262</v>
      </c>
      <c r="Z4" s="248"/>
      <c r="AA4" s="248"/>
    </row>
    <row r="5" spans="1:27" ht="14.55" customHeight="1" x14ac:dyDescent="0.3">
      <c r="A5"/>
      <c r="B5" s="1"/>
      <c r="C5" s="1"/>
      <c r="D5"/>
      <c r="E5"/>
      <c r="F5"/>
      <c r="G5"/>
      <c r="H5"/>
      <c r="I5"/>
      <c r="J5"/>
      <c r="K5"/>
      <c r="L5" s="191" t="s">
        <v>97</v>
      </c>
      <c r="M5" s="191" t="s">
        <v>98</v>
      </c>
      <c r="N5" s="191" t="s">
        <v>99</v>
      </c>
      <c r="O5" s="191" t="s">
        <v>97</v>
      </c>
      <c r="P5" s="191" t="s">
        <v>98</v>
      </c>
      <c r="Q5" s="191" t="s">
        <v>99</v>
      </c>
      <c r="R5" s="191" t="s">
        <v>97</v>
      </c>
      <c r="S5" s="191" t="s">
        <v>98</v>
      </c>
      <c r="T5" s="191" t="s">
        <v>99</v>
      </c>
      <c r="U5" s="191" t="s">
        <v>97</v>
      </c>
      <c r="V5" s="191" t="s">
        <v>98</v>
      </c>
      <c r="W5" s="191" t="s">
        <v>99</v>
      </c>
      <c r="X5" s="247"/>
      <c r="Y5" s="248"/>
      <c r="Z5" s="248"/>
      <c r="AA5" s="248"/>
    </row>
    <row r="6" spans="1:27" ht="14.25" customHeight="1" x14ac:dyDescent="0.3">
      <c r="A6"/>
      <c r="B6" s="47" t="s">
        <v>34</v>
      </c>
      <c r="C6" s="47" t="s">
        <v>200</v>
      </c>
      <c r="D6" s="47" t="s">
        <v>20</v>
      </c>
      <c r="E6" s="47" t="s">
        <v>1</v>
      </c>
      <c r="F6" s="47" t="s">
        <v>133</v>
      </c>
      <c r="G6" s="47" t="s">
        <v>2</v>
      </c>
      <c r="H6" s="47" t="s">
        <v>3</v>
      </c>
      <c r="I6" s="47" t="s">
        <v>237</v>
      </c>
      <c r="J6" s="47" t="s">
        <v>236</v>
      </c>
      <c r="K6" s="47" t="s">
        <v>4</v>
      </c>
      <c r="L6" s="47" t="s">
        <v>24</v>
      </c>
      <c r="M6" s="47" t="s">
        <v>25</v>
      </c>
      <c r="N6" s="47" t="s">
        <v>26</v>
      </c>
      <c r="O6" s="47" t="s">
        <v>213</v>
      </c>
      <c r="P6" s="47" t="s">
        <v>225</v>
      </c>
      <c r="Q6" s="47" t="s">
        <v>228</v>
      </c>
      <c r="R6" s="47" t="s">
        <v>214</v>
      </c>
      <c r="S6" s="47" t="s">
        <v>226</v>
      </c>
      <c r="T6" s="47" t="s">
        <v>229</v>
      </c>
      <c r="U6" s="47" t="s">
        <v>224</v>
      </c>
      <c r="V6" s="47" t="s">
        <v>227</v>
      </c>
      <c r="W6" s="47" t="s">
        <v>230</v>
      </c>
      <c r="X6" s="247"/>
      <c r="Y6" s="47" t="s">
        <v>233</v>
      </c>
      <c r="Z6" s="47" t="s">
        <v>234</v>
      </c>
      <c r="AA6" s="47" t="s">
        <v>235</v>
      </c>
    </row>
    <row r="7" spans="1:27" x14ac:dyDescent="0.3">
      <c r="A7" s="189" t="s">
        <v>128</v>
      </c>
      <c r="B7" s="51">
        <v>99</v>
      </c>
      <c r="C7" s="51">
        <v>1</v>
      </c>
      <c r="D7" s="51">
        <v>1</v>
      </c>
      <c r="E7" s="51" t="s">
        <v>7</v>
      </c>
      <c r="F7" s="51" t="s">
        <v>8</v>
      </c>
      <c r="G7" s="51" t="s">
        <v>10</v>
      </c>
      <c r="H7" s="51" t="s">
        <v>14</v>
      </c>
      <c r="I7" s="51">
        <v>2</v>
      </c>
      <c r="J7" s="51">
        <v>400</v>
      </c>
      <c r="K7" s="51" t="s">
        <v>147</v>
      </c>
      <c r="L7" s="51">
        <v>35.159428340244901</v>
      </c>
      <c r="M7" s="51">
        <v>34.940940917413002</v>
      </c>
      <c r="N7" s="51">
        <v>37.028286628632301</v>
      </c>
      <c r="O7" s="51">
        <v>6.8069499999999996</v>
      </c>
      <c r="P7" s="51">
        <v>7.9262600000000001</v>
      </c>
      <c r="Q7" s="51">
        <v>1.85107</v>
      </c>
      <c r="R7" s="51">
        <v>2.3009408450704298</v>
      </c>
      <c r="S7" s="51">
        <v>2.6792991549295899</v>
      </c>
      <c r="T7" s="51">
        <v>0.62571380281690403</v>
      </c>
      <c r="U7" s="51"/>
      <c r="V7" s="51" t="s">
        <v>209</v>
      </c>
      <c r="W7" s="51" t="s">
        <v>204</v>
      </c>
      <c r="X7" s="51"/>
      <c r="Y7" s="51" t="s">
        <v>207</v>
      </c>
      <c r="Z7" s="51" t="s">
        <v>207</v>
      </c>
      <c r="AA7" s="51" t="s">
        <v>206</v>
      </c>
    </row>
    <row r="8" spans="1:27" x14ac:dyDescent="0.3">
      <c r="A8" s="190" t="s">
        <v>326</v>
      </c>
      <c r="B8" s="18">
        <f>Lab_Code!$C$1</f>
        <v>999</v>
      </c>
      <c r="C8" s="60">
        <v>1</v>
      </c>
      <c r="D8" s="60">
        <v>1</v>
      </c>
      <c r="E8" s="60" t="s">
        <v>7</v>
      </c>
      <c r="F8" s="60" t="s">
        <v>132</v>
      </c>
      <c r="G8" s="60" t="s">
        <v>10</v>
      </c>
      <c r="H8" s="61" t="s">
        <v>11</v>
      </c>
      <c r="I8" s="172">
        <v>1.45</v>
      </c>
      <c r="J8" s="172"/>
      <c r="K8" s="60" t="s">
        <v>148</v>
      </c>
      <c r="L8" s="212">
        <v>33.799999999999997</v>
      </c>
      <c r="M8" s="212">
        <v>33.700000000000003</v>
      </c>
      <c r="N8" s="212">
        <v>33.6</v>
      </c>
      <c r="O8" s="59">
        <v>16</v>
      </c>
      <c r="P8" s="59">
        <v>19</v>
      </c>
      <c r="Q8" s="59">
        <v>23</v>
      </c>
      <c r="R8" s="177"/>
      <c r="S8" s="177"/>
      <c r="T8" s="177"/>
      <c r="U8" s="60" t="s">
        <v>209</v>
      </c>
      <c r="V8" s="60" t="s">
        <v>209</v>
      </c>
      <c r="W8" s="60" t="s">
        <v>209</v>
      </c>
      <c r="X8" s="177"/>
      <c r="Y8" s="44" t="str">
        <f ca="1">OFFSET(Dropdown_Data!$P$1, MATCH(qPCR_Sample_Data!U8, Dropdown_Data!$O$2:$O$14,0), 0)</f>
        <v>No qualifier</v>
      </c>
      <c r="Z8" s="44" t="str">
        <f ca="1">OFFSET(Dropdown_Data!$P$1, MATCH(qPCR_Sample_Data!V8, Dropdown_Data!$O$2:$O$14,0), 0)</f>
        <v>No qualifier</v>
      </c>
      <c r="AA8" s="44" t="str">
        <f ca="1">OFFSET(Dropdown_Data!$P$1, MATCH(qPCR_Sample_Data!W8, Dropdown_Data!$O$2:$O$14,0), 0)</f>
        <v>No qualifier</v>
      </c>
    </row>
    <row r="9" spans="1:27" x14ac:dyDescent="0.3">
      <c r="B9" s="18">
        <f>Lab_Code!$C$1</f>
        <v>999</v>
      </c>
      <c r="C9" s="60">
        <v>1</v>
      </c>
      <c r="D9" s="60">
        <v>2</v>
      </c>
      <c r="E9" s="60" t="s">
        <v>7</v>
      </c>
      <c r="F9" s="60" t="s">
        <v>132</v>
      </c>
      <c r="G9" s="60" t="s">
        <v>10</v>
      </c>
      <c r="H9" s="61" t="s">
        <v>11</v>
      </c>
      <c r="I9" s="172">
        <v>1.45</v>
      </c>
      <c r="J9" s="172"/>
      <c r="K9" s="60" t="s">
        <v>148</v>
      </c>
      <c r="L9" s="213">
        <v>34.200000000000003</v>
      </c>
      <c r="M9" s="213">
        <v>34.299999999999997</v>
      </c>
      <c r="N9" s="213">
        <v>34.4</v>
      </c>
      <c r="O9" s="216">
        <v>12</v>
      </c>
      <c r="P9" s="216">
        <v>11</v>
      </c>
      <c r="Q9" s="216">
        <v>12</v>
      </c>
      <c r="R9" s="177"/>
      <c r="S9" s="177"/>
      <c r="T9" s="177"/>
      <c r="U9" s="60" t="s">
        <v>209</v>
      </c>
      <c r="V9" s="60" t="s">
        <v>209</v>
      </c>
      <c r="W9" s="60" t="s">
        <v>209</v>
      </c>
      <c r="X9" s="177"/>
      <c r="Y9" s="44" t="str">
        <f ca="1">OFFSET(Dropdown_Data!$P$1, MATCH(qPCR_Sample_Data!U9, Dropdown_Data!$O$2:$O$14,0), 0)</f>
        <v>No qualifier</v>
      </c>
      <c r="Z9" s="44" t="str">
        <f ca="1">OFFSET(Dropdown_Data!$P$1, MATCH(qPCR_Sample_Data!V9, Dropdown_Data!$O$2:$O$14,0), 0)</f>
        <v>No qualifier</v>
      </c>
      <c r="AA9" s="44" t="str">
        <f ca="1">OFFSET(Dropdown_Data!$P$1, MATCH(qPCR_Sample_Data!W9, Dropdown_Data!$O$2:$O$14,0), 0)</f>
        <v>No qualifier</v>
      </c>
    </row>
    <row r="10" spans="1:27" x14ac:dyDescent="0.3">
      <c r="B10" s="18">
        <f>Lab_Code!$C$1</f>
        <v>999</v>
      </c>
      <c r="C10" s="60">
        <v>1</v>
      </c>
      <c r="D10" s="60">
        <v>3</v>
      </c>
      <c r="E10" s="60" t="s">
        <v>7</v>
      </c>
      <c r="F10" s="60" t="s">
        <v>132</v>
      </c>
      <c r="G10" s="60" t="s">
        <v>10</v>
      </c>
      <c r="H10" s="61" t="s">
        <v>11</v>
      </c>
      <c r="I10" s="172">
        <v>1.45</v>
      </c>
      <c r="J10" s="172"/>
      <c r="K10" s="60" t="s">
        <v>148</v>
      </c>
      <c r="L10" s="212">
        <v>33.799999999999997</v>
      </c>
      <c r="M10" s="212">
        <v>33.700000000000003</v>
      </c>
      <c r="N10" s="212">
        <v>33.6</v>
      </c>
      <c r="O10" s="59">
        <v>15</v>
      </c>
      <c r="P10" s="59">
        <v>16</v>
      </c>
      <c r="Q10" s="59">
        <v>15</v>
      </c>
      <c r="R10" s="177"/>
      <c r="S10" s="177"/>
      <c r="T10" s="177"/>
      <c r="U10" s="60" t="s">
        <v>209</v>
      </c>
      <c r="V10" s="60" t="s">
        <v>209</v>
      </c>
      <c r="W10" s="60" t="s">
        <v>209</v>
      </c>
      <c r="X10" s="177"/>
      <c r="Y10" s="44" t="str">
        <f ca="1">OFFSET(Dropdown_Data!$P$1, MATCH(qPCR_Sample_Data!U10, Dropdown_Data!$O$2:$O$14,0), 0)</f>
        <v>No qualifier</v>
      </c>
      <c r="Z10" s="44" t="str">
        <f ca="1">OFFSET(Dropdown_Data!$P$1, MATCH(qPCR_Sample_Data!V10, Dropdown_Data!$O$2:$O$14,0), 0)</f>
        <v>No qualifier</v>
      </c>
      <c r="AA10" s="44" t="str">
        <f ca="1">OFFSET(Dropdown_Data!$P$1, MATCH(qPCR_Sample_Data!W10, Dropdown_Data!$O$2:$O$14,0), 0)</f>
        <v>No qualifier</v>
      </c>
    </row>
    <row r="11" spans="1:27" x14ac:dyDescent="0.3">
      <c r="B11" s="18">
        <f>Lab_Code!$C$1</f>
        <v>999</v>
      </c>
      <c r="C11" s="60">
        <v>1</v>
      </c>
      <c r="D11" s="60">
        <v>1</v>
      </c>
      <c r="E11" s="60" t="s">
        <v>7</v>
      </c>
      <c r="F11" s="60" t="s">
        <v>132</v>
      </c>
      <c r="G11" s="60" t="s">
        <v>10</v>
      </c>
      <c r="H11" s="61" t="s">
        <v>14</v>
      </c>
      <c r="I11" s="172">
        <v>1.45</v>
      </c>
      <c r="J11" s="172"/>
      <c r="K11" s="60" t="s">
        <v>148</v>
      </c>
      <c r="L11" s="213">
        <v>34</v>
      </c>
      <c r="M11" s="213">
        <v>34</v>
      </c>
      <c r="N11" s="213">
        <v>34</v>
      </c>
      <c r="O11" s="216">
        <v>22</v>
      </c>
      <c r="P11" s="216">
        <v>22</v>
      </c>
      <c r="Q11" s="216">
        <v>21</v>
      </c>
      <c r="R11" s="177"/>
      <c r="S11" s="177"/>
      <c r="T11" s="177"/>
      <c r="U11" s="60" t="s">
        <v>209</v>
      </c>
      <c r="V11" s="60" t="s">
        <v>209</v>
      </c>
      <c r="W11" s="60" t="s">
        <v>209</v>
      </c>
      <c r="X11" s="177"/>
      <c r="Y11" s="44" t="str">
        <f ca="1">OFFSET(Dropdown_Data!$P$1, MATCH(qPCR_Sample_Data!U11, Dropdown_Data!$O$2:$O$14,0), 0)</f>
        <v>No qualifier</v>
      </c>
      <c r="Z11" s="44" t="str">
        <f ca="1">OFFSET(Dropdown_Data!$P$1, MATCH(qPCR_Sample_Data!V11, Dropdown_Data!$O$2:$O$14,0), 0)</f>
        <v>No qualifier</v>
      </c>
      <c r="AA11" s="44" t="str">
        <f ca="1">OFFSET(Dropdown_Data!$P$1, MATCH(qPCR_Sample_Data!W11, Dropdown_Data!$O$2:$O$14,0), 0)</f>
        <v>No qualifier</v>
      </c>
    </row>
    <row r="12" spans="1:27" x14ac:dyDescent="0.3">
      <c r="B12" s="18">
        <f>Lab_Code!$C$1</f>
        <v>999</v>
      </c>
      <c r="C12" s="60">
        <v>1</v>
      </c>
      <c r="D12" s="60">
        <v>2</v>
      </c>
      <c r="E12" s="60" t="s">
        <v>7</v>
      </c>
      <c r="F12" s="60" t="s">
        <v>132</v>
      </c>
      <c r="G12" s="60" t="s">
        <v>10</v>
      </c>
      <c r="H12" s="61" t="s">
        <v>14</v>
      </c>
      <c r="I12" s="172">
        <v>1.45</v>
      </c>
      <c r="J12" s="172"/>
      <c r="K12" s="60" t="s">
        <v>148</v>
      </c>
      <c r="L12" s="213">
        <v>34</v>
      </c>
      <c r="M12" s="213">
        <v>34</v>
      </c>
      <c r="N12" s="213">
        <v>34</v>
      </c>
      <c r="O12" s="59">
        <v>16</v>
      </c>
      <c r="P12" s="59">
        <v>17</v>
      </c>
      <c r="Q12" s="59">
        <v>16.5</v>
      </c>
      <c r="R12" s="177"/>
      <c r="S12" s="177"/>
      <c r="T12" s="177"/>
      <c r="U12" s="60" t="s">
        <v>209</v>
      </c>
      <c r="V12" s="60" t="s">
        <v>209</v>
      </c>
      <c r="W12" s="60" t="s">
        <v>209</v>
      </c>
      <c r="X12" s="177"/>
      <c r="Y12" s="44" t="str">
        <f ca="1">OFFSET(Dropdown_Data!$P$1, MATCH(qPCR_Sample_Data!U12, Dropdown_Data!$O$2:$O$14,0), 0)</f>
        <v>No qualifier</v>
      </c>
      <c r="Z12" s="44" t="str">
        <f ca="1">OFFSET(Dropdown_Data!$P$1, MATCH(qPCR_Sample_Data!V12, Dropdown_Data!$O$2:$O$14,0), 0)</f>
        <v>No qualifier</v>
      </c>
      <c r="AA12" s="44" t="str">
        <f ca="1">OFFSET(Dropdown_Data!$P$1, MATCH(qPCR_Sample_Data!W12, Dropdown_Data!$O$2:$O$14,0), 0)</f>
        <v>No qualifier</v>
      </c>
    </row>
    <row r="13" spans="1:27" x14ac:dyDescent="0.3">
      <c r="B13" s="18">
        <f>Lab_Code!$C$1</f>
        <v>999</v>
      </c>
      <c r="C13" s="60">
        <v>1</v>
      </c>
      <c r="D13" s="60">
        <v>3</v>
      </c>
      <c r="E13" s="60" t="s">
        <v>7</v>
      </c>
      <c r="F13" s="60" t="s">
        <v>132</v>
      </c>
      <c r="G13" s="60" t="s">
        <v>10</v>
      </c>
      <c r="H13" s="61" t="s">
        <v>14</v>
      </c>
      <c r="I13" s="172">
        <v>1.45</v>
      </c>
      <c r="J13" s="172"/>
      <c r="K13" s="60" t="s">
        <v>148</v>
      </c>
      <c r="L13" s="213">
        <v>34</v>
      </c>
      <c r="M13" s="213">
        <v>34</v>
      </c>
      <c r="N13" s="213">
        <v>34</v>
      </c>
      <c r="O13" s="216">
        <v>18</v>
      </c>
      <c r="P13" s="216">
        <v>16</v>
      </c>
      <c r="Q13" s="216">
        <v>20</v>
      </c>
      <c r="R13" s="177"/>
      <c r="S13" s="177"/>
      <c r="T13" s="177"/>
      <c r="U13" s="60" t="s">
        <v>209</v>
      </c>
      <c r="V13" s="60" t="s">
        <v>209</v>
      </c>
      <c r="W13" s="60" t="s">
        <v>209</v>
      </c>
      <c r="X13" s="177"/>
      <c r="Y13" s="44" t="str">
        <f ca="1">OFFSET(Dropdown_Data!$P$1, MATCH(qPCR_Sample_Data!U13, Dropdown_Data!$O$2:$O$14,0), 0)</f>
        <v>No qualifier</v>
      </c>
      <c r="Z13" s="44" t="str">
        <f ca="1">OFFSET(Dropdown_Data!$P$1, MATCH(qPCR_Sample_Data!V13, Dropdown_Data!$O$2:$O$14,0), 0)</f>
        <v>No qualifier</v>
      </c>
      <c r="AA13" s="44" t="str">
        <f ca="1">OFFSET(Dropdown_Data!$P$1, MATCH(qPCR_Sample_Data!W13, Dropdown_Data!$O$2:$O$14,0), 0)</f>
        <v>No qualifier</v>
      </c>
    </row>
    <row r="14" spans="1:27" x14ac:dyDescent="0.3">
      <c r="B14" s="18">
        <f>Lab_Code!$C$1</f>
        <v>999</v>
      </c>
      <c r="C14" s="60">
        <v>1</v>
      </c>
      <c r="D14" s="60">
        <v>1</v>
      </c>
      <c r="E14" s="60" t="s">
        <v>7</v>
      </c>
      <c r="F14" s="60" t="s">
        <v>132</v>
      </c>
      <c r="G14" s="60" t="s">
        <v>17</v>
      </c>
      <c r="H14" s="61"/>
      <c r="I14" s="172">
        <v>0.75</v>
      </c>
      <c r="J14" s="172"/>
      <c r="K14" s="60" t="s">
        <v>148</v>
      </c>
      <c r="L14" s="215">
        <v>27</v>
      </c>
      <c r="M14" s="215">
        <v>27</v>
      </c>
      <c r="N14" s="215">
        <v>27</v>
      </c>
      <c r="O14" s="59">
        <v>10000</v>
      </c>
      <c r="P14" s="59">
        <v>10200</v>
      </c>
      <c r="Q14" s="59">
        <v>10100</v>
      </c>
      <c r="R14" s="177"/>
      <c r="S14" s="177"/>
      <c r="T14" s="177"/>
      <c r="U14" s="60" t="s">
        <v>209</v>
      </c>
      <c r="V14" s="60" t="s">
        <v>209</v>
      </c>
      <c r="W14" s="60" t="s">
        <v>209</v>
      </c>
      <c r="X14" s="177"/>
      <c r="Y14" s="44" t="str">
        <f ca="1">OFFSET(Dropdown_Data!$P$1, MATCH(qPCR_Sample_Data!U14, Dropdown_Data!$O$2:$O$14,0), 0)</f>
        <v>No qualifier</v>
      </c>
      <c r="Z14" s="44" t="str">
        <f ca="1">OFFSET(Dropdown_Data!$P$1, MATCH(qPCR_Sample_Data!V14, Dropdown_Data!$O$2:$O$14,0), 0)</f>
        <v>No qualifier</v>
      </c>
      <c r="AA14" s="44" t="str">
        <f ca="1">OFFSET(Dropdown_Data!$P$1, MATCH(qPCR_Sample_Data!W14, Dropdown_Data!$O$2:$O$14,0), 0)</f>
        <v>No qualifier</v>
      </c>
    </row>
    <row r="15" spans="1:27" x14ac:dyDescent="0.3">
      <c r="B15" s="18">
        <f>Lab_Code!$C$1</f>
        <v>999</v>
      </c>
      <c r="C15" s="60">
        <v>1</v>
      </c>
      <c r="D15" s="60">
        <v>2</v>
      </c>
      <c r="E15" s="60" t="s">
        <v>7</v>
      </c>
      <c r="F15" s="60" t="s">
        <v>132</v>
      </c>
      <c r="G15" s="60" t="s">
        <v>17</v>
      </c>
      <c r="H15" s="61"/>
      <c r="I15" s="172">
        <v>0.75</v>
      </c>
      <c r="J15" s="172"/>
      <c r="K15" s="60" t="s">
        <v>148</v>
      </c>
      <c r="L15" s="215">
        <v>27</v>
      </c>
      <c r="M15" s="215">
        <v>27</v>
      </c>
      <c r="N15" s="215">
        <v>27</v>
      </c>
      <c r="O15" s="216">
        <v>10000</v>
      </c>
      <c r="P15" s="216">
        <v>10000</v>
      </c>
      <c r="Q15" s="216">
        <v>10000</v>
      </c>
      <c r="R15" s="177"/>
      <c r="S15" s="177"/>
      <c r="T15" s="177"/>
      <c r="U15" s="60" t="s">
        <v>209</v>
      </c>
      <c r="V15" s="60" t="s">
        <v>209</v>
      </c>
      <c r="W15" s="60" t="s">
        <v>209</v>
      </c>
      <c r="X15" s="177"/>
      <c r="Y15" s="44" t="str">
        <f ca="1">OFFSET(Dropdown_Data!$P$1, MATCH(qPCR_Sample_Data!U15, Dropdown_Data!$O$2:$O$14,0), 0)</f>
        <v>No qualifier</v>
      </c>
      <c r="Z15" s="44" t="str">
        <f ca="1">OFFSET(Dropdown_Data!$P$1, MATCH(qPCR_Sample_Data!V15, Dropdown_Data!$O$2:$O$14,0), 0)</f>
        <v>No qualifier</v>
      </c>
      <c r="AA15" s="44" t="str">
        <f ca="1">OFFSET(Dropdown_Data!$P$1, MATCH(qPCR_Sample_Data!W15, Dropdown_Data!$O$2:$O$14,0), 0)</f>
        <v>No qualifier</v>
      </c>
    </row>
    <row r="16" spans="1:27" x14ac:dyDescent="0.3">
      <c r="B16" s="18">
        <f>Lab_Code!$C$1</f>
        <v>999</v>
      </c>
      <c r="C16" s="60">
        <v>1</v>
      </c>
      <c r="D16" s="60">
        <v>3</v>
      </c>
      <c r="E16" s="60" t="s">
        <v>7</v>
      </c>
      <c r="F16" s="60" t="s">
        <v>132</v>
      </c>
      <c r="G16" s="60" t="s">
        <v>17</v>
      </c>
      <c r="H16" s="61"/>
      <c r="I16" s="172">
        <v>0.75</v>
      </c>
      <c r="J16" s="172"/>
      <c r="K16" s="60" t="s">
        <v>148</v>
      </c>
      <c r="L16" s="215">
        <v>27</v>
      </c>
      <c r="M16" s="215">
        <v>27</v>
      </c>
      <c r="N16" s="215">
        <v>27</v>
      </c>
      <c r="O16" s="59">
        <v>9000</v>
      </c>
      <c r="P16" s="59">
        <v>9000</v>
      </c>
      <c r="Q16" s="59">
        <v>9000</v>
      </c>
      <c r="R16" s="177"/>
      <c r="S16" s="177"/>
      <c r="T16" s="177"/>
      <c r="U16" s="60" t="s">
        <v>209</v>
      </c>
      <c r="V16" s="60" t="s">
        <v>209</v>
      </c>
      <c r="W16" s="60" t="s">
        <v>209</v>
      </c>
      <c r="X16" s="177"/>
      <c r="Y16" s="44" t="str">
        <f ca="1">OFFSET(Dropdown_Data!$P$1, MATCH(qPCR_Sample_Data!U16, Dropdown_Data!$O$2:$O$14,0), 0)</f>
        <v>No qualifier</v>
      </c>
      <c r="Z16" s="44" t="str">
        <f ca="1">OFFSET(Dropdown_Data!$P$1, MATCH(qPCR_Sample_Data!V16, Dropdown_Data!$O$2:$O$14,0), 0)</f>
        <v>No qualifier</v>
      </c>
      <c r="AA16" s="44" t="str">
        <f ca="1">OFFSET(Dropdown_Data!$P$1, MATCH(qPCR_Sample_Data!W16, Dropdown_Data!$O$2:$O$14,0), 0)</f>
        <v>No qualifier</v>
      </c>
    </row>
    <row r="17" spans="2:27" x14ac:dyDescent="0.3">
      <c r="B17" s="18">
        <f>Lab_Code!$C$1</f>
        <v>999</v>
      </c>
      <c r="C17" s="60">
        <v>1</v>
      </c>
      <c r="D17" s="60">
        <v>1</v>
      </c>
      <c r="E17" s="60" t="s">
        <v>152</v>
      </c>
      <c r="F17" s="60" t="s">
        <v>132</v>
      </c>
      <c r="G17" s="60" t="s">
        <v>10</v>
      </c>
      <c r="H17" s="61" t="s">
        <v>11</v>
      </c>
      <c r="I17" s="172"/>
      <c r="J17" s="172"/>
      <c r="K17" s="60" t="s">
        <v>148</v>
      </c>
      <c r="L17" s="214">
        <v>31</v>
      </c>
      <c r="M17" s="214">
        <v>31</v>
      </c>
      <c r="N17" s="214">
        <v>31</v>
      </c>
      <c r="O17" s="177"/>
      <c r="P17" s="177"/>
      <c r="Q17" s="177"/>
      <c r="R17" s="177"/>
      <c r="S17" s="177"/>
      <c r="T17" s="177"/>
      <c r="U17" s="60" t="s">
        <v>209</v>
      </c>
      <c r="V17" s="60" t="s">
        <v>209</v>
      </c>
      <c r="W17" s="60" t="s">
        <v>209</v>
      </c>
      <c r="X17" s="177"/>
      <c r="Y17" s="44" t="str">
        <f ca="1">OFFSET(Dropdown_Data!$P$1, MATCH(qPCR_Sample_Data!U17, Dropdown_Data!$O$2:$O$14,0), 0)</f>
        <v>No qualifier</v>
      </c>
      <c r="Z17" s="44" t="str">
        <f ca="1">OFFSET(Dropdown_Data!$P$1, MATCH(qPCR_Sample_Data!V17, Dropdown_Data!$O$2:$O$14,0), 0)</f>
        <v>No qualifier</v>
      </c>
      <c r="AA17" s="44" t="str">
        <f ca="1">OFFSET(Dropdown_Data!$P$1, MATCH(qPCR_Sample_Data!W17, Dropdown_Data!$O$2:$O$14,0), 0)</f>
        <v>No qualifier</v>
      </c>
    </row>
    <row r="18" spans="2:27" x14ac:dyDescent="0.3">
      <c r="B18" s="18">
        <f>Lab_Code!$C$1</f>
        <v>999</v>
      </c>
      <c r="C18" s="60">
        <v>1</v>
      </c>
      <c r="D18" s="60">
        <v>1</v>
      </c>
      <c r="E18" s="60" t="s">
        <v>153</v>
      </c>
      <c r="F18" s="60" t="s">
        <v>132</v>
      </c>
      <c r="G18" s="60" t="s">
        <v>10</v>
      </c>
      <c r="H18" s="61" t="s">
        <v>11</v>
      </c>
      <c r="I18" s="172">
        <v>1.45</v>
      </c>
      <c r="J18" s="172"/>
      <c r="K18" s="60" t="s">
        <v>148</v>
      </c>
      <c r="L18" s="212">
        <v>31</v>
      </c>
      <c r="M18" s="60"/>
      <c r="N18" s="60"/>
      <c r="O18" s="177"/>
      <c r="P18" s="177"/>
      <c r="Q18" s="177"/>
      <c r="R18" s="177"/>
      <c r="S18" s="177"/>
      <c r="T18" s="177"/>
      <c r="U18" s="60" t="s">
        <v>209</v>
      </c>
      <c r="V18" s="60" t="s">
        <v>209</v>
      </c>
      <c r="W18" s="60" t="s">
        <v>209</v>
      </c>
      <c r="X18" s="177"/>
      <c r="Y18" s="44" t="str">
        <f ca="1">OFFSET(Dropdown_Data!$P$1, MATCH(qPCR_Sample_Data!U18, Dropdown_Data!$O$2:$O$14,0), 0)</f>
        <v>No qualifier</v>
      </c>
      <c r="Z18" s="44" t="str">
        <f ca="1">OFFSET(Dropdown_Data!$P$1, MATCH(qPCR_Sample_Data!V18, Dropdown_Data!$O$2:$O$14,0), 0)</f>
        <v>No qualifier</v>
      </c>
      <c r="AA18" s="44" t="str">
        <f ca="1">OFFSET(Dropdown_Data!$P$1, MATCH(qPCR_Sample_Data!W18, Dropdown_Data!$O$2:$O$14,0), 0)</f>
        <v>No qualifier</v>
      </c>
    </row>
    <row r="19" spans="2:27" x14ac:dyDescent="0.3">
      <c r="B19" s="18">
        <f>Lab_Code!$C$1</f>
        <v>999</v>
      </c>
      <c r="C19" s="60">
        <v>1</v>
      </c>
      <c r="D19" s="60">
        <v>2</v>
      </c>
      <c r="E19" s="60" t="s">
        <v>153</v>
      </c>
      <c r="F19" s="60" t="s">
        <v>132</v>
      </c>
      <c r="G19" s="60" t="s">
        <v>10</v>
      </c>
      <c r="H19" s="61" t="s">
        <v>11</v>
      </c>
      <c r="I19" s="172">
        <v>1.45</v>
      </c>
      <c r="J19" s="172"/>
      <c r="K19" s="60" t="s">
        <v>148</v>
      </c>
      <c r="L19" s="213">
        <v>31</v>
      </c>
      <c r="M19" s="60"/>
      <c r="N19" s="60"/>
      <c r="O19" s="177"/>
      <c r="P19" s="177"/>
      <c r="Q19" s="177"/>
      <c r="R19" s="177"/>
      <c r="S19" s="177"/>
      <c r="T19" s="177"/>
      <c r="U19" s="60" t="s">
        <v>209</v>
      </c>
      <c r="V19" s="60" t="s">
        <v>209</v>
      </c>
      <c r="W19" s="60" t="s">
        <v>209</v>
      </c>
      <c r="X19" s="177"/>
      <c r="Y19" s="44" t="str">
        <f ca="1">OFFSET(Dropdown_Data!$P$1, MATCH(qPCR_Sample_Data!U19, Dropdown_Data!$O$2:$O$14,0), 0)</f>
        <v>No qualifier</v>
      </c>
      <c r="Z19" s="44" t="str">
        <f ca="1">OFFSET(Dropdown_Data!$P$1, MATCH(qPCR_Sample_Data!V19, Dropdown_Data!$O$2:$O$14,0), 0)</f>
        <v>No qualifier</v>
      </c>
      <c r="AA19" s="44" t="str">
        <f ca="1">OFFSET(Dropdown_Data!$P$1, MATCH(qPCR_Sample_Data!W19, Dropdown_Data!$O$2:$O$14,0), 0)</f>
        <v>No qualifier</v>
      </c>
    </row>
    <row r="20" spans="2:27" x14ac:dyDescent="0.3">
      <c r="B20" s="18">
        <f>Lab_Code!$C$1</f>
        <v>999</v>
      </c>
      <c r="C20" s="60">
        <v>1</v>
      </c>
      <c r="D20" s="60">
        <v>3</v>
      </c>
      <c r="E20" s="60" t="s">
        <v>153</v>
      </c>
      <c r="F20" s="60" t="s">
        <v>132</v>
      </c>
      <c r="G20" s="60" t="s">
        <v>10</v>
      </c>
      <c r="H20" s="61" t="s">
        <v>11</v>
      </c>
      <c r="I20" s="172">
        <v>1.45</v>
      </c>
      <c r="J20" s="172"/>
      <c r="K20" s="60" t="s">
        <v>148</v>
      </c>
      <c r="L20" s="212">
        <v>31</v>
      </c>
      <c r="M20" s="60"/>
      <c r="N20" s="60"/>
      <c r="O20" s="177"/>
      <c r="P20" s="177"/>
      <c r="Q20" s="177"/>
      <c r="R20" s="177"/>
      <c r="S20" s="177"/>
      <c r="T20" s="177"/>
      <c r="U20" s="60" t="s">
        <v>209</v>
      </c>
      <c r="V20" s="60" t="s">
        <v>209</v>
      </c>
      <c r="W20" s="60" t="s">
        <v>209</v>
      </c>
      <c r="X20" s="177"/>
      <c r="Y20" s="44" t="str">
        <f ca="1">OFFSET(Dropdown_Data!$P$1, MATCH(qPCR_Sample_Data!U20, Dropdown_Data!$O$2:$O$14,0), 0)</f>
        <v>No qualifier</v>
      </c>
      <c r="Z20" s="44" t="str">
        <f ca="1">OFFSET(Dropdown_Data!$P$1, MATCH(qPCR_Sample_Data!V20, Dropdown_Data!$O$2:$O$14,0), 0)</f>
        <v>No qualifier</v>
      </c>
      <c r="AA20" s="44" t="str">
        <f ca="1">OFFSET(Dropdown_Data!$P$1, MATCH(qPCR_Sample_Data!W20, Dropdown_Data!$O$2:$O$14,0), 0)</f>
        <v>No qualifier</v>
      </c>
    </row>
    <row r="21" spans="2:27" s="227" customFormat="1" x14ac:dyDescent="0.3">
      <c r="B21" s="221">
        <f>Lab_Code!$C$1</f>
        <v>999</v>
      </c>
      <c r="C21" s="222">
        <v>1</v>
      </c>
      <c r="D21" s="222">
        <v>1</v>
      </c>
      <c r="E21" s="222" t="s">
        <v>152</v>
      </c>
      <c r="F21" s="222" t="s">
        <v>132</v>
      </c>
      <c r="G21" s="222" t="s">
        <v>10</v>
      </c>
      <c r="H21" s="223" t="s">
        <v>14</v>
      </c>
      <c r="I21" s="224"/>
      <c r="J21" s="224"/>
      <c r="K21" s="222" t="s">
        <v>148</v>
      </c>
      <c r="L21" s="213">
        <v>32</v>
      </c>
      <c r="M21" s="213">
        <v>32</v>
      </c>
      <c r="N21" s="213">
        <v>32</v>
      </c>
      <c r="O21" s="225"/>
      <c r="P21" s="225"/>
      <c r="Q21" s="225"/>
      <c r="R21" s="225"/>
      <c r="S21" s="225"/>
      <c r="T21" s="225"/>
      <c r="U21" s="222" t="s">
        <v>209</v>
      </c>
      <c r="V21" s="222" t="s">
        <v>209</v>
      </c>
      <c r="W21" s="222" t="s">
        <v>209</v>
      </c>
      <c r="X21" s="225"/>
      <c r="Y21" s="226" t="str">
        <f ca="1">OFFSET(Dropdown_Data!$P$1, MATCH(qPCR_Sample_Data!U21, Dropdown_Data!$O$2:$O$14,0), 0)</f>
        <v>No qualifier</v>
      </c>
      <c r="Z21" s="226" t="str">
        <f ca="1">OFFSET(Dropdown_Data!$P$1, MATCH(qPCR_Sample_Data!V21, Dropdown_Data!$O$2:$O$14,0), 0)</f>
        <v>No qualifier</v>
      </c>
      <c r="AA21" s="226" t="str">
        <f ca="1">OFFSET(Dropdown_Data!$P$1, MATCH(qPCR_Sample_Data!W21, Dropdown_Data!$O$2:$O$14,0), 0)</f>
        <v>No qualifier</v>
      </c>
    </row>
    <row r="22" spans="2:27" s="227" customFormat="1" x14ac:dyDescent="0.3">
      <c r="B22" s="221">
        <f>Lab_Code!$C$1</f>
        <v>999</v>
      </c>
      <c r="C22" s="222">
        <v>1</v>
      </c>
      <c r="D22" s="222">
        <v>1</v>
      </c>
      <c r="E22" s="222" t="s">
        <v>153</v>
      </c>
      <c r="F22" s="222" t="s">
        <v>132</v>
      </c>
      <c r="G22" s="222" t="s">
        <v>10</v>
      </c>
      <c r="H22" s="223" t="s">
        <v>14</v>
      </c>
      <c r="I22" s="172">
        <v>1.45</v>
      </c>
      <c r="J22" s="224"/>
      <c r="K22" s="222" t="s">
        <v>148</v>
      </c>
      <c r="L22" s="212">
        <v>32</v>
      </c>
      <c r="M22" s="222"/>
      <c r="N22" s="222"/>
      <c r="O22" s="225"/>
      <c r="P22" s="225"/>
      <c r="Q22" s="225"/>
      <c r="R22" s="225"/>
      <c r="S22" s="225"/>
      <c r="T22" s="225"/>
      <c r="U22" s="222" t="s">
        <v>209</v>
      </c>
      <c r="V22" s="222" t="s">
        <v>209</v>
      </c>
      <c r="W22" s="222" t="s">
        <v>209</v>
      </c>
      <c r="X22" s="225"/>
      <c r="Y22" s="226" t="str">
        <f ca="1">OFFSET(Dropdown_Data!$P$1, MATCH(qPCR_Sample_Data!U22, Dropdown_Data!$O$2:$O$14,0), 0)</f>
        <v>No qualifier</v>
      </c>
      <c r="Z22" s="226" t="str">
        <f ca="1">OFFSET(Dropdown_Data!$P$1, MATCH(qPCR_Sample_Data!V22, Dropdown_Data!$O$2:$O$14,0), 0)</f>
        <v>No qualifier</v>
      </c>
      <c r="AA22" s="226" t="str">
        <f ca="1">OFFSET(Dropdown_Data!$P$1, MATCH(qPCR_Sample_Data!W22, Dropdown_Data!$O$2:$O$14,0), 0)</f>
        <v>No qualifier</v>
      </c>
    </row>
    <row r="23" spans="2:27" s="227" customFormat="1" x14ac:dyDescent="0.3">
      <c r="B23" s="221">
        <f>Lab_Code!$C$1</f>
        <v>999</v>
      </c>
      <c r="C23" s="222">
        <v>1</v>
      </c>
      <c r="D23" s="222">
        <v>2</v>
      </c>
      <c r="E23" s="222" t="s">
        <v>153</v>
      </c>
      <c r="F23" s="222" t="s">
        <v>132</v>
      </c>
      <c r="G23" s="222" t="s">
        <v>10</v>
      </c>
      <c r="H23" s="223" t="s">
        <v>14</v>
      </c>
      <c r="I23" s="172">
        <v>1.45</v>
      </c>
      <c r="J23" s="224"/>
      <c r="K23" s="222" t="s">
        <v>148</v>
      </c>
      <c r="L23" s="213">
        <v>32</v>
      </c>
      <c r="M23" s="222"/>
      <c r="N23" s="222"/>
      <c r="O23" s="225"/>
      <c r="P23" s="225"/>
      <c r="Q23" s="225"/>
      <c r="R23" s="225"/>
      <c r="S23" s="225"/>
      <c r="T23" s="225"/>
      <c r="U23" s="222" t="s">
        <v>209</v>
      </c>
      <c r="V23" s="222" t="s">
        <v>209</v>
      </c>
      <c r="W23" s="222" t="s">
        <v>209</v>
      </c>
      <c r="X23" s="225"/>
      <c r="Y23" s="226" t="str">
        <f ca="1">OFFSET(Dropdown_Data!$P$1, MATCH(qPCR_Sample_Data!U23, Dropdown_Data!$O$2:$O$14,0), 0)</f>
        <v>No qualifier</v>
      </c>
      <c r="Z23" s="226" t="str">
        <f ca="1">OFFSET(Dropdown_Data!$P$1, MATCH(qPCR_Sample_Data!V23, Dropdown_Data!$O$2:$O$14,0), 0)</f>
        <v>No qualifier</v>
      </c>
      <c r="AA23" s="226" t="str">
        <f ca="1">OFFSET(Dropdown_Data!$P$1, MATCH(qPCR_Sample_Data!W23, Dropdown_Data!$O$2:$O$14,0), 0)</f>
        <v>No qualifier</v>
      </c>
    </row>
    <row r="24" spans="2:27" s="227" customFormat="1" x14ac:dyDescent="0.3">
      <c r="B24" s="221">
        <f>Lab_Code!$C$1</f>
        <v>999</v>
      </c>
      <c r="C24" s="222">
        <v>1</v>
      </c>
      <c r="D24" s="222">
        <v>3</v>
      </c>
      <c r="E24" s="222" t="s">
        <v>153</v>
      </c>
      <c r="F24" s="222" t="s">
        <v>132</v>
      </c>
      <c r="G24" s="222" t="s">
        <v>10</v>
      </c>
      <c r="H24" s="223" t="s">
        <v>14</v>
      </c>
      <c r="I24" s="172">
        <v>1.45</v>
      </c>
      <c r="J24" s="224"/>
      <c r="K24" s="222" t="s">
        <v>148</v>
      </c>
      <c r="L24" s="212">
        <v>32</v>
      </c>
      <c r="M24" s="222"/>
      <c r="N24" s="222"/>
      <c r="O24" s="225"/>
      <c r="P24" s="225"/>
      <c r="Q24" s="225"/>
      <c r="R24" s="225"/>
      <c r="S24" s="225"/>
      <c r="T24" s="225"/>
      <c r="U24" s="222" t="s">
        <v>209</v>
      </c>
      <c r="V24" s="222" t="s">
        <v>209</v>
      </c>
      <c r="W24" s="222" t="s">
        <v>209</v>
      </c>
      <c r="X24" s="225"/>
      <c r="Y24" s="226" t="str">
        <f ca="1">OFFSET(Dropdown_Data!$P$1, MATCH(qPCR_Sample_Data!U24, Dropdown_Data!$O$2:$O$14,0), 0)</f>
        <v>No qualifier</v>
      </c>
      <c r="Z24" s="226" t="str">
        <f ca="1">OFFSET(Dropdown_Data!$P$1, MATCH(qPCR_Sample_Data!V24, Dropdown_Data!$O$2:$O$14,0), 0)</f>
        <v>No qualifier</v>
      </c>
      <c r="AA24" s="226" t="str">
        <f ca="1">OFFSET(Dropdown_Data!$P$1, MATCH(qPCR_Sample_Data!W24, Dropdown_Data!$O$2:$O$14,0), 0)</f>
        <v>No qualifier</v>
      </c>
    </row>
  </sheetData>
  <customSheetViews>
    <customSheetView guid="{95CD56FE-1162-4AE7-88D2-9EB3DF57F0D2}">
      <selection activeCell="F4" sqref="F4"/>
      <pageMargins left="0.7" right="0.7" top="0.75" bottom="0.75" header="0.3" footer="0.3"/>
      <pageSetup orientation="portrait" r:id="rId1"/>
    </customSheetView>
  </customSheetViews>
  <mergeCells count="9">
    <mergeCell ref="C1:D1"/>
    <mergeCell ref="C2:D2"/>
    <mergeCell ref="C3:D3"/>
    <mergeCell ref="Y4:AA5"/>
    <mergeCell ref="X4:X6"/>
    <mergeCell ref="R4:T4"/>
    <mergeCell ref="U4:W4"/>
    <mergeCell ref="L4:N4"/>
    <mergeCell ref="O4:Q4"/>
  </mergeCells>
  <conditionalFormatting sqref="R8:X16 C17:X24 C8:N16">
    <cfRule type="expression" dxfId="10" priority="1">
      <formula>MOD(ROW(),2)=0</formula>
    </cfRule>
  </conditionalFormatting>
  <dataValidations xWindow="285" yWindow="562" count="6">
    <dataValidation type="custom" allowBlank="1" showInputMessage="1" showErrorMessage="1" errorTitle="Technical_Replicate_1_CycleNo" error="Please enter an integer or &quot;Max&quot;" promptTitle="ATTENTION" prompt="Please enter a number. If maximum cycle number was reached, enter &quot;Max&quot;" sqref="L8:N24">
      <formula1>OR(ISNUMBER(L8), L8 = "Max")</formula1>
    </dataValidation>
    <dataValidation type="list" allowBlank="1" showInputMessage="1" sqref="R8:T24">
      <formula1>$I$1:$I$2</formula1>
    </dataValidation>
    <dataValidation allowBlank="1" showInputMessage="1" showErrorMessage="1" prompt="Approximate Concentration Factor (per Pecson et al., 2020)" sqref="J8:J24"/>
    <dataValidation allowBlank="1" showInputMessage="1" showErrorMessage="1" prompt="Refer to ESV_CF_Calc tab" sqref="I8:I24"/>
    <dataValidation allowBlank="1" showInputMessage="1" showErrorMessage="1" prompt="Condition upon arrival, e.g., frozen? 5°C upon arrival?" sqref="B3"/>
    <dataValidation type="list" allowBlank="1" showInputMessage="1" showErrorMessage="1" sqref="H8:H24">
      <formula1>IF(OR(G8="Influenza A", G8= "Influenza B", G8= "RSV", G8= "RSV A", G8= "RSV B"),influenza_rsv,long_list)</formula1>
    </dataValidation>
  </dataValidations>
  <pageMargins left="0.7" right="0.7" top="1.5" bottom="0.75" header="0.3" footer="0.3"/>
  <pageSetup scale="74" orientation="landscape" r:id="rId2"/>
  <headerFooter>
    <oddHeader>&amp;L&amp;G&amp;CProficiency Testing Program (PTP)
PCR-based approaches to quantify viral targets in wastewater matrices&amp;RDoc ID: Reporting_template
Rev Date: 2024-07-15
Rev: Unduli
&amp;G</oddHeader>
  </headerFooter>
  <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xWindow="285" yWindow="562" count="7">
        <x14:dataValidation type="list" allowBlank="1" showInputMessage="1" showErrorMessage="1">
          <x14:formula1>
            <xm:f>Dropdown_Data!$O$2:$O$8</xm:f>
          </x14:formula1>
          <xm:sqref>U8:W24</xm:sqref>
        </x14:dataValidation>
        <x14:dataValidation type="list" allowBlank="1" showInputMessage="1" showErrorMessage="1">
          <x14:formula1>
            <xm:f>Dropdown_Data!$E$2:$E$4</xm:f>
          </x14:formula1>
          <xm:sqref>F8:F24</xm:sqref>
        </x14:dataValidation>
        <x14:dataValidation type="list" allowBlank="1" showInputMessage="1" showErrorMessage="1">
          <x14:formula1>
            <xm:f>Dropdown_Data!$F$2:$F$25</xm:f>
          </x14:formula1>
          <xm:sqref>G8:G24</xm:sqref>
        </x14:dataValidation>
        <x14:dataValidation type="list" allowBlank="1" showInputMessage="1">
          <x14:formula1>
            <xm:f>Dropdown_Data!$L$2:$L$3</xm:f>
          </x14:formula1>
          <xm:sqref>O8:Q24</xm:sqref>
        </x14:dataValidation>
        <x14:dataValidation type="list" allowBlank="1" showInputMessage="1" showErrorMessage="1">
          <x14:formula1>
            <xm:f>Dropdown_Data!$J$2:$J$7</xm:f>
          </x14:formula1>
          <xm:sqref>K8:K24</xm:sqref>
        </x14:dataValidation>
        <x14:dataValidation type="list" allowBlank="1" showInputMessage="1" showErrorMessage="1">
          <x14:formula1>
            <xm:f>Dropdown_Data!$V$2:$V$11</xm:f>
          </x14:formula1>
          <xm:sqref>C8:C24</xm:sqref>
        </x14:dataValidation>
        <x14:dataValidation type="list" allowBlank="1" showInputMessage="1" showErrorMessage="1">
          <x14:formula1>
            <xm:f>Dropdown_Data!$B$2:$B$8</xm:f>
          </x14:formula1>
          <xm:sqref>E8:E24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Read_Me</vt:lpstr>
      <vt:lpstr>Lab_Code</vt:lpstr>
      <vt:lpstr>Method_Summary</vt:lpstr>
      <vt:lpstr>Std_Curve_Data</vt:lpstr>
      <vt:lpstr>Std_Curve_Summary</vt:lpstr>
      <vt:lpstr>qPCR_QC_Data</vt:lpstr>
      <vt:lpstr>dPCR_QC_Data</vt:lpstr>
      <vt:lpstr>ESV_CF_Calc</vt:lpstr>
      <vt:lpstr>qPCR_Sample_Data</vt:lpstr>
      <vt:lpstr>dPCR_Sample_Data</vt:lpstr>
      <vt:lpstr>Qualifier_Flowchart</vt:lpstr>
      <vt:lpstr>Dropdown_Data</vt:lpstr>
      <vt:lpstr>Version_Notes_Internal</vt:lpstr>
      <vt:lpstr>influenza_list</vt:lpstr>
      <vt:lpstr>dPCR_QC_Data!influenza_rsv</vt:lpstr>
      <vt:lpstr>dPCR_Sample_Data!influenza_rsv</vt:lpstr>
      <vt:lpstr>ESV_CF_Calc!influenza_rsv</vt:lpstr>
      <vt:lpstr>influenza_rsv</vt:lpstr>
      <vt:lpstr>dPCR_QC_Data!long_list</vt:lpstr>
      <vt:lpstr>dPCR_Sample_Data!long_list</vt:lpstr>
      <vt:lpstr>ESV_CF_Calc!long_list</vt:lpstr>
      <vt:lpstr>long_list</vt:lpstr>
      <vt:lpstr>Lab_Code!Print_Area</vt:lpstr>
      <vt:lpstr>Read_Me!Print_Area</vt:lpstr>
      <vt:lpstr>rsv_list</vt:lpstr>
    </vt:vector>
  </TitlesOfParts>
  <Company>Ontario Clean Water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OCWA</dc:creator>
  <cp:lastModifiedBy>Jane Ho</cp:lastModifiedBy>
  <cp:lastPrinted>2024-07-17T14:53:56Z</cp:lastPrinted>
  <dcterms:created xsi:type="dcterms:W3CDTF">2021-02-04T21:25:20Z</dcterms:created>
  <dcterms:modified xsi:type="dcterms:W3CDTF">2024-12-08T03:21:30Z</dcterms:modified>
</cp:coreProperties>
</file>