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jetaylor\Dropbox\WB PA LEWIE Scale-up\Kagin's\Madagascar\Latest LEWIE-Lite Model\"/>
    </mc:Choice>
  </mc:AlternateContent>
  <xr:revisionPtr revIDLastSave="0" documentId="13_ncr:1_{FA405447-227E-4608-A2AF-18699D914F69}" xr6:coauthVersionLast="47" xr6:coauthVersionMax="47" xr10:uidLastSave="{00000000-0000-0000-0000-000000000000}"/>
  <bookViews>
    <workbookView xWindow="-90" yWindow="-90" windowWidth="19380" windowHeight="11460" firstSheet="7" activeTab="10" xr2:uid="{00000000-000D-0000-FFFF-FFFF00000000}"/>
  </bookViews>
  <sheets>
    <sheet name="Instructions" sheetId="14" r:id="rId1"/>
    <sheet name="Tourists" sheetId="1" r:id="rId2"/>
    <sheet name="Ag" sheetId="2" r:id="rId3"/>
    <sheet name="Nonag" sheetId="4" r:id="rId4"/>
    <sheet name="Fishing" sheetId="5" r:id="rId5"/>
    <sheet name="Restaurants" sheetId="6" r:id="rId6"/>
    <sheet name="Lodges" sheetId="7" r:id="rId7"/>
    <sheet name="Tourism" sheetId="3" r:id="rId8"/>
    <sheet name="NatParkPA" sheetId="10" r:id="rId9"/>
    <sheet name="ComRevSh" sheetId="8" r:id="rId10"/>
    <sheet name="Localgov" sheetId="15" r:id="rId11"/>
    <sheet name="Households" sheetId="9" r:id="rId12"/>
    <sheet name="SAM(LEWIE Input)" sheetId="11" r:id="rId13"/>
    <sheet name="Multiplier Matrix (uncorrected)" sheetId="12" r:id="rId14"/>
    <sheet name="Tourist Spend Mult" sheetId="13"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15" l="1"/>
  <c r="C57" i="15" s="1"/>
  <c r="C59" i="15" s="1"/>
  <c r="C45" i="9"/>
  <c r="C46" i="9"/>
  <c r="Q11" i="9"/>
  <c r="D3" i="9" s="1"/>
  <c r="Q10" i="9"/>
  <c r="O11" i="9"/>
  <c r="D2" i="9" s="1"/>
  <c r="O10" i="9"/>
  <c r="P11" i="9"/>
  <c r="C3" i="9" s="1"/>
  <c r="P10" i="9"/>
  <c r="N11" i="9"/>
  <c r="C2" i="9" s="1"/>
  <c r="N10" i="9"/>
  <c r="R7" i="11"/>
  <c r="R22" i="11" s="1"/>
  <c r="R8" i="11"/>
  <c r="R9" i="11"/>
  <c r="R10" i="11"/>
  <c r="R11" i="11"/>
  <c r="R12" i="11"/>
  <c r="R13" i="11"/>
  <c r="R14" i="11"/>
  <c r="R15" i="11"/>
  <c r="R16" i="11"/>
  <c r="R17" i="11"/>
  <c r="R18" i="11"/>
  <c r="R19" i="11"/>
  <c r="R20" i="11"/>
  <c r="R21" i="11"/>
  <c r="R6" i="11"/>
  <c r="L19" i="11"/>
  <c r="K19" i="11"/>
  <c r="C19" i="11"/>
  <c r="N19" i="11"/>
  <c r="N20" i="11"/>
  <c r="C74" i="15"/>
  <c r="C73" i="15"/>
  <c r="C71" i="15"/>
  <c r="C70" i="15"/>
  <c r="C69" i="15"/>
  <c r="C67" i="15"/>
  <c r="C66" i="15"/>
  <c r="C65" i="15"/>
  <c r="C64" i="15"/>
  <c r="C63" i="15"/>
  <c r="C62" i="15"/>
  <c r="C58" i="15"/>
  <c r="B53" i="15"/>
  <c r="C42" i="15"/>
  <c r="C72" i="15"/>
  <c r="C33" i="15"/>
  <c r="C32" i="15"/>
  <c r="C31" i="15"/>
  <c r="C30" i="15"/>
  <c r="C29" i="15"/>
  <c r="C28" i="15"/>
  <c r="C27" i="15"/>
  <c r="C25" i="15"/>
  <c r="C20" i="2"/>
  <c r="K2" i="9"/>
  <c r="D4" i="9" s="1"/>
  <c r="J2" i="9"/>
  <c r="C4" i="9" s="1"/>
  <c r="C63" i="9"/>
  <c r="C20" i="6"/>
  <c r="D14" i="6" s="1"/>
  <c r="C20" i="3"/>
  <c r="D14" i="3" s="1"/>
  <c r="C15" i="1"/>
  <c r="C27" i="1"/>
  <c r="D18" i="3"/>
  <c r="C26" i="1"/>
  <c r="C6" i="1"/>
  <c r="C37" i="1" s="1"/>
  <c r="C29" i="10"/>
  <c r="C19" i="1"/>
  <c r="C20" i="1"/>
  <c r="B55" i="10"/>
  <c r="C6" i="15" l="1"/>
  <c r="C44" i="15"/>
  <c r="D31" i="9"/>
  <c r="D5" i="9"/>
  <c r="C5" i="9"/>
  <c r="C49" i="9"/>
  <c r="C30" i="9"/>
  <c r="C76" i="15"/>
  <c r="C43" i="15"/>
  <c r="D30" i="9"/>
  <c r="C47" i="9"/>
  <c r="C31" i="9"/>
  <c r="C32" i="9"/>
  <c r="D20" i="1"/>
  <c r="C45" i="15" l="1"/>
  <c r="C47" i="15" s="1"/>
  <c r="F43" i="15"/>
  <c r="C21" i="8"/>
  <c r="D17" i="6"/>
  <c r="D16" i="6"/>
  <c r="C76" i="10"/>
  <c r="C67" i="7"/>
  <c r="C55" i="7"/>
  <c r="C56" i="7"/>
  <c r="C57" i="7"/>
  <c r="C58" i="7"/>
  <c r="C59" i="7"/>
  <c r="C60" i="7"/>
  <c r="C61" i="7"/>
  <c r="C62" i="7"/>
  <c r="C63" i="7"/>
  <c r="C64" i="7"/>
  <c r="C54" i="7"/>
  <c r="C68" i="6"/>
  <c r="C56" i="6"/>
  <c r="C57" i="6"/>
  <c r="C58" i="6"/>
  <c r="C59" i="6"/>
  <c r="C60" i="6"/>
  <c r="C61" i="6"/>
  <c r="C62" i="6"/>
  <c r="C63" i="6"/>
  <c r="C64" i="6"/>
  <c r="C65" i="6"/>
  <c r="C55" i="6"/>
  <c r="C69" i="5"/>
  <c r="C57" i="5"/>
  <c r="C58" i="5"/>
  <c r="C59" i="5"/>
  <c r="C60" i="5"/>
  <c r="C61" i="5"/>
  <c r="C62" i="5"/>
  <c r="C63" i="5"/>
  <c r="C64" i="5"/>
  <c r="C65" i="5"/>
  <c r="C66" i="5"/>
  <c r="C56" i="5"/>
  <c r="C67" i="3"/>
  <c r="C67" i="4"/>
  <c r="C55" i="4"/>
  <c r="C56" i="4"/>
  <c r="C57" i="4"/>
  <c r="C58" i="4"/>
  <c r="C59" i="4"/>
  <c r="C60" i="4"/>
  <c r="C61" i="4"/>
  <c r="C62" i="4"/>
  <c r="C63" i="4"/>
  <c r="C64" i="4"/>
  <c r="C54" i="4"/>
  <c r="C55" i="2"/>
  <c r="C56" i="2"/>
  <c r="C57" i="2"/>
  <c r="C58" i="2"/>
  <c r="C59" i="2"/>
  <c r="C60" i="2"/>
  <c r="C61" i="2"/>
  <c r="C62" i="2"/>
  <c r="C63" i="2"/>
  <c r="C64" i="2"/>
  <c r="C54" i="2"/>
  <c r="C55" i="3"/>
  <c r="C56" i="3"/>
  <c r="C57" i="3"/>
  <c r="C58" i="3"/>
  <c r="C59" i="3"/>
  <c r="C60" i="3"/>
  <c r="C61" i="3"/>
  <c r="C62" i="3"/>
  <c r="C63" i="3"/>
  <c r="C64" i="3"/>
  <c r="C54" i="3"/>
  <c r="C75" i="10"/>
  <c r="C73" i="10"/>
  <c r="C72" i="10"/>
  <c r="C71" i="10"/>
  <c r="C69" i="10"/>
  <c r="C68" i="10"/>
  <c r="C67" i="10"/>
  <c r="C66" i="10"/>
  <c r="C65" i="10"/>
  <c r="C64" i="10"/>
  <c r="C42" i="8"/>
  <c r="C44" i="8"/>
  <c r="C78" i="10" l="1"/>
  <c r="C35" i="10"/>
  <c r="C42" i="10"/>
  <c r="C67" i="8"/>
  <c r="C68" i="8"/>
  <c r="C69" i="8"/>
  <c r="C66" i="8"/>
  <c r="C64" i="8"/>
  <c r="C63" i="8"/>
  <c r="C62" i="8"/>
  <c r="C61" i="8"/>
  <c r="C60" i="8"/>
  <c r="C59" i="8"/>
  <c r="D17" i="7"/>
  <c r="D16" i="7"/>
  <c r="C44" i="10" l="1"/>
  <c r="C31" i="10"/>
  <c r="C34" i="10"/>
  <c r="C32" i="10"/>
  <c r="C33" i="10"/>
  <c r="C27" i="10"/>
  <c r="C30" i="10"/>
  <c r="G18" i="8"/>
  <c r="G10" i="8"/>
  <c r="G11" i="8"/>
  <c r="G12" i="8"/>
  <c r="G13" i="8"/>
  <c r="G14" i="8"/>
  <c r="G15" i="8"/>
  <c r="G16" i="8"/>
  <c r="G17" i="8"/>
  <c r="G9" i="8"/>
  <c r="C4" i="8"/>
  <c r="C41" i="8" s="1"/>
  <c r="C59" i="10"/>
  <c r="C60" i="10"/>
  <c r="C39" i="1"/>
  <c r="C27" i="8" l="1"/>
  <c r="C25" i="8"/>
  <c r="C33" i="8"/>
  <c r="C32" i="8"/>
  <c r="C31" i="8"/>
  <c r="C30" i="8"/>
  <c r="C29" i="8"/>
  <c r="C28" i="8"/>
  <c r="C61" i="10"/>
  <c r="C8" i="10"/>
  <c r="D26" i="9"/>
  <c r="C26" i="9"/>
  <c r="C66" i="7"/>
  <c r="C65" i="7"/>
  <c r="C20" i="7"/>
  <c r="D18" i="7"/>
  <c r="C67" i="6"/>
  <c r="C66" i="6"/>
  <c r="D18" i="6"/>
  <c r="C68" i="5"/>
  <c r="C67" i="5"/>
  <c r="C20" i="5"/>
  <c r="D18" i="5"/>
  <c r="D17" i="4"/>
  <c r="C66" i="4" s="1"/>
  <c r="D16" i="4"/>
  <c r="C65" i="4" s="1"/>
  <c r="D17" i="2"/>
  <c r="C66" i="2" s="1"/>
  <c r="D16" i="2"/>
  <c r="C65" i="2" s="1"/>
  <c r="D17" i="3"/>
  <c r="C66" i="3" s="1"/>
  <c r="D16" i="3"/>
  <c r="C65" i="3" s="1"/>
  <c r="C20" i="4"/>
  <c r="D14" i="4" s="1"/>
  <c r="D18" i="4"/>
  <c r="D4" i="3"/>
  <c r="C67" i="2"/>
  <c r="D18" i="2"/>
  <c r="D9" i="5" l="1"/>
  <c r="D14" i="5"/>
  <c r="D4" i="7"/>
  <c r="D14" i="7"/>
  <c r="D9" i="2"/>
  <c r="D14" i="2"/>
  <c r="D15" i="6"/>
  <c r="D9" i="6"/>
  <c r="D6" i="6"/>
  <c r="D4" i="6"/>
  <c r="D13" i="6"/>
  <c r="D5" i="6"/>
  <c r="D7" i="6"/>
  <c r="D11" i="6"/>
  <c r="D8" i="6"/>
  <c r="D10" i="6"/>
  <c r="D12" i="6"/>
  <c r="D15" i="4"/>
  <c r="D9" i="4"/>
  <c r="D8" i="4"/>
  <c r="D6" i="4"/>
  <c r="D10" i="4"/>
  <c r="D11" i="4"/>
  <c r="D7" i="4"/>
  <c r="D12" i="4"/>
  <c r="D12" i="2"/>
  <c r="C21" i="2"/>
  <c r="D8" i="3"/>
  <c r="D9" i="3"/>
  <c r="D10" i="3"/>
  <c r="D5" i="3"/>
  <c r="D11" i="3"/>
  <c r="D12" i="3"/>
  <c r="D13" i="3"/>
  <c r="D15" i="3"/>
  <c r="D6" i="3"/>
  <c r="D7" i="3"/>
  <c r="D12" i="5"/>
  <c r="D13" i="5"/>
  <c r="D5" i="5"/>
  <c r="D15" i="5"/>
  <c r="D6" i="5"/>
  <c r="D4" i="5"/>
  <c r="D7" i="5"/>
  <c r="D8" i="5"/>
  <c r="D10" i="5"/>
  <c r="D11" i="5"/>
  <c r="D7" i="7"/>
  <c r="D10" i="7"/>
  <c r="D8" i="7"/>
  <c r="D11" i="7"/>
  <c r="D13" i="7"/>
  <c r="D12" i="7"/>
  <c r="D5" i="7"/>
  <c r="D15" i="7"/>
  <c r="D9" i="7"/>
  <c r="D6" i="7"/>
  <c r="D6" i="2"/>
  <c r="D11" i="2"/>
  <c r="D10" i="2"/>
  <c r="D4" i="2"/>
  <c r="D15" i="2"/>
  <c r="D13" i="2"/>
  <c r="D8" i="2"/>
  <c r="D7" i="2"/>
  <c r="D5" i="2"/>
  <c r="D4" i="4"/>
  <c r="D13" i="4"/>
  <c r="D5" i="4"/>
  <c r="D20" i="4" l="1"/>
  <c r="G46" i="2"/>
  <c r="D20" i="2"/>
  <c r="D21" i="2" s="1"/>
  <c r="D20" i="3"/>
  <c r="D21" i="3" s="1"/>
  <c r="S28" i="11"/>
  <c r="G2" i="11"/>
  <c r="H2" i="11"/>
  <c r="I2" i="11"/>
  <c r="F2" i="11"/>
  <c r="G7" i="9"/>
  <c r="J64" i="9" l="1"/>
  <c r="J65" i="9"/>
  <c r="J66" i="9"/>
  <c r="J67" i="9"/>
  <c r="J68" i="9"/>
  <c r="C64" i="9"/>
  <c r="C65" i="9"/>
  <c r="C66" i="9"/>
  <c r="B64" i="9"/>
  <c r="I64" i="9" s="1"/>
  <c r="B65" i="9"/>
  <c r="I65" i="9" s="1"/>
  <c r="B66" i="9"/>
  <c r="I66" i="9" s="1"/>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1" i="11"/>
  <c r="O20" i="12" s="1"/>
  <c r="O20"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1" i="11"/>
  <c r="P20" i="12" s="1"/>
  <c r="P11" i="11"/>
  <c r="P11" i="12" s="1"/>
  <c r="P10" i="11"/>
  <c r="P10" i="12" s="1"/>
  <c r="P9" i="11"/>
  <c r="P9" i="12" s="1"/>
  <c r="P8" i="11"/>
  <c r="P8" i="12" s="1"/>
  <c r="P7" i="11"/>
  <c r="P7" i="12" s="1"/>
  <c r="P6" i="11"/>
  <c r="P6" i="12" s="1"/>
  <c r="P5" i="11"/>
  <c r="P5" i="12" s="1"/>
  <c r="G38" i="2"/>
  <c r="B82" i="9"/>
  <c r="I82" i="9"/>
  <c r="C81" i="9"/>
  <c r="B81" i="9"/>
  <c r="J81" i="9"/>
  <c r="I81" i="9"/>
  <c r="C80" i="9"/>
  <c r="B80" i="9"/>
  <c r="J80" i="9"/>
  <c r="I80" i="9"/>
  <c r="C79" i="9"/>
  <c r="B79" i="9"/>
  <c r="J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69" i="9"/>
  <c r="B69" i="9"/>
  <c r="J69" i="9"/>
  <c r="I69" i="9"/>
  <c r="C68" i="9"/>
  <c r="B68" i="9"/>
  <c r="I68" i="9" s="1"/>
  <c r="C67" i="9"/>
  <c r="B67" i="9"/>
  <c r="I67" i="9" s="1"/>
  <c r="B63" i="9"/>
  <c r="I63" i="9" s="1"/>
  <c r="J63" i="9"/>
  <c r="C61" i="9"/>
  <c r="B61" i="9"/>
  <c r="J61" i="9"/>
  <c r="I61" i="9"/>
  <c r="B60" i="9"/>
  <c r="I60" i="9"/>
  <c r="C59" i="9"/>
  <c r="B59" i="9"/>
  <c r="I59" i="9"/>
  <c r="B58" i="9"/>
  <c r="I58" i="9"/>
  <c r="J82" i="9"/>
  <c r="C82" i="9"/>
  <c r="J60" i="9"/>
  <c r="C60" i="9"/>
  <c r="J59" i="9"/>
  <c r="D49" i="9"/>
  <c r="Q20" i="11"/>
  <c r="Q19" i="12" s="1"/>
  <c r="Q11" i="11"/>
  <c r="Q11" i="12" s="1"/>
  <c r="Q10" i="11"/>
  <c r="Q10" i="12" s="1"/>
  <c r="Q9" i="11"/>
  <c r="Q9" i="12" s="1"/>
  <c r="Q8" i="11"/>
  <c r="Q8" i="12" s="1"/>
  <c r="Q7" i="11"/>
  <c r="Q7" i="12" s="1"/>
  <c r="Q6" i="11"/>
  <c r="Q6" i="12" s="1"/>
  <c r="H16" i="7"/>
  <c r="H13" i="6"/>
  <c r="C45" i="1"/>
  <c r="C36" i="1"/>
  <c r="O5" i="11"/>
  <c r="O5" i="12" s="1"/>
  <c r="O15" i="11" l="1"/>
  <c r="O15" i="12" s="1"/>
  <c r="C46" i="7"/>
  <c r="O14" i="11"/>
  <c r="O14" i="12" s="1"/>
  <c r="H7" i="9"/>
  <c r="K20" i="11"/>
  <c r="K19" i="12" s="1"/>
  <c r="C38" i="9"/>
  <c r="K11" i="11" s="1"/>
  <c r="K11" i="12" s="1"/>
  <c r="K5" i="11"/>
  <c r="K5" i="12" s="1"/>
  <c r="G15" i="9"/>
  <c r="G13" i="9"/>
  <c r="K7" i="9"/>
  <c r="G14" i="9"/>
  <c r="T12" i="11" s="1"/>
  <c r="O17" i="11"/>
  <c r="O17" i="12" s="1"/>
  <c r="I7" i="9"/>
  <c r="G12" i="9"/>
  <c r="C41" i="9"/>
  <c r="K14" i="11" s="1"/>
  <c r="K14" i="12" s="1"/>
  <c r="P3" i="11"/>
  <c r="H8" i="9"/>
  <c r="C58" i="9"/>
  <c r="B14" i="12"/>
  <c r="O4" i="11"/>
  <c r="O4" i="12" s="1"/>
  <c r="C44" i="1"/>
  <c r="C46" i="3"/>
  <c r="J7" i="9"/>
  <c r="H12" i="9"/>
  <c r="D41" i="9"/>
  <c r="L14" i="11" s="1"/>
  <c r="L14" i="12" s="1"/>
  <c r="C33" i="9"/>
  <c r="K21" i="11"/>
  <c r="K20" i="12" s="1"/>
  <c r="J58" i="9"/>
  <c r="D46" i="9"/>
  <c r="L20" i="11" s="1"/>
  <c r="L19" i="12" s="1"/>
  <c r="D38" i="9"/>
  <c r="L11" i="11" s="1"/>
  <c r="L11" i="12" s="1"/>
  <c r="D32" i="9"/>
  <c r="L5" i="11" s="1"/>
  <c r="L5" i="12" s="1"/>
  <c r="H15" i="9"/>
  <c r="H13" i="9"/>
  <c r="K8" i="9"/>
  <c r="G8" i="9"/>
  <c r="G9" i="9" s="1"/>
  <c r="J8" i="9"/>
  <c r="I8" i="9"/>
  <c r="H14" i="9"/>
  <c r="T13" i="11" s="1"/>
  <c r="S13" i="12" s="1"/>
  <c r="D33" i="9"/>
  <c r="L6" i="11" s="1"/>
  <c r="L6" i="12" s="1"/>
  <c r="D47" i="9"/>
  <c r="L21" i="11" s="1"/>
  <c r="L20" i="12" s="1"/>
  <c r="O3" i="12"/>
  <c r="C4" i="12"/>
  <c r="B16" i="12"/>
  <c r="C12" i="12"/>
  <c r="U15" i="11" l="1"/>
  <c r="T15" i="12" s="1"/>
  <c r="C43" i="3"/>
  <c r="C42" i="3"/>
  <c r="C43" i="7"/>
  <c r="C42" i="7"/>
  <c r="C32" i="7"/>
  <c r="C31" i="7"/>
  <c r="N7" i="11" s="1"/>
  <c r="N7" i="12" s="1"/>
  <c r="K6" i="11"/>
  <c r="K6" i="12" s="1"/>
  <c r="C48" i="9"/>
  <c r="C50" i="9" s="1"/>
  <c r="C51" i="9" s="1"/>
  <c r="C44" i="3"/>
  <c r="C21" i="11" s="1"/>
  <c r="C20" i="12" s="1"/>
  <c r="C32" i="3"/>
  <c r="C9" i="11" s="1"/>
  <c r="C9" i="12" s="1"/>
  <c r="C34" i="3"/>
  <c r="C31" i="3"/>
  <c r="C8" i="11" s="1"/>
  <c r="C8" i="12" s="1"/>
  <c r="C33" i="3"/>
  <c r="C10" i="11" s="1"/>
  <c r="C10" i="12" s="1"/>
  <c r="C30" i="3"/>
  <c r="C7" i="11" s="1"/>
  <c r="C7" i="12" s="1"/>
  <c r="C44" i="7"/>
  <c r="N21" i="11" s="1"/>
  <c r="N20" i="12" s="1"/>
  <c r="C35" i="7"/>
  <c r="C33" i="7"/>
  <c r="N9" i="11" s="1"/>
  <c r="N9" i="12" s="1"/>
  <c r="C34" i="7"/>
  <c r="N10" i="11" s="1"/>
  <c r="N10" i="12" s="1"/>
  <c r="C28" i="3"/>
  <c r="C5" i="11" s="1"/>
  <c r="C5" i="12" s="1"/>
  <c r="C26" i="3"/>
  <c r="G39" i="2" s="1"/>
  <c r="C29" i="3"/>
  <c r="C6" i="11" s="1"/>
  <c r="C6" i="12" s="1"/>
  <c r="C20" i="11"/>
  <c r="C19" i="12" s="1"/>
  <c r="C27" i="7"/>
  <c r="G36" i="2" s="1"/>
  <c r="C29" i="7"/>
  <c r="N5" i="11" s="1"/>
  <c r="N5" i="12" s="1"/>
  <c r="C30" i="7"/>
  <c r="N6" i="11" s="1"/>
  <c r="N6" i="12" s="1"/>
  <c r="N19" i="12"/>
  <c r="H9" i="9"/>
  <c r="C46" i="6"/>
  <c r="I9" i="9"/>
  <c r="K9" i="9"/>
  <c r="J9" i="9"/>
  <c r="G37" i="2"/>
  <c r="O22" i="11"/>
  <c r="O21" i="12" s="1"/>
  <c r="G16" i="9"/>
  <c r="N8" i="11"/>
  <c r="N8" i="12" s="1"/>
  <c r="H16" i="9"/>
  <c r="B27" i="13"/>
  <c r="C46" i="1"/>
  <c r="C47" i="1" s="1"/>
  <c r="C46" i="10"/>
  <c r="D48" i="9"/>
  <c r="D50" i="9" s="1"/>
  <c r="D51" i="9" s="1"/>
  <c r="L3" i="11"/>
  <c r="U14" i="11"/>
  <c r="U4" i="11"/>
  <c r="P3" i="12"/>
  <c r="K3" i="11"/>
  <c r="S12" i="12"/>
  <c r="C44" i="6" l="1"/>
  <c r="M21" i="11" s="1"/>
  <c r="M20" i="12" s="1"/>
  <c r="C42" i="6"/>
  <c r="M19" i="11" s="1"/>
  <c r="C43" i="6"/>
  <c r="M20" i="11" s="1"/>
  <c r="C45" i="3"/>
  <c r="C35" i="6"/>
  <c r="C33" i="6"/>
  <c r="M9" i="11" s="1"/>
  <c r="M9" i="12" s="1"/>
  <c r="C32" i="6"/>
  <c r="M8" i="11" s="1"/>
  <c r="M8" i="12" s="1"/>
  <c r="C34" i="6"/>
  <c r="M10" i="11" s="1"/>
  <c r="M10" i="12" s="1"/>
  <c r="C31" i="6"/>
  <c r="M7" i="11" s="1"/>
  <c r="M7" i="12" s="1"/>
  <c r="O25" i="12"/>
  <c r="O64" i="12" s="1"/>
  <c r="O24" i="12"/>
  <c r="O63" i="12" s="1"/>
  <c r="T16" i="11"/>
  <c r="T22" i="11" s="1"/>
  <c r="S21" i="12" s="1"/>
  <c r="S34" i="12" s="1"/>
  <c r="C74" i="10"/>
  <c r="C43" i="10"/>
  <c r="P20" i="11" s="1"/>
  <c r="P19" i="12" s="1"/>
  <c r="C29" i="6"/>
  <c r="C45" i="4" s="1"/>
  <c r="C30" i="6"/>
  <c r="C47" i="5" s="1"/>
  <c r="C27" i="6"/>
  <c r="O38" i="12"/>
  <c r="O77" i="12" s="1"/>
  <c r="C11" i="11"/>
  <c r="C11" i="12" s="1"/>
  <c r="N11" i="11"/>
  <c r="N11" i="12" s="1"/>
  <c r="K22" i="11"/>
  <c r="K21" i="12" s="1"/>
  <c r="K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2" i="11"/>
  <c r="L21" i="12" s="1"/>
  <c r="L3" i="12"/>
  <c r="C43" i="4" l="1"/>
  <c r="C42" i="4"/>
  <c r="C41" i="4"/>
  <c r="D19" i="11" s="1"/>
  <c r="C44" i="5"/>
  <c r="C43" i="5"/>
  <c r="E19" i="11" s="1"/>
  <c r="C45" i="5"/>
  <c r="C33" i="5"/>
  <c r="C32" i="5"/>
  <c r="C35" i="5"/>
  <c r="C36" i="5"/>
  <c r="C34" i="5"/>
  <c r="G47" i="2"/>
  <c r="C45" i="2"/>
  <c r="C32" i="4"/>
  <c r="C31" i="4"/>
  <c r="C30" i="4"/>
  <c r="C34" i="4"/>
  <c r="C33" i="4"/>
  <c r="S29" i="12"/>
  <c r="S30" i="12"/>
  <c r="S26" i="12"/>
  <c r="S25" i="12"/>
  <c r="S32" i="12"/>
  <c r="S35" i="12"/>
  <c r="S36" i="12"/>
  <c r="S27" i="12"/>
  <c r="C45" i="10"/>
  <c r="C47" i="10" s="1"/>
  <c r="S31" i="12"/>
  <c r="S24" i="12"/>
  <c r="S38" i="12"/>
  <c r="U16" i="11"/>
  <c r="T16" i="12" s="1"/>
  <c r="S40" i="12"/>
  <c r="S39" i="12"/>
  <c r="S16" i="12"/>
  <c r="S37" i="12" s="1"/>
  <c r="S28" i="12"/>
  <c r="S41" i="12"/>
  <c r="S33" i="12"/>
  <c r="C47" i="3"/>
  <c r="C48" i="3" s="1"/>
  <c r="G37" i="5"/>
  <c r="C28" i="5"/>
  <c r="G36" i="5"/>
  <c r="G35" i="2"/>
  <c r="C45" i="7"/>
  <c r="C47" i="7" s="1"/>
  <c r="C48" i="7" s="1"/>
  <c r="M6" i="11"/>
  <c r="M5" i="11"/>
  <c r="M5" i="12" s="1"/>
  <c r="C49" i="3"/>
  <c r="K24" i="12"/>
  <c r="K63" i="12" s="1"/>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U18" i="11"/>
  <c r="P22" i="11"/>
  <c r="P21" i="12" s="1"/>
  <c r="N3" i="12"/>
  <c r="N22" i="11"/>
  <c r="M11" i="11"/>
  <c r="M11" i="12" s="1"/>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2" i="11"/>
  <c r="C3" i="12"/>
  <c r="C43" i="2" l="1"/>
  <c r="C42" i="2"/>
  <c r="C41" i="2"/>
  <c r="B19" i="11" s="1"/>
  <c r="U19" i="11" s="1"/>
  <c r="C32" i="2"/>
  <c r="C34" i="2"/>
  <c r="C31" i="2"/>
  <c r="C30" i="2"/>
  <c r="C33" i="2"/>
  <c r="C49" i="10"/>
  <c r="F45" i="10"/>
  <c r="S42" i="12"/>
  <c r="V16" i="11"/>
  <c r="S17" i="11"/>
  <c r="R17" i="12" s="1"/>
  <c r="C31" i="5"/>
  <c r="C30" i="5"/>
  <c r="M6" i="12"/>
  <c r="F27" i="11"/>
  <c r="P39" i="12"/>
  <c r="P78" i="12" s="1"/>
  <c r="Q3" i="11"/>
  <c r="B27" i="11" s="1"/>
  <c r="B28" i="11" s="1"/>
  <c r="Q21" i="11"/>
  <c r="Q20" i="12" s="1"/>
  <c r="M3" i="12"/>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V4" i="11"/>
  <c r="N21" i="12"/>
  <c r="N24" i="12" s="1"/>
  <c r="V15" i="11"/>
  <c r="L42" i="12"/>
  <c r="U17" i="11" l="1"/>
  <c r="T17" i="12" s="1"/>
  <c r="G43"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2" i="11" l="1"/>
  <c r="Q21" i="12" s="1"/>
  <c r="V17" i="11"/>
  <c r="C46" i="8"/>
  <c r="C29" i="4"/>
  <c r="C28" i="4"/>
  <c r="C26" i="4"/>
  <c r="C26" i="2"/>
  <c r="C28" i="2"/>
  <c r="C29" i="2"/>
  <c r="N42" i="12"/>
  <c r="C63" i="12"/>
  <c r="C42" i="12"/>
  <c r="V18" i="11" l="1"/>
  <c r="C44"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Q42" i="12" l="1"/>
  <c r="Q63" i="12"/>
  <c r="D9" i="11" l="1"/>
  <c r="D9" i="12" s="1"/>
  <c r="D10" i="11"/>
  <c r="D10" i="12" s="1"/>
  <c r="D8" i="11"/>
  <c r="D8" i="12" s="1"/>
  <c r="D5" i="11"/>
  <c r="D5" i="12" s="1"/>
  <c r="D21" i="11"/>
  <c r="D20" i="12" s="1"/>
  <c r="D7" i="11"/>
  <c r="D7" i="12" s="1"/>
  <c r="D3" i="11"/>
  <c r="D3" i="12" s="1"/>
  <c r="D6" i="11" l="1"/>
  <c r="D6" i="12" s="1"/>
  <c r="D11" i="11" l="1"/>
  <c r="C48" i="4"/>
  <c r="D11" i="12" l="1"/>
  <c r="B9" i="11" l="1"/>
  <c r="B9" i="12" s="1"/>
  <c r="B10" i="11"/>
  <c r="B10" i="12" s="1"/>
  <c r="B5" i="11"/>
  <c r="B8" i="11"/>
  <c r="B21" i="11"/>
  <c r="B7" i="11"/>
  <c r="B20" i="11"/>
  <c r="B19" i="12" s="1"/>
  <c r="E7" i="11" l="1"/>
  <c r="E7" i="12" s="1"/>
  <c r="B8" i="12"/>
  <c r="B20" i="12"/>
  <c r="E3" i="11"/>
  <c r="E10" i="11"/>
  <c r="E10" i="12" s="1"/>
  <c r="B7" i="12"/>
  <c r="E9" i="11"/>
  <c r="C46" i="2"/>
  <c r="C47" i="2" s="1"/>
  <c r="E6" i="11"/>
  <c r="E6" i="12" s="1"/>
  <c r="E5" i="11"/>
  <c r="E5" i="12" s="1"/>
  <c r="B3" i="11"/>
  <c r="B5" i="12"/>
  <c r="E21" i="11"/>
  <c r="E20" i="12" s="1"/>
  <c r="E8" i="11"/>
  <c r="E8" i="12" s="1"/>
  <c r="B6" i="11"/>
  <c r="F12" i="11" l="1"/>
  <c r="F12" i="12" s="1"/>
  <c r="F13" i="11"/>
  <c r="U7" i="11"/>
  <c r="T7" i="12" s="1"/>
  <c r="U8" i="11"/>
  <c r="G12" i="11"/>
  <c r="G12" i="12" s="1"/>
  <c r="E9" i="12"/>
  <c r="H12" i="11"/>
  <c r="I13" i="11"/>
  <c r="I13" i="12" s="1"/>
  <c r="U9" i="11"/>
  <c r="U10" i="11"/>
  <c r="H13" i="11"/>
  <c r="H13" i="12" s="1"/>
  <c r="B3" i="12"/>
  <c r="U3" i="11"/>
  <c r="I12" i="11"/>
  <c r="U5" i="11"/>
  <c r="U6" i="11"/>
  <c r="B6" i="12"/>
  <c r="E11" i="11"/>
  <c r="E11" i="12" s="1"/>
  <c r="C48" i="2"/>
  <c r="B11" i="11"/>
  <c r="B22" i="11" s="1"/>
  <c r="E3" i="12"/>
  <c r="G13" i="11"/>
  <c r="G13" i="12" s="1"/>
  <c r="F22" i="11" l="1"/>
  <c r="F21" i="12" s="1"/>
  <c r="F27" i="12" s="1"/>
  <c r="F66" i="12" s="1"/>
  <c r="F13" i="12"/>
  <c r="B21" i="12"/>
  <c r="B35" i="12" s="1"/>
  <c r="B74" i="12" s="1"/>
  <c r="B25" i="11"/>
  <c r="H12" i="12"/>
  <c r="H22" i="11"/>
  <c r="H21" i="12" s="1"/>
  <c r="H34" i="12" s="1"/>
  <c r="H73" i="12" s="1"/>
  <c r="T6" i="12"/>
  <c r="T5" i="12"/>
  <c r="I12" i="12"/>
  <c r="I22" i="11"/>
  <c r="I21" i="12" s="1"/>
  <c r="I34" i="12" s="1"/>
  <c r="I73" i="12" s="1"/>
  <c r="G22" i="11"/>
  <c r="J13" i="11"/>
  <c r="J13" i="12" s="1"/>
  <c r="J12" i="11"/>
  <c r="U11" i="11"/>
  <c r="B11" i="12"/>
  <c r="T3" i="12"/>
  <c r="V3" i="11"/>
  <c r="F41" i="12" l="1"/>
  <c r="F35" i="12"/>
  <c r="F74" i="12" s="1"/>
  <c r="F36" i="12"/>
  <c r="F75" i="12" s="1"/>
  <c r="F32" i="12"/>
  <c r="F71" i="12" s="1"/>
  <c r="F31" i="12"/>
  <c r="F70" i="12" s="1"/>
  <c r="F39" i="12"/>
  <c r="F78" i="12" s="1"/>
  <c r="F37" i="12"/>
  <c r="F76" i="12" s="1"/>
  <c r="F24" i="12"/>
  <c r="F63" i="12" s="1"/>
  <c r="F26" i="12"/>
  <c r="F65" i="12" s="1"/>
  <c r="F38" i="12"/>
  <c r="F77" i="12" s="1"/>
  <c r="F40" i="12"/>
  <c r="F28" i="12"/>
  <c r="F67" i="12" s="1"/>
  <c r="F33" i="12"/>
  <c r="F72" i="12" s="1"/>
  <c r="F25" i="12"/>
  <c r="F64" i="12" s="1"/>
  <c r="F30" i="12"/>
  <c r="F69" i="12" s="1"/>
  <c r="V7" i="11"/>
  <c r="F29" i="12"/>
  <c r="F68" i="12" s="1"/>
  <c r="F34" i="12"/>
  <c r="F73" i="12" s="1"/>
  <c r="B39" i="12"/>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7" i="11"/>
  <c r="D27" i="11"/>
  <c r="I33" i="12"/>
  <c r="I72" i="12" s="1"/>
  <c r="U13" i="11"/>
  <c r="T13" i="12" s="1"/>
  <c r="G21" i="12"/>
  <c r="V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J22" i="11"/>
  <c r="J21" i="12" s="1"/>
  <c r="J34" i="12" s="1"/>
  <c r="J73" i="12" s="1"/>
  <c r="J12" i="12"/>
  <c r="U12" i="11"/>
  <c r="V10" i="11"/>
  <c r="H33" i="12"/>
  <c r="H72" i="12" s="1"/>
  <c r="V9" i="11"/>
  <c r="F42" i="12" l="1"/>
  <c r="B42" i="12"/>
  <c r="V13" i="11"/>
  <c r="V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V12" i="11"/>
  <c r="T12"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C45" i="6"/>
  <c r="C47" i="6" s="1"/>
  <c r="C48" i="6" s="1"/>
  <c r="M22" i="11" l="1"/>
  <c r="M21" i="12" s="1"/>
  <c r="M26" i="12" s="1"/>
  <c r="M65" i="12" s="1"/>
  <c r="M19" i="12"/>
  <c r="V14" i="11"/>
  <c r="M40" i="12" l="1"/>
  <c r="M24" i="12"/>
  <c r="M63" i="12" s="1"/>
  <c r="M37" i="12"/>
  <c r="M76" i="12" s="1"/>
  <c r="M27" i="12"/>
  <c r="M66" i="12" s="1"/>
  <c r="M25" i="12"/>
  <c r="M64" i="12" s="1"/>
  <c r="M38" i="12"/>
  <c r="M77" i="12" s="1"/>
  <c r="M30" i="12"/>
  <c r="M69" i="12" s="1"/>
  <c r="M31" i="12"/>
  <c r="M70" i="12" s="1"/>
  <c r="M32" i="12"/>
  <c r="M71" i="12" s="1"/>
  <c r="M39" i="12"/>
  <c r="M78" i="12" s="1"/>
  <c r="M28" i="12"/>
  <c r="M67" i="12" s="1"/>
  <c r="M36" i="12"/>
  <c r="M75" i="12" s="1"/>
  <c r="M33" i="12"/>
  <c r="M72" i="12" s="1"/>
  <c r="M35" i="12"/>
  <c r="M74" i="12" s="1"/>
  <c r="M34" i="12"/>
  <c r="M73" i="12" s="1"/>
  <c r="M29" i="12"/>
  <c r="M68" i="12" s="1"/>
  <c r="M41" i="12"/>
  <c r="C46" i="5"/>
  <c r="C48" i="5" s="1"/>
  <c r="C49" i="5" s="1"/>
  <c r="E20" i="11"/>
  <c r="E19" i="12" s="1"/>
  <c r="M42" i="12" l="1"/>
  <c r="E22" i="11"/>
  <c r="C44" i="4"/>
  <c r="C46" i="4" s="1"/>
  <c r="C47" i="4" s="1"/>
  <c r="D20" i="11"/>
  <c r="D19" i="12" s="1"/>
  <c r="E21" i="12" l="1"/>
  <c r="V6" i="11"/>
  <c r="U20" i="11"/>
  <c r="D22" i="11"/>
  <c r="S21" i="11"/>
  <c r="E36" i="12" l="1"/>
  <c r="E75" i="12" s="1"/>
  <c r="E24" i="12"/>
  <c r="E28" i="12"/>
  <c r="E67" i="12" s="1"/>
  <c r="E27" i="12"/>
  <c r="E66" i="12" s="1"/>
  <c r="E31" i="12"/>
  <c r="E70" i="12" s="1"/>
  <c r="E32" i="12"/>
  <c r="E71" i="12" s="1"/>
  <c r="E30" i="12"/>
  <c r="E69" i="12" s="1"/>
  <c r="E37" i="12"/>
  <c r="E76" i="12" s="1"/>
  <c r="E35" i="12"/>
  <c r="E74" i="12" s="1"/>
  <c r="E40" i="12"/>
  <c r="E26" i="12"/>
  <c r="E65" i="12" s="1"/>
  <c r="E39" i="12"/>
  <c r="E78" i="12" s="1"/>
  <c r="E38" i="12"/>
  <c r="E77" i="12" s="1"/>
  <c r="E34" i="12"/>
  <c r="E73" i="12" s="1"/>
  <c r="E29" i="12"/>
  <c r="E68" i="12" s="1"/>
  <c r="E33" i="12"/>
  <c r="E72" i="12" s="1"/>
  <c r="E25" i="12"/>
  <c r="E64" i="12" s="1"/>
  <c r="E41" i="12"/>
  <c r="T19" i="12"/>
  <c r="U21" i="11"/>
  <c r="S22" i="11"/>
  <c r="R21" i="12" s="1"/>
  <c r="R20" i="12"/>
  <c r="V5" i="11"/>
  <c r="D21" i="12"/>
  <c r="E63" i="12" l="1"/>
  <c r="E42" i="12"/>
  <c r="D31" i="12"/>
  <c r="D70" i="12" s="1"/>
  <c r="D39" i="12"/>
  <c r="D78" i="12" s="1"/>
  <c r="D27" i="12"/>
  <c r="D66" i="12" s="1"/>
  <c r="D38" i="12"/>
  <c r="D77" i="12" s="1"/>
  <c r="D41" i="12"/>
  <c r="D36" i="12"/>
  <c r="D75" i="12" s="1"/>
  <c r="D30" i="12"/>
  <c r="D69" i="12" s="1"/>
  <c r="D34" i="12"/>
  <c r="D73" i="12" s="1"/>
  <c r="D28" i="12"/>
  <c r="D67" i="12" s="1"/>
  <c r="D29" i="12"/>
  <c r="D68" i="12" s="1"/>
  <c r="D32" i="12"/>
  <c r="D71" i="12" s="1"/>
  <c r="D35" i="12"/>
  <c r="D74" i="12" s="1"/>
  <c r="D26" i="12"/>
  <c r="D65" i="12" s="1"/>
  <c r="D24" i="12"/>
  <c r="D37" i="12"/>
  <c r="D76" i="12" s="1"/>
  <c r="D33" i="12"/>
  <c r="D72" i="12" s="1"/>
  <c r="D25" i="12"/>
  <c r="D64" i="12" s="1"/>
  <c r="D40" i="12"/>
  <c r="R35" i="12"/>
  <c r="R38" i="12"/>
  <c r="R25" i="12"/>
  <c r="R27" i="12"/>
  <c r="R28" i="12"/>
  <c r="R24" i="12"/>
  <c r="R32" i="12"/>
  <c r="R37" i="12"/>
  <c r="R33" i="12"/>
  <c r="R36" i="12"/>
  <c r="R31" i="12"/>
  <c r="R40" i="12"/>
  <c r="R29" i="12"/>
  <c r="R34" i="12"/>
  <c r="R30" i="12"/>
  <c r="R39" i="12"/>
  <c r="R26" i="12"/>
  <c r="V20" i="11"/>
  <c r="R41" i="12"/>
  <c r="V21" i="11"/>
  <c r="T20" i="12"/>
  <c r="D42" i="12" l="1"/>
  <c r="D63" i="12"/>
  <c r="B81" i="12" s="1" a="1"/>
  <c r="R42" i="12"/>
  <c r="O89" i="12" l="1"/>
  <c r="B17" i="13" s="1"/>
  <c r="N90" i="12"/>
  <c r="C95" i="12"/>
  <c r="G92" i="12"/>
  <c r="F93" i="12"/>
  <c r="M88" i="12"/>
  <c r="N85" i="12"/>
  <c r="I92" i="12"/>
  <c r="Q83" i="12"/>
  <c r="H82" i="12"/>
  <c r="K92" i="12"/>
  <c r="K87" i="12"/>
  <c r="K86" i="12"/>
  <c r="P89" i="12"/>
  <c r="C90" i="12"/>
  <c r="J86" i="12"/>
  <c r="L93" i="12"/>
  <c r="D83" i="12"/>
  <c r="G84" i="12"/>
  <c r="L88" i="12"/>
  <c r="I90" i="12"/>
  <c r="P95" i="12"/>
  <c r="B93" i="12"/>
  <c r="O81" i="12"/>
  <c r="B4" i="13" s="1"/>
  <c r="D91" i="12"/>
  <c r="D88" i="12"/>
  <c r="N94" i="12"/>
  <c r="E92" i="12"/>
  <c r="G93" i="12"/>
  <c r="K81" i="12"/>
  <c r="K83" i="12"/>
  <c r="M89" i="12"/>
  <c r="P83" i="12"/>
  <c r="N91" i="12"/>
  <c r="J96" i="12"/>
  <c r="H92" i="12"/>
  <c r="D85" i="12"/>
  <c r="L89" i="12"/>
  <c r="D96" i="12"/>
  <c r="Q93" i="12"/>
  <c r="C96" i="12"/>
  <c r="B92" i="12"/>
  <c r="H94" i="12"/>
  <c r="I84" i="12"/>
  <c r="P87" i="12"/>
  <c r="Q90" i="12"/>
  <c r="O87" i="12"/>
  <c r="B15" i="13" s="1"/>
  <c r="I85" i="12"/>
  <c r="P84" i="12"/>
  <c r="Q88" i="12"/>
  <c r="F95" i="12"/>
  <c r="M92" i="12"/>
  <c r="J82" i="12"/>
  <c r="H88" i="12"/>
  <c r="J83" i="12"/>
  <c r="M86" i="12"/>
  <c r="L90" i="12"/>
  <c r="K94" i="12"/>
  <c r="L94" i="12"/>
  <c r="D92" i="12"/>
  <c r="Q82" i="12"/>
  <c r="E84" i="12"/>
  <c r="M85" i="12"/>
  <c r="C87" i="12"/>
  <c r="D94" i="12"/>
  <c r="E83" i="12"/>
  <c r="L87" i="12"/>
  <c r="N84" i="12"/>
  <c r="P82" i="12"/>
  <c r="N92" i="12"/>
  <c r="O96" i="12"/>
  <c r="C84" i="12"/>
  <c r="D93" i="12"/>
  <c r="F91" i="12"/>
  <c r="I96" i="12"/>
  <c r="I86" i="12"/>
  <c r="O88" i="12"/>
  <c r="B16" i="13" s="1"/>
  <c r="E95" i="12"/>
  <c r="G85" i="12"/>
  <c r="J88" i="12"/>
  <c r="J95" i="12"/>
  <c r="F87" i="12"/>
  <c r="H91" i="12"/>
  <c r="I93" i="12"/>
  <c r="K91" i="12"/>
  <c r="H81" i="12"/>
  <c r="G87" i="12"/>
  <c r="B86" i="12"/>
  <c r="I89" i="12"/>
  <c r="C88" i="12"/>
  <c r="E81" i="12"/>
  <c r="I95" i="12"/>
  <c r="G94" i="12"/>
  <c r="D89" i="12"/>
  <c r="G88" i="12"/>
  <c r="N89" i="12"/>
  <c r="P91" i="12"/>
  <c r="P92" i="12"/>
  <c r="G89" i="12"/>
  <c r="N83" i="12"/>
  <c r="L83" i="12"/>
  <c r="D82" i="12"/>
  <c r="B82" i="12"/>
  <c r="M95" i="12"/>
  <c r="G86" i="12"/>
  <c r="E88" i="12"/>
  <c r="I83" i="12"/>
  <c r="L95" i="12"/>
  <c r="D87" i="12"/>
  <c r="B88" i="12"/>
  <c r="Q87" i="12"/>
  <c r="O92" i="12"/>
  <c r="B8" i="13" s="1"/>
  <c r="B81" i="12"/>
  <c r="I81" i="12"/>
  <c r="O91" i="12"/>
  <c r="B20" i="13" s="1"/>
  <c r="B26" i="13" s="1"/>
  <c r="J89" i="12"/>
  <c r="F89" i="12"/>
  <c r="K85" i="12"/>
  <c r="F82" i="12"/>
  <c r="O93" i="12"/>
  <c r="B9" i="13" s="1"/>
  <c r="P86" i="12"/>
  <c r="N82" i="12"/>
  <c r="O95" i="12"/>
  <c r="F85" i="12"/>
  <c r="F90" i="12"/>
  <c r="I88" i="12"/>
  <c r="P96" i="12"/>
  <c r="P90" i="12"/>
  <c r="G91" i="12"/>
  <c r="F84" i="12"/>
  <c r="F83" i="12"/>
  <c r="J91" i="12"/>
  <c r="L86" i="12"/>
  <c r="Q92" i="12"/>
  <c r="O85" i="12"/>
  <c r="B13" i="13" s="1"/>
  <c r="J84" i="12"/>
  <c r="I91" i="12"/>
  <c r="I82" i="12"/>
  <c r="H93" i="12"/>
  <c r="Q91" i="12"/>
  <c r="N86" i="12"/>
  <c r="O86" i="12"/>
  <c r="B14" i="13" s="1"/>
  <c r="F88" i="12"/>
  <c r="D84" i="12"/>
  <c r="L92" i="12"/>
  <c r="E91" i="12"/>
  <c r="N95" i="12"/>
  <c r="M82" i="12"/>
  <c r="E87" i="12"/>
  <c r="Q96" i="12"/>
  <c r="D95" i="12"/>
  <c r="M83" i="12"/>
  <c r="N81" i="12"/>
  <c r="G82" i="12"/>
  <c r="G96" i="12"/>
  <c r="D81" i="12"/>
  <c r="N96" i="12"/>
  <c r="P93" i="12"/>
  <c r="O82" i="12"/>
  <c r="B5" i="13" s="1"/>
  <c r="M96" i="12"/>
  <c r="G90" i="12"/>
  <c r="N87" i="12"/>
  <c r="K96" i="12"/>
  <c r="B90" i="12"/>
  <c r="Q86" i="12"/>
  <c r="O83" i="12"/>
  <c r="B6" i="13" s="1"/>
  <c r="F92" i="12"/>
  <c r="F81" i="12"/>
  <c r="D90" i="12"/>
  <c r="K84" i="12"/>
  <c r="B87" i="12"/>
  <c r="C94" i="12"/>
  <c r="C81" i="12"/>
  <c r="M91" i="12"/>
  <c r="G81" i="12"/>
  <c r="E82" i="12"/>
  <c r="E90" i="12"/>
  <c r="N88" i="12"/>
  <c r="M93" i="12"/>
  <c r="K93" i="12"/>
  <c r="H96" i="12"/>
  <c r="H86" i="12"/>
  <c r="D86" i="12"/>
  <c r="L91" i="12"/>
  <c r="E96" i="12"/>
  <c r="J87" i="12"/>
  <c r="J81" i="12"/>
  <c r="L81" i="12"/>
  <c r="K90" i="12"/>
  <c r="L85" i="12"/>
  <c r="I87" i="12"/>
  <c r="H90" i="12"/>
  <c r="H89" i="12"/>
  <c r="E85" i="12"/>
  <c r="Q85" i="12"/>
  <c r="C82" i="12"/>
  <c r="O94" i="12"/>
  <c r="C92" i="12"/>
  <c r="J94" i="12"/>
  <c r="I94" i="12"/>
  <c r="G83" i="12"/>
  <c r="K95" i="12"/>
  <c r="K82" i="12"/>
  <c r="H83" i="12"/>
  <c r="K89" i="12"/>
  <c r="Q89" i="12"/>
  <c r="B83" i="12"/>
  <c r="M90" i="12"/>
  <c r="P88" i="12"/>
  <c r="L82" i="12"/>
  <c r="K88" i="12"/>
  <c r="C89" i="12"/>
  <c r="C93" i="12"/>
  <c r="L96" i="12"/>
  <c r="C83" i="12"/>
  <c r="Q81" i="12"/>
  <c r="C91" i="12"/>
  <c r="Q94" i="12"/>
  <c r="P85" i="12"/>
  <c r="J90" i="12"/>
  <c r="M87" i="12"/>
  <c r="E89" i="12"/>
  <c r="C86" i="12"/>
  <c r="F94" i="12"/>
  <c r="B95" i="12"/>
  <c r="P81" i="12"/>
  <c r="H87" i="12"/>
  <c r="G95" i="12"/>
  <c r="B85" i="12"/>
  <c r="H84" i="12"/>
  <c r="E93" i="12"/>
  <c r="E94" i="12"/>
  <c r="H85" i="12"/>
  <c r="P94" i="12"/>
  <c r="L84" i="12"/>
  <c r="B89" i="12"/>
  <c r="N93" i="12"/>
  <c r="O84" i="12"/>
  <c r="B7" i="13" s="1"/>
  <c r="F86" i="12"/>
  <c r="M94" i="12"/>
  <c r="Q84" i="12"/>
  <c r="J85" i="12"/>
  <c r="M84" i="12"/>
  <c r="Q95" i="12"/>
  <c r="H95" i="12"/>
  <c r="B91" i="12"/>
  <c r="E86" i="12"/>
  <c r="O90" i="12"/>
  <c r="B19" i="13" s="1"/>
  <c r="M81" i="12"/>
  <c r="B96" i="12"/>
  <c r="F96" i="12"/>
  <c r="J93" i="12"/>
  <c r="C85" i="12"/>
  <c r="B84" i="12"/>
  <c r="B94" i="12"/>
  <c r="J92" i="12"/>
  <c r="B12" i="13" l="1"/>
  <c r="B21" i="13"/>
  <c r="B25" i="13"/>
  <c r="B24" i="13" s="1"/>
  <c r="B10" i="13"/>
</calcChain>
</file>

<file path=xl/sharedStrings.xml><?xml version="1.0" encoding="utf-8"?>
<sst xmlns="http://schemas.openxmlformats.org/spreadsheetml/2006/main" count="1368" uniqueCount="589">
  <si>
    <t>label</t>
  </si>
  <si>
    <t>value</t>
  </si>
  <si>
    <t>id</t>
  </si>
  <si>
    <t>min</t>
  </si>
  <si>
    <t>max</t>
  </si>
  <si>
    <t>step</t>
  </si>
  <si>
    <t>comment</t>
  </si>
  <si>
    <t>tourists_popMultiDay</t>
  </si>
  <si>
    <t>ii</t>
  </si>
  <si>
    <t>Average stay (days)</t>
  </si>
  <si>
    <t>tourists_nbDays</t>
  </si>
  <si>
    <t>Average stay (nights)</t>
  </si>
  <si>
    <t>tourists_nbNights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</si>
  <si>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</si>
  <si>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</si>
  <si>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</si>
  <si>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</si>
  <si>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</si>
  <si>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</si>
  <si>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</si>
  <si>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</si>
  <si>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</si>
  <si>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</si>
  <si>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</si>
  <si>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</si>
  <si>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</si>
  <si>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tourists_expRetShops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</si>
  <si>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</si>
  <si>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</si>
  <si>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</si>
  <si>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</si>
  <si>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</si>
  <si>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</si>
  <si>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</si>
  <si>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</si>
  <si>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</si>
  <si>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</si>
  <si>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</si>
  <si>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</si>
  <si>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</si>
  <si>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</si>
  <si>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</si>
  <si>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</si>
  <si>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</si>
  <si>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</si>
  <si>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</si>
  <si>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</si>
  <si>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</si>
  <si>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</si>
  <si>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</si>
  <si>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</si>
  <si>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</si>
  <si>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</si>
  <si>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</si>
  <si>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</si>
  <si>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</si>
  <si>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</si>
  <si>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</si>
  <si>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</si>
  <si>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</si>
  <si>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</si>
  <si>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</si>
  <si>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</si>
  <si>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</si>
  <si>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</si>
  <si>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</si>
  <si>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</si>
  <si>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</si>
  <si>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</si>
  <si>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</si>
  <si>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</si>
  <si>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</si>
  <si>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</si>
  <si>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</si>
  <si>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</si>
  <si>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</si>
  <si>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</si>
  <si>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</si>
  <si>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</si>
  <si>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</si>
  <si>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</si>
  <si>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</si>
  <si>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</si>
  <si>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</si>
  <si>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</si>
  <si>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</si>
  <si>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</si>
  <si>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</si>
  <si>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</si>
  <si>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</si>
  <si>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</si>
  <si>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</si>
  <si>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</si>
  <si>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</si>
  <si>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</si>
  <si>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</si>
  <si>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</si>
  <si>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</si>
  <si>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</si>
  <si>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</si>
  <si>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</si>
  <si>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</si>
  <si>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</si>
  <si>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</si>
  <si>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</si>
  <si>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</si>
  <si>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</si>
  <si>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</si>
  <si>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</si>
  <si>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</si>
  <si>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</si>
  <si>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</si>
  <si>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</si>
  <si>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</si>
  <si>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</si>
  <si>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</si>
  <si>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</si>
  <si>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</si>
  <si>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</si>
  <si>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</si>
  <si>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</si>
  <si>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</si>
  <si>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</si>
  <si>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</si>
  <si>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</si>
  <si>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</si>
  <si>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</si>
  <si>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</si>
  <si>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</si>
  <si>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</si>
  <si>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</si>
  <si>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</si>
  <si>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</si>
  <si>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</si>
  <si>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</si>
  <si>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</si>
  <si>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</si>
  <si>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</si>
  <si>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</si>
  <si>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</si>
  <si>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</si>
  <si>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</si>
  <si>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</si>
  <si>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</si>
  <si>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</si>
  <si>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</si>
  <si>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</si>
  <si>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</si>
  <si>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</si>
  <si>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</si>
  <si>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</si>
  <si>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</si>
  <si>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</si>
  <si>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</si>
  <si>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</si>
  <si>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</si>
  <si>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</si>
  <si>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</si>
  <si>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</si>
  <si>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</si>
  <si>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</si>
  <si>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</si>
  <si>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</si>
  <si>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</si>
  <si>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</si>
  <si>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</si>
  <si>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</si>
  <si>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</si>
  <si>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</si>
  <si>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</si>
  <si>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</si>
  <si>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</si>
  <si>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</si>
  <si>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</si>
  <si>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</si>
  <si>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</si>
  <si>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</si>
  <si>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</si>
  <si>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</si>
  <si>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</si>
  <si>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</si>
  <si>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</si>
  <si>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</si>
  <si>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</si>
  <si>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</si>
  <si>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</si>
  <si>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</si>
  <si>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</si>
  <si>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</si>
  <si>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</si>
  <si>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</si>
  <si>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</si>
  <si>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</si>
  <si>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</si>
  <si>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</si>
  <si>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</si>
  <si>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</si>
  <si>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</si>
  <si>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</si>
  <si>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</si>
  <si>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</si>
  <si>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</si>
  <si>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</si>
  <si>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</si>
  <si>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</si>
  <si>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</si>
  <si>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</si>
  <si>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</si>
  <si>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</si>
  <si>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</si>
  <si>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</si>
  <si>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</si>
  <si>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</si>
  <si>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</si>
  <si>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</si>
  <si>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</si>
  <si>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</si>
  <si>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</si>
  <si>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</si>
  <si>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</si>
  <si>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</si>
  <si>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</si>
  <si>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</si>
  <si>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</si>
  <si>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</si>
  <si>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</si>
  <si>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</si>
  <si>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</si>
  <si>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</si>
  <si>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</si>
  <si>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</si>
  <si>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</si>
  <si>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</si>
  <si>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</si>
  <si>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</si>
  <si>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</si>
  <si>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</si>
  <si>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</si>
  <si>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</si>
  <si>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</si>
  <si>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</si>
  <si>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</si>
  <si>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</si>
  <si>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</si>
  <si>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</si>
  <si>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</si>
  <si>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</si>
  <si>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</si>
  <si>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</si>
  <si>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</si>
  <si>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</si>
  <si>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</si>
  <si>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</si>
  <si>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</si>
  <si>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</si>
  <si>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</si>
  <si>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</si>
  <si>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</si>
  <si>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</si>
  <si>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</si>
  <si>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</si>
  <si>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</si>
  <si>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</si>
  <si>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</si>
  <si>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</si>
  <si>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</si>
  <si>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</si>
  <si>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</si>
  <si>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</si>
  <si>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</si>
  <si>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Total (should equal 100%)</t>
  </si>
  <si>
    <t>Expenses</t>
  </si>
  <si>
    <t>Households buy directly from local farmers and ranchers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</si>
  <si>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</si>
  <si>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</si>
  <si>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</si>
  <si>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</si>
  <si>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</si>
  <si>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</si>
  <si>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</si>
  <si>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</si>
  <si>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</si>
  <si>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</si>
  <si>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</si>
  <si>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</si>
  <si>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</si>
  <si>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</si>
  <si>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</si>
  <si>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</si>
  <si>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</si>
  <si>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</si>
  <si>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</si>
  <si>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</si>
  <si>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</si>
  <si>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</si>
  <si>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</si>
  <si>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</si>
  <si>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</si>
  <si>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</si>
  <si>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</si>
  <si>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</si>
  <si>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</si>
  <si>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</si>
  <si>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</si>
  <si>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</si>
  <si>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</si>
  <si>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</si>
  <si>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</si>
  <si>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</si>
  <si>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</si>
  <si>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</si>
  <si>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</si>
  <si>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</si>
  <si>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</si>
  <si>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</si>
  <si>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</si>
  <si>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</si>
  <si>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</si>
  <si>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</si>
  <si>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</si>
  <si>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</si>
  <si>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</si>
  <si>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</si>
  <si>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</si>
  <si>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</si>
  <si>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</si>
  <si>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</si>
  <si>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</si>
  <si>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</si>
  <si>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</si>
  <si>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</si>
  <si>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</si>
  <si>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</si>
  <si>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</si>
  <si>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</si>
  <si>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</si>
  <si>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</si>
  <si>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</si>
  <si>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</si>
  <si>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</si>
  <si>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</si>
  <si>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</si>
  <si>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</si>
  <si>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</si>
  <si>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</si>
  <si>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</si>
  <si>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</si>
  <si>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</si>
  <si>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</si>
  <si>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</si>
  <si>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</si>
  <si>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</si>
  <si>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</si>
  <si>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</si>
  <si>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</si>
  <si>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</si>
  <si>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</si>
  <si>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</si>
  <si>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</si>
  <si>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</si>
  <si>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</si>
  <si>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</si>
  <si>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</si>
  <si>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</si>
  <si>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</si>
  <si>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</si>
  <si>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</si>
  <si>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</si>
  <si>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</si>
  <si>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</si>
  <si>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</si>
  <si>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</si>
  <si>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</si>
  <si>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</si>
  <si>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</si>
  <si>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</si>
  <si>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</si>
  <si>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</si>
  <si>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</si>
  <si>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</si>
  <si>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</si>
  <si>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</si>
  <si>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</si>
  <si>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</si>
  <si>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</si>
  <si>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</si>
  <si>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</si>
  <si>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</si>
  <si>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</si>
  <si>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</si>
  <si>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</si>
  <si>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</si>
  <si>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</si>
  <si>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</si>
  <si>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</si>
  <si>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</si>
  <si>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</si>
  <si>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</si>
  <si>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</si>
  <si>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</si>
  <si>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</si>
  <si>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</si>
  <si>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</si>
  <si>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</si>
  <si>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</si>
  <si>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</si>
  <si>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</si>
  <si>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</si>
  <si>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</si>
  <si>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</si>
  <si>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</si>
  <si>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</si>
  <si>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</si>
  <si>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</si>
  <si>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</si>
  <si>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</si>
  <si>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</si>
  <si>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</si>
  <si>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</si>
  <si>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</si>
  <si>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</si>
  <si>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</si>
  <si>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</si>
  <si>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</si>
  <si>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</si>
  <si>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</si>
  <si>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</si>
  <si>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</si>
  <si>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</si>
  <si>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</si>
  <si>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</si>
  <si>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</si>
  <si>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</si>
  <si>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</si>
  <si>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</si>
  <si>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</si>
  <si>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</si>
  <si>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</si>
  <si>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</si>
  <si>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</si>
  <si>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</si>
  <si>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</si>
  <si>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</si>
  <si>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</si>
  <si>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</si>
  <si>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</si>
  <si>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</si>
  <si>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</si>
  <si>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</si>
  <si>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</si>
  <si>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</si>
  <si>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</si>
  <si>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</si>
  <si>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</si>
  <si>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</si>
  <si>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</si>
  <si>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</si>
  <si>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</si>
  <si>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</si>
  <si>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</si>
  <si>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</si>
  <si>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</si>
  <si>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</si>
  <si>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</si>
  <si>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</si>
  <si>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</si>
  <si>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</si>
  <si>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</si>
  <si>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</si>
  <si>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</si>
  <si>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</si>
  <si>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</si>
  <si>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</si>
  <si>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</si>
  <si>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</si>
  <si>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</si>
  <si>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</si>
  <si>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</si>
  <si>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</si>
  <si>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</si>
  <si>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</si>
  <si>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</si>
  <si>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</si>
  <si>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</si>
  <si>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</si>
  <si>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</si>
  <si>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</si>
  <si>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</si>
  <si>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</si>
  <si>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</si>
  <si>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</si>
  <si>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</si>
  <si>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</si>
  <si>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</si>
  <si>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</si>
  <si>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</si>
  <si>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</si>
  <si>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</si>
  <si>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</si>
  <si>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</si>
  <si>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</si>
  <si>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</si>
  <si>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</si>
  <si>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</si>
  <si>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</si>
  <si>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</si>
  <si>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</si>
  <si>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</si>
  <si>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</si>
  <si>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</si>
  <si>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</si>
  <si>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</si>
  <si>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</si>
  <si>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</si>
  <si>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</si>
  <si>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</si>
  <si>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</si>
  <si>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</si>
  <si>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</si>
  <si>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</si>
  <si>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</si>
  <si>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</si>
  <si>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</si>
  <si>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</si>
  <si>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</si>
  <si>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</si>
  <si>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</si>
  <si>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</si>
  <si>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</si>
  <si>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</si>
  <si>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</si>
  <si>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</si>
  <si>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</si>
  <si>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</si>
  <si>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</si>
  <si>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</si>
  <si>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Name of park</t>
  </si>
  <si>
    <t>natPark_name</t>
  </si>
  <si>
    <t>(the 999998 is just a placeholder.  We read the label)</t>
  </si>
  <si>
    <t>check that tourists * fee = park budget in the NatParkPA sheet</t>
  </si>
  <si>
    <t>Park Name Here</t>
  </si>
  <si>
    <t>Enter the name of the park here. It will appear at the top of the dashboard</t>
  </si>
  <si>
    <t>Average Park entry (note: this is calculated using Nat Park revenue)</t>
  </si>
  <si>
    <t xml:space="preserve"> This should be equal to number of tourists * avg entry fee/tourist.  Changing this number will update the average entry fee on the Tourists tab.  If your park information does not match the calculation, check your data. </t>
  </si>
  <si>
    <t>This is calculated as a % of entry fees.  If the true calculation is done differently, just figure out what % of entry fees that represents. Expected 2023 budget for community revenue sharing is $10,562 which represents 9.4%</t>
  </si>
  <si>
    <t>9.4% of Park Entry Fees</t>
  </si>
  <si>
    <r>
      <t xml:space="preserve">From Protected Area or Park budget or interview of park manager. Minimum data requirement is in </t>
    </r>
    <r>
      <rPr>
        <b/>
        <sz val="11"/>
        <color theme="1"/>
        <rFont val="Calibri"/>
        <family val="2"/>
      </rPr>
      <t>bold</t>
    </r>
    <r>
      <rPr>
        <sz val="11"/>
        <color theme="1"/>
        <rFont val="Calibri"/>
        <family val="2"/>
      </rPr>
      <t xml:space="preserve">.  </t>
    </r>
  </si>
  <si>
    <t>Park budget (not necessarily equal to park entrance fees; usually determined by government. Based on expected 2023 budget and entry fees</t>
  </si>
  <si>
    <t>Did not ask this question, we assume 100%</t>
  </si>
  <si>
    <t>Other</t>
  </si>
  <si>
    <t>Retail shops, local markets, Local transportation (taxi, bajaj, etc.)</t>
  </si>
  <si>
    <t>Average nightly price per room (total, including taxes, double occupancy, including resort, other fees, and purchases from hotel shops)</t>
  </si>
  <si>
    <t>This is a mistake, the labels in the Expenditure column are incorrect</t>
  </si>
  <si>
    <t>Tourism Products</t>
  </si>
  <si>
    <t>Households buy from tourism businesses</t>
  </si>
  <si>
    <t xml:space="preserve">Local tax </t>
  </si>
  <si>
    <t>Local tax rate (%)</t>
  </si>
  <si>
    <t>Local nonfarm tax rate (%)</t>
  </si>
  <si>
    <t>local tax (%)</t>
  </si>
  <si>
    <t>Local lodging tax rate (%)</t>
  </si>
  <si>
    <t>Other lodging tax rate (%)</t>
  </si>
  <si>
    <r>
      <t xml:space="preserve">From the local government or commune. Minimum data requirement is in </t>
    </r>
    <r>
      <rPr>
        <b/>
        <sz val="11"/>
        <color theme="1"/>
        <rFont val="Calibri"/>
        <family val="2"/>
      </rPr>
      <t>bold</t>
    </r>
    <r>
      <rPr>
        <sz val="11"/>
        <color theme="1"/>
        <rFont val="Calibri"/>
        <family val="2"/>
      </rPr>
      <t xml:space="preserve">.  </t>
    </r>
  </si>
  <si>
    <t>Government Budget based on expected 2023 budget</t>
  </si>
  <si>
    <t>Total local taxes collected</t>
  </si>
  <si>
    <t>Salaries and wages for male skilled workers (guides, wardens, ticket sales, admin)</t>
  </si>
  <si>
    <t>Salaries and wages for male unskilled workers (e.g., maintenance workers)</t>
  </si>
  <si>
    <t>Salaries and wages for female unskilled workers (e.g., maintenance workers)</t>
  </si>
  <si>
    <t>Salaries and wages for female skilled workers (guides, wardens, ticket sales, admin)</t>
  </si>
  <si>
    <t>LocalG</t>
  </si>
  <si>
    <t>Lodging taxes paid to LOCAL government</t>
  </si>
  <si>
    <t>Lodging taxes paid to OUTSIDE (i.e., national) government</t>
  </si>
  <si>
    <t>Fishing tax rate, local (%; probably zero)</t>
  </si>
  <si>
    <t>Local G</t>
  </si>
  <si>
    <t>Household local income tax payments</t>
  </si>
  <si>
    <t>Household federal income tax payments</t>
  </si>
  <si>
    <t>Table 1. Population and households’ size by site in 2018</t>
  </si>
  <si>
    <t>SITE</t>
  </si>
  <si>
    <t> POPULATION</t>
  </si>
  <si>
    <t> HOUSEHOLDS</t>
  </si>
  <si>
    <t>NOSY BE</t>
  </si>
  <si>
    <t>RANOMAFANA</t>
  </si>
  <si>
    <t>Source: Madagascar Census 2018 (RGPH-3)</t>
  </si>
  <si>
    <t>Poverty Rate</t>
  </si>
  <si>
    <t> POPULATION POOR</t>
  </si>
  <si>
    <t> POPULATION NONPOOR</t>
  </si>
  <si>
    <t> HOUSEHOLDS POOR</t>
  </si>
  <si>
    <t> HOUSEHOLDS NONPOOR</t>
  </si>
  <si>
    <t>Difference (Could be local government savings or something else; hopefully the RAS will take care of that)</t>
  </si>
  <si>
    <t>Total annual local government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</si>
</sst>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 numFmtId="175" formatCode="_(* #,##0.0_);_(* \(#,##0.0\);_(* &quot;-&quot;?_);_(@_)"/>
  </numFmts>
  <fonts count="37" x14ac:knownFonts="1">
    <font>
      <sz val="11"/>
      <color theme="1"/>
      <name val="Calibri"/>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
      <sz val="10"/>
      <color rgb="FFC808A8"/>
      <name val="Arial"/>
      <family val="2"/>
    </font>
  </fonts>
  <fills count="16">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0" tint="-0.34998626667073579"/>
        <bgColor rgb="FFFFF2CC"/>
      </patternFill>
    </fill>
    <fill>
      <patternFill patternType="solid">
        <fgColor rgb="FFFF0000"/>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99">
    <xf numFmtId="0" fontId="0" fillId="0" borderId="0" xfId="0"/>
    <xf numFmtId="0" fontId="4" fillId="0" borderId="0" xfId="0" applyFont="1"/>
    <xf numFmtId="0" fontId="7" fillId="2" borderId="2" xfId="0" applyFont="1" applyFill="1" applyBorder="1"/>
    <xf numFmtId="0" fontId="7" fillId="2" borderId="3" xfId="0" applyFont="1" applyFill="1" applyBorder="1"/>
    <xf numFmtId="0" fontId="7" fillId="0" borderId="4" xfId="0" applyFont="1" applyBorder="1"/>
    <xf numFmtId="0" fontId="4" fillId="0" borderId="5" xfId="0" applyFont="1" applyBorder="1"/>
    <xf numFmtId="0" fontId="4" fillId="0" borderId="11" xfId="0" applyFont="1" applyBorder="1"/>
    <xf numFmtId="0" fontId="5" fillId="0" borderId="0" xfId="0" applyFont="1"/>
    <xf numFmtId="0" fontId="4" fillId="0" borderId="0" xfId="0" applyFont="1" applyAlignment="1">
      <alignment wrapText="1"/>
    </xf>
    <xf numFmtId="0" fontId="4" fillId="0" borderId="11" xfId="0" applyFont="1" applyBorder="1" applyAlignment="1">
      <alignment wrapText="1"/>
    </xf>
    <xf numFmtId="0" fontId="7" fillId="0" borderId="0" xfId="0" applyFont="1"/>
    <xf numFmtId="0" fontId="4" fillId="0" borderId="0" xfId="0" applyFont="1" applyAlignment="1">
      <alignment vertical="center" wrapText="1"/>
    </xf>
    <xf numFmtId="2" fontId="4" fillId="0" borderId="0" xfId="0" applyNumberFormat="1" applyFont="1" applyAlignment="1">
      <alignment horizontal="center" vertical="center"/>
    </xf>
    <xf numFmtId="1" fontId="8" fillId="0" borderId="15" xfId="0" applyNumberFormat="1" applyFont="1" applyBorder="1" applyAlignment="1">
      <alignment horizontal="center" vertical="center"/>
    </xf>
    <xf numFmtId="0" fontId="9" fillId="0" borderId="5" xfId="0" applyFont="1" applyBorder="1"/>
    <xf numFmtId="0" fontId="5" fillId="0" borderId="5" xfId="0" applyFont="1" applyBorder="1" applyAlignment="1">
      <alignment vertical="center" wrapText="1"/>
    </xf>
    <xf numFmtId="0" fontId="4" fillId="0" borderId="22" xfId="0" applyFont="1" applyBorder="1"/>
    <xf numFmtId="0" fontId="4" fillId="0" borderId="23" xfId="0" applyFont="1" applyBorder="1"/>
    <xf numFmtId="0" fontId="4" fillId="0" borderId="11" xfId="0" applyFont="1" applyBorder="1" applyAlignment="1">
      <alignment vertical="center" wrapText="1"/>
    </xf>
    <xf numFmtId="0" fontId="9" fillId="0" borderId="0" xfId="0" applyFont="1"/>
    <xf numFmtId="1" fontId="8" fillId="0" borderId="24" xfId="0" applyNumberFormat="1" applyFont="1" applyBorder="1" applyAlignment="1">
      <alignment horizontal="center" vertical="center"/>
    </xf>
    <xf numFmtId="43" fontId="4" fillId="0" borderId="25" xfId="0" applyNumberFormat="1" applyFont="1" applyBorder="1"/>
    <xf numFmtId="9" fontId="4" fillId="0" borderId="0" xfId="0" applyNumberFormat="1" applyFont="1"/>
    <xf numFmtId="0" fontId="11" fillId="0" borderId="0" xfId="0" applyFont="1"/>
    <xf numFmtId="0" fontId="5" fillId="3" borderId="1" xfId="0" applyFont="1" applyFill="1" applyBorder="1"/>
    <xf numFmtId="3" fontId="6" fillId="3" borderId="2" xfId="0" applyNumberFormat="1" applyFont="1" applyFill="1" applyBorder="1"/>
    <xf numFmtId="0" fontId="7" fillId="3" borderId="2" xfId="0" applyFont="1" applyFill="1" applyBorder="1"/>
    <xf numFmtId="0" fontId="7" fillId="3" borderId="3" xfId="0" applyFont="1" applyFill="1" applyBorder="1"/>
    <xf numFmtId="43" fontId="4" fillId="0" borderId="0" xfId="0" applyNumberFormat="1" applyFont="1"/>
    <xf numFmtId="0" fontId="4" fillId="0" borderId="4" xfId="0" applyFont="1" applyBorder="1"/>
    <xf numFmtId="0" fontId="4" fillId="0" borderId="21" xfId="0" applyFont="1" applyBorder="1"/>
    <xf numFmtId="0" fontId="4" fillId="0" borderId="4" xfId="0" applyFont="1" applyBorder="1" applyAlignment="1">
      <alignment vertical="center" wrapText="1"/>
    </xf>
    <xf numFmtId="9" fontId="4" fillId="0" borderId="0" xfId="0" applyNumberFormat="1" applyFont="1" applyAlignment="1">
      <alignment vertical="center" wrapText="1"/>
    </xf>
    <xf numFmtId="0" fontId="5" fillId="2" borderId="6" xfId="0" applyFont="1" applyFill="1" applyBorder="1"/>
    <xf numFmtId="3" fontId="6" fillId="2" borderId="6" xfId="0" applyNumberFormat="1" applyFont="1" applyFill="1" applyBorder="1"/>
    <xf numFmtId="0" fontId="7" fillId="2" borderId="6" xfId="0" applyFont="1" applyFill="1" applyBorder="1"/>
    <xf numFmtId="0" fontId="7" fillId="0" borderId="0" xfId="0" applyFont="1" applyAlignment="1">
      <alignment vertical="center" wrapText="1"/>
    </xf>
    <xf numFmtId="0" fontId="4" fillId="0" borderId="0" xfId="0" applyFont="1" applyAlignment="1">
      <alignment vertical="center"/>
    </xf>
    <xf numFmtId="1" fontId="8" fillId="0" borderId="17" xfId="0" applyNumberFormat="1" applyFont="1" applyBorder="1" applyAlignment="1">
      <alignment horizontal="center"/>
    </xf>
    <xf numFmtId="1" fontId="8" fillId="0" borderId="28" xfId="0" applyNumberFormat="1" applyFont="1" applyBorder="1" applyAlignment="1">
      <alignment horizontal="center" vertical="center"/>
    </xf>
    <xf numFmtId="10" fontId="7" fillId="0" borderId="0" xfId="0" applyNumberFormat="1" applyFont="1" applyAlignment="1">
      <alignment vertical="center" wrapText="1"/>
    </xf>
    <xf numFmtId="3" fontId="6" fillId="0" borderId="5" xfId="0" applyNumberFormat="1" applyFont="1" applyBorder="1" applyAlignment="1">
      <alignment vertical="center"/>
    </xf>
    <xf numFmtId="0" fontId="14" fillId="0" borderId="0" xfId="0" applyFont="1"/>
    <xf numFmtId="44" fontId="4" fillId="0" borderId="11" xfId="0" applyNumberFormat="1" applyFont="1" applyBorder="1"/>
    <xf numFmtId="0" fontId="6" fillId="0" borderId="5" xfId="0" applyFont="1" applyBorder="1" applyAlignment="1">
      <alignment vertical="center"/>
    </xf>
    <xf numFmtId="44" fontId="11" fillId="0" borderId="0" xfId="0" applyNumberFormat="1" applyFont="1"/>
    <xf numFmtId="0" fontId="12" fillId="0" borderId="4" xfId="0" applyFont="1" applyBorder="1"/>
    <xf numFmtId="0" fontId="12" fillId="0" borderId="21" xfId="0" applyFont="1" applyBorder="1"/>
    <xf numFmtId="44" fontId="12" fillId="0" borderId="0" xfId="0" applyNumberFormat="1" applyFont="1"/>
    <xf numFmtId="0" fontId="12" fillId="0" borderId="0" xfId="0" applyFont="1"/>
    <xf numFmtId="44" fontId="4" fillId="0" borderId="0" xfId="0" applyNumberFormat="1" applyFont="1" applyAlignment="1">
      <alignment vertical="center" wrapText="1"/>
    </xf>
    <xf numFmtId="9" fontId="4" fillId="0" borderId="0" xfId="0" applyNumberFormat="1" applyFont="1" applyAlignment="1">
      <alignment vertical="center"/>
    </xf>
    <xf numFmtId="2" fontId="4" fillId="0" borderId="0" xfId="0" applyNumberFormat="1" applyFont="1"/>
    <xf numFmtId="3" fontId="14" fillId="0" borderId="0" xfId="0" applyNumberFormat="1" applyFont="1"/>
    <xf numFmtId="0" fontId="5" fillId="0" borderId="5" xfId="0" applyFont="1" applyBorder="1"/>
    <xf numFmtId="167" fontId="18" fillId="0" borderId="22" xfId="0" applyNumberFormat="1" applyFont="1" applyBorder="1" applyAlignment="1">
      <alignment horizontal="right" vertical="center"/>
    </xf>
    <xf numFmtId="167" fontId="18" fillId="0" borderId="30" xfId="0" applyNumberFormat="1" applyFont="1" applyBorder="1" applyAlignment="1">
      <alignment horizontal="right" vertical="center"/>
    </xf>
    <xf numFmtId="10" fontId="4" fillId="0" borderId="0" xfId="0" applyNumberFormat="1" applyFont="1"/>
    <xf numFmtId="0" fontId="5" fillId="0" borderId="0" xfId="0" applyFont="1" applyAlignment="1">
      <alignment horizontal="right" vertical="center" wrapText="1"/>
    </xf>
    <xf numFmtId="1" fontId="4" fillId="0" borderId="0" xfId="0" applyNumberFormat="1" applyFont="1"/>
    <xf numFmtId="0" fontId="4" fillId="0" borderId="0" xfId="0" applyFont="1" applyAlignment="1">
      <alignment horizontal="center"/>
    </xf>
    <xf numFmtId="0" fontId="19" fillId="0" borderId="0" xfId="0" applyFont="1"/>
    <xf numFmtId="1" fontId="8" fillId="0" borderId="0" xfId="0" applyNumberFormat="1" applyFont="1" applyAlignment="1">
      <alignment horizontal="right" vertical="center"/>
    </xf>
    <xf numFmtId="1" fontId="20" fillId="0" borderId="0" xfId="0" applyNumberFormat="1" applyFont="1"/>
    <xf numFmtId="1" fontId="8" fillId="5" borderId="5" xfId="0" applyNumberFormat="1" applyFont="1" applyFill="1" applyBorder="1" applyAlignment="1">
      <alignment horizontal="center" vertical="center"/>
    </xf>
    <xf numFmtId="1" fontId="8" fillId="5" borderId="8" xfId="0" applyNumberFormat="1" applyFont="1" applyFill="1" applyBorder="1" applyAlignment="1">
      <alignment horizontal="center" vertical="center"/>
    </xf>
    <xf numFmtId="1" fontId="8" fillId="5" borderId="8" xfId="0" applyNumberFormat="1" applyFont="1" applyFill="1" applyBorder="1" applyAlignment="1">
      <alignment horizontal="center"/>
    </xf>
    <xf numFmtId="1" fontId="8" fillId="5" borderId="34" xfId="0" applyNumberFormat="1" applyFont="1" applyFill="1" applyBorder="1" applyAlignment="1">
      <alignment horizontal="center" vertical="center"/>
    </xf>
    <xf numFmtId="1" fontId="4" fillId="0" borderId="0" xfId="0" applyNumberFormat="1" applyFont="1" applyAlignment="1">
      <alignment horizontal="center"/>
    </xf>
    <xf numFmtId="1" fontId="8" fillId="5" borderId="35" xfId="0" applyNumberFormat="1" applyFont="1" applyFill="1" applyBorder="1" applyAlignment="1">
      <alignment horizontal="center" vertical="center"/>
    </xf>
    <xf numFmtId="165" fontId="8" fillId="5" borderId="5" xfId="0" applyNumberFormat="1" applyFont="1" applyFill="1" applyBorder="1" applyAlignment="1">
      <alignment horizontal="right" vertical="center"/>
    </xf>
    <xf numFmtId="165" fontId="8" fillId="6" borderId="5" xfId="0" applyNumberFormat="1" applyFont="1" applyFill="1" applyBorder="1" applyAlignment="1">
      <alignment horizontal="right" vertical="center"/>
    </xf>
    <xf numFmtId="165" fontId="8" fillId="5" borderId="5" xfId="0" applyNumberFormat="1" applyFont="1" applyFill="1" applyBorder="1" applyAlignment="1">
      <alignment horizontal="right"/>
    </xf>
    <xf numFmtId="43" fontId="8" fillId="5" borderId="5" xfId="0" applyNumberFormat="1" applyFont="1" applyFill="1" applyBorder="1" applyAlignment="1">
      <alignment horizontal="right"/>
    </xf>
    <xf numFmtId="165" fontId="8" fillId="4" borderId="5" xfId="0" applyNumberFormat="1" applyFont="1" applyFill="1" applyBorder="1" applyAlignment="1">
      <alignment horizontal="right" vertical="center"/>
    </xf>
    <xf numFmtId="168" fontId="8" fillId="5" borderId="5" xfId="0" applyNumberFormat="1" applyFont="1" applyFill="1" applyBorder="1" applyAlignment="1">
      <alignment horizontal="right"/>
    </xf>
    <xf numFmtId="165" fontId="4" fillId="5" borderId="5" xfId="0" applyNumberFormat="1" applyFont="1" applyFill="1" applyBorder="1" applyAlignment="1">
      <alignment horizontal="right"/>
    </xf>
    <xf numFmtId="1" fontId="8" fillId="5" borderId="36" xfId="0" applyNumberFormat="1" applyFont="1" applyFill="1" applyBorder="1" applyAlignment="1">
      <alignment horizontal="center" vertical="center"/>
    </xf>
    <xf numFmtId="1" fontId="8" fillId="5" borderId="35" xfId="0" applyNumberFormat="1" applyFont="1" applyFill="1" applyBorder="1" applyAlignment="1">
      <alignment horizontal="center"/>
    </xf>
    <xf numFmtId="1" fontId="8" fillId="5" borderId="37" xfId="0" applyNumberFormat="1" applyFont="1" applyFill="1" applyBorder="1" applyAlignment="1">
      <alignment horizontal="center" vertical="center"/>
    </xf>
    <xf numFmtId="1" fontId="4" fillId="0" borderId="0" xfId="0" applyNumberFormat="1" applyFont="1" applyAlignment="1">
      <alignment horizontal="right"/>
    </xf>
    <xf numFmtId="167" fontId="4" fillId="0" borderId="0" xfId="0" applyNumberFormat="1" applyFont="1" applyAlignment="1">
      <alignment horizontal="right"/>
    </xf>
    <xf numFmtId="167" fontId="4" fillId="0" borderId="0" xfId="0" applyNumberFormat="1" applyFont="1"/>
    <xf numFmtId="0" fontId="4" fillId="0" borderId="12" xfId="0" applyFont="1" applyBorder="1" applyAlignment="1">
      <alignment horizontal="center"/>
    </xf>
    <xf numFmtId="0" fontId="4" fillId="0" borderId="23" xfId="0" applyFont="1" applyBorder="1" applyAlignment="1">
      <alignment horizontal="center" wrapText="1"/>
    </xf>
    <xf numFmtId="0" fontId="4" fillId="0" borderId="30" xfId="0" applyFont="1" applyBorder="1"/>
    <xf numFmtId="1" fontId="4" fillId="0" borderId="30" xfId="0" applyNumberFormat="1" applyFont="1" applyBorder="1" applyAlignment="1">
      <alignment horizontal="right"/>
    </xf>
    <xf numFmtId="2" fontId="4" fillId="0" borderId="30" xfId="0" applyNumberFormat="1" applyFont="1" applyBorder="1" applyAlignment="1">
      <alignment horizontal="right"/>
    </xf>
    <xf numFmtId="1" fontId="4" fillId="0" borderId="12" xfId="0" applyNumberFormat="1" applyFont="1" applyBorder="1" applyAlignment="1">
      <alignment horizontal="right"/>
    </xf>
    <xf numFmtId="2" fontId="4" fillId="0" borderId="23" xfId="0" applyNumberFormat="1" applyFont="1" applyBorder="1" applyAlignment="1">
      <alignment horizontal="center"/>
    </xf>
    <xf numFmtId="1" fontId="4" fillId="0" borderId="30" xfId="0" applyNumberFormat="1" applyFont="1" applyBorder="1"/>
    <xf numFmtId="2" fontId="4" fillId="0" borderId="22" xfId="0" applyNumberFormat="1" applyFont="1" applyBorder="1"/>
    <xf numFmtId="2" fontId="4" fillId="0" borderId="22" xfId="0" applyNumberFormat="1" applyFont="1" applyBorder="1" applyAlignment="1">
      <alignment horizontal="center"/>
    </xf>
    <xf numFmtId="1" fontId="4" fillId="0" borderId="12" xfId="0" applyNumberFormat="1" applyFont="1" applyBorder="1"/>
    <xf numFmtId="2" fontId="4" fillId="4" borderId="23" xfId="0" applyNumberFormat="1" applyFont="1" applyFill="1" applyBorder="1" applyAlignment="1">
      <alignment horizontal="center"/>
    </xf>
    <xf numFmtId="2" fontId="4" fillId="0" borderId="11" xfId="0" applyNumberFormat="1" applyFont="1" applyBorder="1"/>
    <xf numFmtId="1" fontId="4" fillId="0" borderId="31" xfId="0" applyNumberFormat="1" applyFont="1" applyBorder="1"/>
    <xf numFmtId="1" fontId="4" fillId="0" borderId="31" xfId="0" applyNumberFormat="1" applyFont="1" applyBorder="1" applyAlignment="1">
      <alignment horizontal="right"/>
    </xf>
    <xf numFmtId="1" fontId="4" fillId="0" borderId="38" xfId="0" applyNumberFormat="1" applyFont="1" applyBorder="1" applyAlignment="1">
      <alignment horizontal="right"/>
    </xf>
    <xf numFmtId="2" fontId="4" fillId="0" borderId="0" xfId="0" applyNumberFormat="1" applyFont="1" applyAlignment="1">
      <alignment horizontal="center"/>
    </xf>
    <xf numFmtId="2" fontId="0" fillId="0" borderId="0" xfId="0" applyNumberFormat="1"/>
    <xf numFmtId="0" fontId="7" fillId="0" borderId="6" xfId="0" applyFont="1" applyBorder="1" applyAlignment="1">
      <alignment horizontal="right" vertical="center" wrapText="1"/>
    </xf>
    <xf numFmtId="0" fontId="4" fillId="0" borderId="6" xfId="0" applyFont="1" applyBorder="1"/>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4" fillId="0" borderId="0" xfId="0" applyNumberFormat="1" applyFont="1"/>
    <xf numFmtId="171" fontId="4" fillId="0" borderId="0" xfId="0" applyNumberFormat="1" applyFont="1"/>
    <xf numFmtId="43" fontId="0" fillId="0" borderId="0" xfId="0" applyNumberFormat="1"/>
    <xf numFmtId="43" fontId="14" fillId="0" borderId="0" xfId="1" applyFont="1"/>
    <xf numFmtId="43" fontId="0" fillId="0" borderId="0" xfId="1" applyFont="1"/>
    <xf numFmtId="9" fontId="7" fillId="8" borderId="0" xfId="2" applyFont="1" applyFill="1" applyAlignment="1">
      <alignment vertical="center"/>
    </xf>
    <xf numFmtId="9" fontId="4" fillId="0" borderId="0" xfId="2" applyFont="1" applyAlignment="1">
      <alignment horizontal="center" vertical="center"/>
    </xf>
    <xf numFmtId="9" fontId="7" fillId="8" borderId="5" xfId="0" applyNumberFormat="1" applyFont="1" applyFill="1" applyBorder="1" applyAlignment="1">
      <alignment vertical="center"/>
    </xf>
    <xf numFmtId="166" fontId="0" fillId="0" borderId="0" xfId="0" applyNumberFormat="1"/>
    <xf numFmtId="0" fontId="0" fillId="0" borderId="6" xfId="0" applyBorder="1"/>
    <xf numFmtId="0" fontId="9" fillId="0" borderId="6" xfId="0" applyFont="1" applyBorder="1"/>
    <xf numFmtId="0" fontId="5" fillId="7" borderId="47" xfId="0" applyFont="1" applyFill="1" applyBorder="1" applyAlignment="1">
      <alignment horizontal="right" vertical="center" wrapText="1"/>
    </xf>
    <xf numFmtId="0" fontId="7" fillId="7" borderId="47" xfId="0" applyFont="1" applyFill="1" applyBorder="1" applyAlignment="1">
      <alignment horizontal="right" vertical="center" wrapText="1"/>
    </xf>
    <xf numFmtId="166" fontId="5" fillId="8" borderId="47" xfId="0" applyNumberFormat="1" applyFont="1" applyFill="1" applyBorder="1" applyAlignment="1">
      <alignment vertical="center" wrapText="1"/>
    </xf>
    <xf numFmtId="166" fontId="7" fillId="8" borderId="47" xfId="0" applyNumberFormat="1" applyFont="1" applyFill="1" applyBorder="1" applyAlignment="1">
      <alignment vertical="center" wrapText="1"/>
    </xf>
    <xf numFmtId="9" fontId="5" fillId="8" borderId="47" xfId="0" applyNumberFormat="1" applyFont="1" applyFill="1" applyBorder="1" applyAlignment="1">
      <alignment vertical="center" wrapText="1"/>
    </xf>
    <xf numFmtId="9" fontId="7" fillId="8" borderId="47" xfId="2" applyFont="1" applyFill="1" applyBorder="1" applyAlignment="1">
      <alignment vertical="center"/>
    </xf>
    <xf numFmtId="166" fontId="4" fillId="7" borderId="47" xfId="2" applyNumberFormat="1" applyFont="1" applyFill="1" applyBorder="1"/>
    <xf numFmtId="0" fontId="4" fillId="0" borderId="6" xfId="0" applyFont="1" applyBorder="1" applyAlignment="1">
      <alignment wrapText="1"/>
    </xf>
    <xf numFmtId="0" fontId="7" fillId="0" borderId="6" xfId="0" applyFont="1" applyBorder="1"/>
    <xf numFmtId="0" fontId="4" fillId="0" borderId="6" xfId="0" applyFont="1" applyBorder="1" applyAlignment="1">
      <alignment vertical="center" wrapText="1"/>
    </xf>
    <xf numFmtId="0" fontId="26" fillId="0" borderId="0" xfId="0" applyFont="1"/>
    <xf numFmtId="0" fontId="4" fillId="9" borderId="47" xfId="0" applyFont="1" applyFill="1" applyBorder="1"/>
    <xf numFmtId="0" fontId="5" fillId="0" borderId="6" xfId="0" applyFont="1" applyBorder="1"/>
    <xf numFmtId="3" fontId="6" fillId="2" borderId="4" xfId="0" applyNumberFormat="1" applyFont="1" applyFill="1" applyBorder="1"/>
    <xf numFmtId="164" fontId="6" fillId="9" borderId="34" xfId="0" applyNumberFormat="1" applyFont="1" applyFill="1" applyBorder="1"/>
    <xf numFmtId="164" fontId="5" fillId="9" borderId="34" xfId="0" applyNumberFormat="1" applyFont="1" applyFill="1" applyBorder="1"/>
    <xf numFmtId="0" fontId="5" fillId="2" borderId="57" xfId="0" applyFont="1" applyFill="1" applyBorder="1"/>
    <xf numFmtId="4" fontId="5" fillId="9" borderId="34" xfId="0" applyNumberFormat="1" applyFont="1" applyFill="1" applyBorder="1"/>
    <xf numFmtId="0" fontId="5" fillId="0" borderId="22" xfId="0" applyFont="1" applyBorder="1"/>
    <xf numFmtId="0" fontId="29" fillId="0" borderId="0" xfId="0" applyFont="1"/>
    <xf numFmtId="0" fontId="3" fillId="0" borderId="0" xfId="0" applyFont="1"/>
    <xf numFmtId="0" fontId="5" fillId="0" borderId="6" xfId="0" applyFont="1" applyBorder="1" applyAlignment="1">
      <alignment vertical="center"/>
    </xf>
    <xf numFmtId="3" fontId="15" fillId="0" borderId="6" xfId="0" applyNumberFormat="1" applyFont="1" applyBorder="1" applyAlignment="1">
      <alignment vertical="center"/>
    </xf>
    <xf numFmtId="0" fontId="15" fillId="0" borderId="37" xfId="0" applyFont="1" applyBorder="1" applyAlignment="1">
      <alignment vertical="center"/>
    </xf>
    <xf numFmtId="3" fontId="15" fillId="0" borderId="37" xfId="0" applyNumberFormat="1" applyFont="1" applyBorder="1" applyAlignment="1">
      <alignment vertical="center"/>
    </xf>
    <xf numFmtId="0" fontId="16" fillId="0" borderId="6" xfId="0" applyFont="1" applyBorder="1"/>
    <xf numFmtId="44" fontId="16" fillId="0" borderId="6" xfId="0" applyNumberFormat="1" applyFont="1" applyBorder="1"/>
    <xf numFmtId="0" fontId="5" fillId="2" borderId="49" xfId="0" applyFont="1" applyFill="1" applyBorder="1"/>
    <xf numFmtId="3" fontId="6" fillId="2" borderId="50" xfId="0" applyNumberFormat="1" applyFont="1" applyFill="1" applyBorder="1"/>
    <xf numFmtId="0" fontId="7" fillId="2" borderId="50" xfId="0" applyFont="1" applyFill="1" applyBorder="1"/>
    <xf numFmtId="0" fontId="7" fillId="2" borderId="51" xfId="0" applyFont="1" applyFill="1" applyBorder="1"/>
    <xf numFmtId="0" fontId="12" fillId="0" borderId="6" xfId="0" applyFont="1" applyBorder="1"/>
    <xf numFmtId="0" fontId="14" fillId="0" borderId="6" xfId="0" applyFont="1" applyBorder="1"/>
    <xf numFmtId="0" fontId="5" fillId="0" borderId="6" xfId="0" applyFont="1" applyBorder="1" applyAlignment="1">
      <alignment horizontal="right" vertical="center" wrapText="1"/>
    </xf>
    <xf numFmtId="44" fontId="5" fillId="0" borderId="6" xfId="0" applyNumberFormat="1" applyFont="1" applyBorder="1" applyAlignment="1">
      <alignment vertical="center" wrapText="1"/>
    </xf>
    <xf numFmtId="44" fontId="11" fillId="0" borderId="6" xfId="0" applyNumberFormat="1" applyFont="1" applyBorder="1"/>
    <xf numFmtId="4" fontId="7" fillId="0" borderId="6" xfId="0" applyNumberFormat="1" applyFont="1" applyBorder="1" applyAlignment="1">
      <alignment vertical="center" wrapText="1"/>
    </xf>
    <xf numFmtId="0" fontId="5" fillId="0" borderId="6" xfId="0" applyFont="1" applyBorder="1" applyAlignment="1">
      <alignment vertical="center" wrapText="1"/>
    </xf>
    <xf numFmtId="9" fontId="5" fillId="0" borderId="6" xfId="0" applyNumberFormat="1" applyFont="1" applyBorder="1" applyAlignment="1">
      <alignment vertical="center"/>
    </xf>
    <xf numFmtId="0" fontId="11" fillId="0" borderId="0" xfId="0" applyFont="1" applyAlignment="1">
      <alignment vertical="center" wrapText="1"/>
    </xf>
    <xf numFmtId="166" fontId="4" fillId="0" borderId="6" xfId="0" applyNumberFormat="1" applyFont="1" applyBorder="1"/>
    <xf numFmtId="166" fontId="4" fillId="0" borderId="0" xfId="0" applyNumberFormat="1" applyFont="1" applyAlignment="1">
      <alignment wrapText="1"/>
    </xf>
    <xf numFmtId="4" fontId="0" fillId="0" borderId="0" xfId="0" applyNumberFormat="1"/>
    <xf numFmtId="173" fontId="0" fillId="0" borderId="0" xfId="0" applyNumberFormat="1"/>
    <xf numFmtId="174" fontId="4" fillId="7" borderId="47" xfId="2" applyNumberFormat="1" applyFont="1" applyFill="1" applyBorder="1"/>
    <xf numFmtId="173" fontId="4" fillId="0" borderId="0" xfId="2" applyNumberFormat="1" applyFont="1" applyAlignment="1">
      <alignment horizontal="center" vertical="center"/>
    </xf>
    <xf numFmtId="0" fontId="0" fillId="10" borderId="0" xfId="0" applyFill="1"/>
    <xf numFmtId="0" fontId="5" fillId="10" borderId="0" xfId="0" applyFont="1" applyFill="1"/>
    <xf numFmtId="0" fontId="7" fillId="10" borderId="5" xfId="0" applyFont="1" applyFill="1" applyBorder="1" applyAlignment="1">
      <alignment vertical="center" wrapText="1"/>
    </xf>
    <xf numFmtId="0" fontId="7" fillId="10" borderId="0" xfId="0" applyFont="1" applyFill="1"/>
    <xf numFmtId="10" fontId="7" fillId="8" borderId="5" xfId="0" applyNumberFormat="1" applyFont="1" applyFill="1" applyBorder="1" applyAlignment="1">
      <alignment vertical="center" wrapText="1"/>
    </xf>
    <xf numFmtId="3" fontId="6" fillId="10" borderId="0" xfId="0" applyNumberFormat="1" applyFont="1" applyFill="1"/>
    <xf numFmtId="0" fontId="0" fillId="7" borderId="0" xfId="0" applyFill="1"/>
    <xf numFmtId="166" fontId="4" fillId="7" borderId="0" xfId="2" applyNumberFormat="1" applyFont="1" applyFill="1"/>
    <xf numFmtId="0" fontId="5" fillId="7" borderId="5" xfId="0" applyFont="1" applyFill="1" applyBorder="1" applyAlignment="1">
      <alignment horizontal="right" vertical="center" wrapText="1"/>
    </xf>
    <xf numFmtId="0" fontId="7" fillId="7" borderId="5" xfId="0" applyFont="1" applyFill="1" applyBorder="1" applyAlignment="1">
      <alignment horizontal="right" vertical="center" wrapText="1"/>
    </xf>
    <xf numFmtId="0" fontId="7" fillId="7" borderId="5" xfId="0" applyFont="1" applyFill="1" applyBorder="1" applyAlignment="1">
      <alignment vertical="center" wrapText="1"/>
    </xf>
    <xf numFmtId="0" fontId="5" fillId="7" borderId="37" xfId="0" applyFont="1" applyFill="1" applyBorder="1" applyAlignment="1">
      <alignment horizontal="right" vertical="center" wrapText="1"/>
    </xf>
    <xf numFmtId="0" fontId="9" fillId="11" borderId="47" xfId="0" applyFont="1" applyFill="1" applyBorder="1" applyAlignment="1">
      <alignment horizontal="right" vertical="center" wrapText="1"/>
    </xf>
    <xf numFmtId="4" fontId="5" fillId="11" borderId="48" xfId="0" applyNumberFormat="1" applyFont="1" applyFill="1" applyBorder="1" applyAlignment="1">
      <alignment vertical="center" wrapText="1"/>
    </xf>
    <xf numFmtId="0" fontId="4" fillId="11" borderId="49" xfId="0" applyFont="1" applyFill="1" applyBorder="1"/>
    <xf numFmtId="0" fontId="4" fillId="11" borderId="50" xfId="0" applyFont="1" applyFill="1" applyBorder="1"/>
    <xf numFmtId="0" fontId="4" fillId="11" borderId="51" xfId="0" applyFont="1" applyFill="1" applyBorder="1"/>
    <xf numFmtId="0" fontId="4" fillId="11" borderId="52" xfId="0" applyFont="1" applyFill="1" applyBorder="1"/>
    <xf numFmtId="0" fontId="4" fillId="11" borderId="6" xfId="0" applyFont="1" applyFill="1" applyBorder="1"/>
    <xf numFmtId="0" fontId="4" fillId="11" borderId="53" xfId="0" applyFont="1" applyFill="1" applyBorder="1"/>
    <xf numFmtId="0" fontId="4" fillId="11" borderId="47" xfId="0" applyFont="1" applyFill="1" applyBorder="1" applyAlignment="1">
      <alignment horizontal="right" vertical="center" wrapText="1"/>
    </xf>
    <xf numFmtId="0" fontId="4" fillId="11" borderId="54" xfId="0" applyFont="1" applyFill="1" applyBorder="1"/>
    <xf numFmtId="0" fontId="4" fillId="11" borderId="55" xfId="0" applyFont="1" applyFill="1" applyBorder="1"/>
    <xf numFmtId="0" fontId="4" fillId="11" borderId="56" xfId="0" applyFont="1" applyFill="1" applyBorder="1"/>
    <xf numFmtId="0" fontId="5" fillId="11" borderId="60" xfId="0" applyFont="1" applyFill="1" applyBorder="1"/>
    <xf numFmtId="0" fontId="5" fillId="11" borderId="61" xfId="0" applyFont="1" applyFill="1" applyBorder="1"/>
    <xf numFmtId="0" fontId="4" fillId="11" borderId="9" xfId="0" applyFont="1" applyFill="1" applyBorder="1"/>
    <xf numFmtId="0" fontId="5" fillId="11" borderId="60" xfId="0" applyFont="1" applyFill="1" applyBorder="1" applyAlignment="1">
      <alignment horizontal="right"/>
    </xf>
    <xf numFmtId="0" fontId="5" fillId="11" borderId="61" xfId="0" applyFont="1" applyFill="1" applyBorder="1" applyAlignment="1">
      <alignment horizontal="right"/>
    </xf>
    <xf numFmtId="9" fontId="5" fillId="0" borderId="6" xfId="0" applyNumberFormat="1" applyFont="1" applyBorder="1"/>
    <xf numFmtId="164" fontId="5" fillId="9" borderId="64" xfId="0" applyNumberFormat="1" applyFont="1" applyFill="1" applyBorder="1"/>
    <xf numFmtId="0" fontId="7" fillId="0" borderId="57" xfId="0" applyFont="1" applyBorder="1"/>
    <xf numFmtId="0" fontId="14" fillId="0" borderId="58" xfId="0" applyFont="1" applyBorder="1"/>
    <xf numFmtId="0" fontId="0" fillId="0" borderId="58" xfId="0" applyBorder="1"/>
    <xf numFmtId="0" fontId="4" fillId="0" borderId="59" xfId="0" applyFont="1" applyBorder="1"/>
    <xf numFmtId="0" fontId="7" fillId="11" borderId="5" xfId="0" applyFont="1" applyFill="1" applyBorder="1" applyAlignment="1">
      <alignment horizontal="right" vertical="center" wrapText="1"/>
    </xf>
    <xf numFmtId="4" fontId="7" fillId="11" borderId="5" xfId="0" applyNumberFormat="1" applyFont="1" applyFill="1" applyBorder="1" applyAlignment="1">
      <alignment vertical="center" wrapText="1"/>
    </xf>
    <xf numFmtId="0" fontId="4" fillId="11" borderId="4" xfId="0" applyFont="1" applyFill="1" applyBorder="1"/>
    <xf numFmtId="0" fontId="4" fillId="11" borderId="21" xfId="0" applyFont="1" applyFill="1" applyBorder="1"/>
    <xf numFmtId="0" fontId="4" fillId="11" borderId="22" xfId="0" applyFont="1" applyFill="1" applyBorder="1"/>
    <xf numFmtId="0" fontId="4" fillId="11" borderId="7" xfId="0" applyFont="1" applyFill="1" applyBorder="1"/>
    <xf numFmtId="0" fontId="30" fillId="11" borderId="5" xfId="0" applyFont="1" applyFill="1" applyBorder="1" applyAlignment="1">
      <alignment horizontal="right" vertical="center" wrapText="1"/>
    </xf>
    <xf numFmtId="0" fontId="7" fillId="11" borderId="5" xfId="0" applyFont="1" applyFill="1" applyBorder="1" applyAlignment="1">
      <alignment vertical="center" wrapText="1"/>
    </xf>
    <xf numFmtId="0" fontId="4" fillId="11" borderId="10" xfId="0" applyFont="1" applyFill="1" applyBorder="1"/>
    <xf numFmtId="0" fontId="5" fillId="11" borderId="30" xfId="0" applyFont="1" applyFill="1" applyBorder="1" applyAlignment="1">
      <alignment vertical="center" wrapText="1"/>
    </xf>
    <xf numFmtId="4" fontId="5" fillId="11" borderId="5" xfId="0" applyNumberFormat="1" applyFont="1" applyFill="1" applyBorder="1" applyAlignment="1">
      <alignment vertical="center" wrapText="1"/>
    </xf>
    <xf numFmtId="0" fontId="0" fillId="0" borderId="47" xfId="0" applyBorder="1"/>
    <xf numFmtId="166" fontId="7" fillId="8" borderId="37" xfId="0" applyNumberFormat="1" applyFont="1" applyFill="1" applyBorder="1" applyAlignment="1">
      <alignment vertical="center" wrapText="1"/>
    </xf>
    <xf numFmtId="166" fontId="7" fillId="8" borderId="5" xfId="0" applyNumberFormat="1" applyFont="1" applyFill="1" applyBorder="1" applyAlignment="1">
      <alignment vertical="center" wrapText="1"/>
    </xf>
    <xf numFmtId="166" fontId="7" fillId="8" borderId="5" xfId="0" applyNumberFormat="1" applyFont="1" applyFill="1" applyBorder="1" applyAlignment="1">
      <alignment vertical="center"/>
    </xf>
    <xf numFmtId="0" fontId="5" fillId="7" borderId="66" xfId="0" applyFont="1" applyFill="1" applyBorder="1" applyAlignment="1">
      <alignment horizontal="right" vertical="center" wrapText="1"/>
    </xf>
    <xf numFmtId="166" fontId="4" fillId="7" borderId="53" xfId="2" applyNumberFormat="1" applyFont="1" applyFill="1" applyBorder="1"/>
    <xf numFmtId="0" fontId="5" fillId="7" borderId="67" xfId="0" applyFont="1" applyFill="1" applyBorder="1" applyAlignment="1">
      <alignment horizontal="right" vertical="center" wrapText="1"/>
    </xf>
    <xf numFmtId="0" fontId="7" fillId="7" borderId="67" xfId="0" applyFont="1" applyFill="1" applyBorder="1" applyAlignment="1">
      <alignment horizontal="right" vertical="center" wrapText="1"/>
    </xf>
    <xf numFmtId="0" fontId="7" fillId="7" borderId="67" xfId="0" applyFont="1" applyFill="1" applyBorder="1" applyAlignment="1">
      <alignment vertical="center" wrapText="1"/>
    </xf>
    <xf numFmtId="9" fontId="7" fillId="8" borderId="55" xfId="2" applyFont="1" applyFill="1" applyBorder="1" applyAlignment="1">
      <alignment vertical="center"/>
    </xf>
    <xf numFmtId="166" fontId="7" fillId="8" borderId="36" xfId="0" applyNumberFormat="1" applyFont="1" applyFill="1" applyBorder="1" applyAlignment="1">
      <alignment vertical="center"/>
    </xf>
    <xf numFmtId="0" fontId="7" fillId="10" borderId="67" xfId="0" applyFont="1" applyFill="1" applyBorder="1" applyAlignment="1">
      <alignment vertical="center" wrapText="1"/>
    </xf>
    <xf numFmtId="0" fontId="7" fillId="10" borderId="54" xfId="0" applyFont="1" applyFill="1" applyBorder="1" applyAlignment="1">
      <alignment vertical="center" wrapText="1"/>
    </xf>
    <xf numFmtId="9" fontId="0" fillId="10" borderId="53" xfId="0" applyNumberFormat="1" applyFill="1" applyBorder="1"/>
    <xf numFmtId="9" fontId="4" fillId="10" borderId="68" xfId="0" applyNumberFormat="1" applyFont="1" applyFill="1" applyBorder="1"/>
    <xf numFmtId="166" fontId="4" fillId="10" borderId="56" xfId="2" applyNumberFormat="1" applyFont="1" applyFill="1" applyBorder="1"/>
    <xf numFmtId="0" fontId="9" fillId="10" borderId="6" xfId="0" applyFont="1" applyFill="1" applyBorder="1" applyAlignment="1">
      <alignment vertical="center"/>
    </xf>
    <xf numFmtId="0" fontId="9" fillId="10" borderId="6" xfId="0" applyFont="1" applyFill="1" applyBorder="1"/>
    <xf numFmtId="0" fontId="7" fillId="10" borderId="47" xfId="0" applyFont="1" applyFill="1" applyBorder="1" applyAlignment="1">
      <alignment vertical="center" wrapText="1"/>
    </xf>
    <xf numFmtId="166" fontId="4" fillId="10" borderId="47" xfId="0" applyNumberFormat="1" applyFont="1" applyFill="1" applyBorder="1"/>
    <xf numFmtId="166" fontId="4" fillId="10" borderId="47" xfId="2" applyNumberFormat="1" applyFont="1" applyFill="1" applyBorder="1"/>
    <xf numFmtId="0" fontId="4" fillId="10" borderId="6" xfId="0" applyFont="1" applyFill="1" applyBorder="1" applyAlignment="1">
      <alignment vertical="center" wrapText="1"/>
    </xf>
    <xf numFmtId="0" fontId="9" fillId="10" borderId="47" xfId="0" applyFont="1" applyFill="1" applyBorder="1" applyAlignment="1">
      <alignment vertical="center"/>
    </xf>
    <xf numFmtId="0" fontId="9" fillId="10" borderId="47" xfId="0" applyFont="1" applyFill="1" applyBorder="1"/>
    <xf numFmtId="0" fontId="9" fillId="10" borderId="5" xfId="0" applyFont="1" applyFill="1" applyBorder="1"/>
    <xf numFmtId="0" fontId="9" fillId="10" borderId="67" xfId="0" applyFont="1" applyFill="1" applyBorder="1"/>
    <xf numFmtId="166" fontId="4" fillId="10" borderId="53" xfId="0" applyNumberFormat="1" applyFont="1" applyFill="1" applyBorder="1"/>
    <xf numFmtId="166" fontId="4" fillId="10" borderId="68" xfId="0" applyNumberFormat="1" applyFont="1" applyFill="1" applyBorder="1"/>
    <xf numFmtId="0" fontId="9" fillId="10" borderId="54" xfId="0" applyFont="1" applyFill="1" applyBorder="1"/>
    <xf numFmtId="0" fontId="7" fillId="10" borderId="55" xfId="0" applyFont="1" applyFill="1" applyBorder="1" applyAlignment="1">
      <alignment vertical="center" wrapText="1"/>
    </xf>
    <xf numFmtId="0" fontId="7" fillId="10" borderId="36" xfId="0" applyFont="1" applyFill="1" applyBorder="1" applyAlignment="1">
      <alignment vertical="center" wrapText="1"/>
    </xf>
    <xf numFmtId="9" fontId="7" fillId="10" borderId="5" xfId="0" applyNumberFormat="1" applyFont="1" applyFill="1" applyBorder="1" applyAlignment="1">
      <alignment vertical="center"/>
    </xf>
    <xf numFmtId="9" fontId="7" fillId="8" borderId="5" xfId="0" applyNumberFormat="1" applyFont="1" applyFill="1" applyBorder="1" applyAlignment="1">
      <alignment vertical="center" wrapText="1"/>
    </xf>
    <xf numFmtId="9" fontId="7" fillId="8" borderId="37" xfId="0" applyNumberFormat="1" applyFont="1" applyFill="1" applyBorder="1" applyAlignment="1">
      <alignment vertical="center" wrapText="1"/>
    </xf>
    <xf numFmtId="9" fontId="7" fillId="10" borderId="70" xfId="0" applyNumberFormat="1" applyFont="1" applyFill="1" applyBorder="1" applyAlignment="1">
      <alignment vertical="center"/>
    </xf>
    <xf numFmtId="166" fontId="4" fillId="7" borderId="0" xfId="2" applyNumberFormat="1" applyFont="1" applyFill="1" applyAlignment="1">
      <alignment vertical="center"/>
    </xf>
    <xf numFmtId="0" fontId="4" fillId="10" borderId="5" xfId="0" applyFont="1" applyFill="1" applyBorder="1"/>
    <xf numFmtId="0" fontId="12" fillId="10" borderId="5" xfId="0" applyFont="1" applyFill="1" applyBorder="1" applyAlignment="1">
      <alignment horizontal="left" vertical="center" wrapText="1"/>
    </xf>
    <xf numFmtId="0" fontId="12" fillId="10" borderId="5" xfId="0" applyFont="1" applyFill="1" applyBorder="1" applyAlignment="1">
      <alignment horizontal="center" vertical="center" wrapText="1"/>
    </xf>
    <xf numFmtId="0" fontId="9" fillId="10" borderId="36" xfId="0" applyFont="1" applyFill="1" applyBorder="1"/>
    <xf numFmtId="0" fontId="9" fillId="10" borderId="36" xfId="0" applyFont="1" applyFill="1" applyBorder="1" applyAlignment="1">
      <alignment vertical="center" wrapText="1"/>
    </xf>
    <xf numFmtId="0" fontId="10" fillId="10" borderId="1" xfId="0" applyFont="1" applyFill="1" applyBorder="1" applyAlignment="1">
      <alignment horizontal="center" vertical="center" wrapText="1"/>
    </xf>
    <xf numFmtId="0" fontId="0" fillId="10" borderId="57" xfId="0" applyFill="1" applyBorder="1"/>
    <xf numFmtId="0" fontId="9" fillId="10" borderId="69" xfId="0" applyFont="1" applyFill="1" applyBorder="1"/>
    <xf numFmtId="0" fontId="5" fillId="10" borderId="50" xfId="0" applyFont="1" applyFill="1" applyBorder="1"/>
    <xf numFmtId="3" fontId="6" fillId="10" borderId="48" xfId="0" applyNumberFormat="1" applyFont="1" applyFill="1" applyBorder="1"/>
    <xf numFmtId="0" fontId="9" fillId="10" borderId="47" xfId="0" applyFont="1" applyFill="1" applyBorder="1" applyAlignment="1">
      <alignment vertical="center" wrapText="1"/>
    </xf>
    <xf numFmtId="0" fontId="10" fillId="10" borderId="47" xfId="0" applyFont="1" applyFill="1" applyBorder="1" applyAlignment="1">
      <alignment horizontal="center" vertical="center" wrapText="1"/>
    </xf>
    <xf numFmtId="0" fontId="0" fillId="10" borderId="47" xfId="0" applyFill="1" applyBorder="1"/>
    <xf numFmtId="0" fontId="4" fillId="10" borderId="6" xfId="0" applyFont="1" applyFill="1" applyBorder="1"/>
    <xf numFmtId="0" fontId="5" fillId="10" borderId="47" xfId="0" applyFont="1" applyFill="1" applyBorder="1"/>
    <xf numFmtId="3" fontId="6" fillId="10" borderId="47" xfId="0" applyNumberFormat="1" applyFont="1" applyFill="1" applyBorder="1"/>
    <xf numFmtId="0" fontId="5" fillId="10" borderId="49" xfId="0" applyFont="1" applyFill="1" applyBorder="1" applyAlignment="1">
      <alignment vertical="center" wrapText="1"/>
    </xf>
    <xf numFmtId="0" fontId="10" fillId="10" borderId="57" xfId="0" applyFont="1" applyFill="1" applyBorder="1" applyAlignment="1">
      <alignment horizontal="center" vertical="center" wrapText="1"/>
    </xf>
    <xf numFmtId="0" fontId="14" fillId="10" borderId="51" xfId="0" applyFont="1" applyFill="1" applyBorder="1"/>
    <xf numFmtId="0" fontId="5" fillId="10" borderId="52" xfId="0" applyFont="1" applyFill="1" applyBorder="1"/>
    <xf numFmtId="3" fontId="6" fillId="10" borderId="59" xfId="0" applyNumberFormat="1" applyFont="1" applyFill="1" applyBorder="1"/>
    <xf numFmtId="0" fontId="7" fillId="10" borderId="53" xfId="0" applyFont="1" applyFill="1" applyBorder="1"/>
    <xf numFmtId="0" fontId="4" fillId="10" borderId="49" xfId="0" applyFont="1" applyFill="1" applyBorder="1" applyAlignment="1">
      <alignment vertical="center" wrapText="1"/>
    </xf>
    <xf numFmtId="3" fontId="6" fillId="10" borderId="50" xfId="0" applyNumberFormat="1" applyFont="1" applyFill="1" applyBorder="1"/>
    <xf numFmtId="0" fontId="4" fillId="10" borderId="35" xfId="0" applyFont="1" applyFill="1" applyBorder="1"/>
    <xf numFmtId="0" fontId="12" fillId="10" borderId="36" xfId="0" applyFont="1" applyFill="1" applyBorder="1" applyAlignment="1">
      <alignment horizontal="left" vertical="center" wrapText="1"/>
    </xf>
    <xf numFmtId="0" fontId="12" fillId="10" borderId="1" xfId="0" applyFont="1" applyFill="1" applyBorder="1" applyAlignment="1">
      <alignment horizontal="center" vertical="center" wrapText="1"/>
    </xf>
    <xf numFmtId="0" fontId="7" fillId="10" borderId="59" xfId="0" applyFont="1" applyFill="1" applyBorder="1"/>
    <xf numFmtId="0" fontId="4" fillId="10" borderId="36" xfId="0" applyFont="1" applyFill="1" applyBorder="1"/>
    <xf numFmtId="9" fontId="7" fillId="10" borderId="36" xfId="0" applyNumberFormat="1" applyFont="1" applyFill="1" applyBorder="1" applyAlignment="1">
      <alignment vertical="center"/>
    </xf>
    <xf numFmtId="166" fontId="4" fillId="10" borderId="47" xfId="2" applyNumberFormat="1" applyFont="1" applyFill="1" applyBorder="1" applyAlignment="1">
      <alignment vertical="center"/>
    </xf>
    <xf numFmtId="0" fontId="4" fillId="10" borderId="0" xfId="0" applyFont="1" applyFill="1" applyAlignment="1">
      <alignment vertical="center"/>
    </xf>
    <xf numFmtId="9" fontId="4" fillId="10" borderId="5" xfId="0" applyNumberFormat="1" applyFont="1" applyFill="1" applyBorder="1" applyAlignment="1">
      <alignment vertical="center"/>
    </xf>
    <xf numFmtId="166" fontId="13" fillId="8" borderId="5" xfId="2" applyNumberFormat="1" applyFont="1" applyFill="1" applyBorder="1"/>
    <xf numFmtId="166" fontId="7" fillId="8" borderId="5" xfId="2" applyNumberFormat="1" applyFont="1" applyFill="1" applyBorder="1" applyAlignment="1">
      <alignment vertical="center"/>
    </xf>
    <xf numFmtId="166" fontId="7" fillId="8" borderId="36" xfId="2" applyNumberFormat="1" applyFont="1" applyFill="1" applyBorder="1" applyAlignment="1">
      <alignment vertical="center"/>
    </xf>
    <xf numFmtId="9" fontId="4" fillId="10" borderId="36" xfId="0" applyNumberFormat="1" applyFont="1" applyFill="1" applyBorder="1" applyAlignment="1">
      <alignment vertical="center"/>
    </xf>
    <xf numFmtId="0" fontId="5" fillId="10" borderId="5" xfId="0" applyFont="1" applyFill="1" applyBorder="1" applyAlignment="1">
      <alignment vertical="center"/>
    </xf>
    <xf numFmtId="172" fontId="6"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5" fillId="10" borderId="5" xfId="0" applyFont="1" applyFill="1" applyBorder="1" applyAlignment="1">
      <alignment vertical="center" wrapText="1"/>
    </xf>
    <xf numFmtId="9" fontId="5" fillId="10" borderId="5" xfId="0" applyNumberFormat="1" applyFont="1" applyFill="1" applyBorder="1" applyAlignment="1">
      <alignment vertical="center"/>
    </xf>
    <xf numFmtId="9" fontId="34" fillId="10" borderId="0" xfId="0" applyNumberFormat="1" applyFont="1" applyFill="1" applyAlignment="1">
      <alignment vertical="center"/>
    </xf>
    <xf numFmtId="0" fontId="5" fillId="10" borderId="47" xfId="0" applyFont="1" applyFill="1" applyBorder="1" applyAlignment="1">
      <alignment horizontal="left" vertical="center" wrapText="1"/>
    </xf>
    <xf numFmtId="0" fontId="7" fillId="10" borderId="47" xfId="0" applyFont="1" applyFill="1" applyBorder="1" applyAlignment="1">
      <alignment horizontal="left" vertical="center" wrapText="1"/>
    </xf>
    <xf numFmtId="0" fontId="5" fillId="10" borderId="6" xfId="0" applyFont="1" applyFill="1" applyBorder="1" applyAlignment="1">
      <alignment horizontal="right" vertical="center" wrapText="1"/>
    </xf>
    <xf numFmtId="0" fontId="35" fillId="0" borderId="5" xfId="0" applyFont="1" applyBorder="1" applyAlignment="1">
      <alignment vertical="center" wrapText="1"/>
    </xf>
    <xf numFmtId="0" fontId="4" fillId="0" borderId="36" xfId="0" applyFont="1" applyBorder="1"/>
    <xf numFmtId="0" fontId="4" fillId="0" borderId="37" xfId="0" applyFont="1" applyBorder="1"/>
    <xf numFmtId="0" fontId="4" fillId="10" borderId="47" xfId="0" applyFont="1" applyFill="1" applyBorder="1"/>
    <xf numFmtId="0" fontId="5" fillId="0" borderId="37" xfId="0" applyFont="1" applyBorder="1" applyAlignment="1">
      <alignment vertical="center" wrapText="1"/>
    </xf>
    <xf numFmtId="0" fontId="5" fillId="10" borderId="47" xfId="0" applyFont="1" applyFill="1" applyBorder="1" applyAlignment="1">
      <alignment vertical="center"/>
    </xf>
    <xf numFmtId="3" fontId="6" fillId="8" borderId="47" xfId="0" applyNumberFormat="1" applyFont="1" applyFill="1" applyBorder="1" applyAlignment="1">
      <alignment vertical="center"/>
    </xf>
    <xf numFmtId="0" fontId="6" fillId="10" borderId="47" xfId="0" applyFont="1" applyFill="1" applyBorder="1" applyAlignment="1">
      <alignment vertical="center"/>
    </xf>
    <xf numFmtId="3" fontId="6" fillId="10" borderId="47" xfId="0" applyNumberFormat="1" applyFont="1" applyFill="1" applyBorder="1" applyAlignment="1">
      <alignment vertical="center"/>
    </xf>
    <xf numFmtId="166" fontId="5" fillId="8" borderId="5" xfId="2" applyNumberFormat="1" applyFont="1" applyFill="1" applyBorder="1" applyAlignment="1">
      <alignment vertical="center" wrapText="1"/>
    </xf>
    <xf numFmtId="9" fontId="5" fillId="8" borderId="5" xfId="0" applyNumberFormat="1" applyFont="1" applyFill="1" applyBorder="1" applyAlignment="1">
      <alignment vertical="center"/>
    </xf>
    <xf numFmtId="9" fontId="32" fillId="0" borderId="5" xfId="0" applyNumberFormat="1" applyFont="1" applyBorder="1" applyAlignment="1">
      <alignment vertical="center"/>
    </xf>
    <xf numFmtId="0" fontId="4" fillId="0" borderId="35" xfId="0" applyFont="1" applyBorder="1"/>
    <xf numFmtId="0" fontId="4" fillId="0" borderId="72" xfId="0" applyFont="1" applyBorder="1"/>
    <xf numFmtId="1" fontId="8" fillId="7" borderId="24" xfId="0" applyNumberFormat="1" applyFont="1" applyFill="1" applyBorder="1" applyAlignment="1">
      <alignment horizontal="center" vertical="center"/>
    </xf>
    <xf numFmtId="43" fontId="4" fillId="7" borderId="25" xfId="0" applyNumberFormat="1" applyFont="1" applyFill="1" applyBorder="1"/>
    <xf numFmtId="4" fontId="13" fillId="11" borderId="5" xfId="0" applyNumberFormat="1" applyFont="1" applyFill="1" applyBorder="1"/>
    <xf numFmtId="0" fontId="4" fillId="11" borderId="6" xfId="0" applyFont="1" applyFill="1" applyBorder="1" applyAlignment="1">
      <alignment vertical="center"/>
    </xf>
    <xf numFmtId="4" fontId="13" fillId="11" borderId="5" xfId="0" applyNumberFormat="1" applyFont="1" applyFill="1" applyBorder="1" applyAlignment="1">
      <alignment vertical="center" wrapText="1"/>
    </xf>
    <xf numFmtId="0" fontId="5" fillId="11" borderId="5" xfId="0" applyFont="1" applyFill="1" applyBorder="1" applyAlignment="1">
      <alignment horizontal="right" vertical="center" wrapText="1"/>
    </xf>
    <xf numFmtId="0" fontId="7" fillId="11" borderId="30" xfId="0" applyFont="1" applyFill="1" applyBorder="1" applyAlignment="1">
      <alignment horizontal="right" vertical="center" wrapText="1"/>
    </xf>
    <xf numFmtId="0" fontId="5" fillId="11" borderId="62" xfId="0" applyFont="1" applyFill="1" applyBorder="1" applyAlignment="1">
      <alignment vertical="center"/>
    </xf>
    <xf numFmtId="3" fontId="6" fillId="11" borderId="63" xfId="0" applyNumberFormat="1" applyFont="1" applyFill="1" applyBorder="1" applyAlignment="1">
      <alignment vertical="center"/>
    </xf>
    <xf numFmtId="44" fontId="4" fillId="11" borderId="55" xfId="0" applyNumberFormat="1" applyFont="1" applyFill="1" applyBorder="1"/>
    <xf numFmtId="2" fontId="5" fillId="11" borderId="5" xfId="0" applyNumberFormat="1" applyFont="1" applyFill="1" applyBorder="1" applyAlignment="1">
      <alignment vertical="center" wrapText="1"/>
    </xf>
    <xf numFmtId="2" fontId="7" fillId="11" borderId="5" xfId="0" applyNumberFormat="1" applyFont="1" applyFill="1" applyBorder="1" applyAlignment="1">
      <alignment vertical="center" wrapText="1"/>
    </xf>
    <xf numFmtId="44" fontId="5" fillId="11" borderId="5" xfId="0" applyNumberFormat="1" applyFont="1" applyFill="1" applyBorder="1" applyAlignment="1">
      <alignment vertical="center" wrapText="1"/>
    </xf>
    <xf numFmtId="0" fontId="5" fillId="12" borderId="5" xfId="0" applyFont="1" applyFill="1" applyBorder="1" applyAlignment="1">
      <alignment vertical="center" wrapText="1"/>
    </xf>
    <xf numFmtId="2" fontId="5" fillId="12" borderId="5" xfId="0" applyNumberFormat="1" applyFont="1" applyFill="1" applyBorder="1" applyAlignment="1">
      <alignment vertical="center"/>
    </xf>
    <xf numFmtId="0" fontId="4" fillId="12" borderId="0" xfId="0" applyFont="1" applyFill="1"/>
    <xf numFmtId="2" fontId="4" fillId="11" borderId="6" xfId="0" applyNumberFormat="1" applyFont="1" applyFill="1" applyBorder="1"/>
    <xf numFmtId="4" fontId="4" fillId="11" borderId="6" xfId="0" applyNumberFormat="1" applyFont="1" applyFill="1" applyBorder="1"/>
    <xf numFmtId="0" fontId="4" fillId="13" borderId="26" xfId="0" applyFont="1" applyFill="1" applyBorder="1" applyAlignment="1">
      <alignment horizontal="left"/>
    </xf>
    <xf numFmtId="0" fontId="4" fillId="13" borderId="32" xfId="0" applyFont="1" applyFill="1" applyBorder="1" applyAlignment="1">
      <alignment horizontal="center"/>
    </xf>
    <xf numFmtId="0" fontId="4" fillId="13" borderId="27" xfId="0" applyFont="1" applyFill="1" applyBorder="1" applyAlignment="1">
      <alignment horizontal="center"/>
    </xf>
    <xf numFmtId="1" fontId="8" fillId="13" borderId="17" xfId="0" applyNumberFormat="1" applyFont="1" applyFill="1" applyBorder="1" applyAlignment="1">
      <alignment horizontal="center" vertical="center"/>
    </xf>
    <xf numFmtId="2" fontId="4" fillId="13" borderId="5" xfId="0" applyNumberFormat="1" applyFont="1" applyFill="1" applyBorder="1"/>
    <xf numFmtId="1" fontId="8" fillId="13" borderId="15" xfId="0" applyNumberFormat="1" applyFont="1" applyFill="1" applyBorder="1" applyAlignment="1">
      <alignment horizontal="center" vertical="center"/>
    </xf>
    <xf numFmtId="0" fontId="4" fillId="13" borderId="16" xfId="0" applyFont="1" applyFill="1" applyBorder="1"/>
    <xf numFmtId="1" fontId="8" fillId="13" borderId="17" xfId="0" applyNumberFormat="1" applyFont="1" applyFill="1" applyBorder="1" applyAlignment="1">
      <alignment horizontal="center"/>
    </xf>
    <xf numFmtId="2" fontId="4" fillId="13" borderId="18" xfId="0" applyNumberFormat="1" applyFont="1" applyFill="1" applyBorder="1"/>
    <xf numFmtId="2" fontId="4" fillId="13" borderId="5" xfId="0" applyNumberFormat="1" applyFont="1" applyFill="1" applyBorder="1" applyAlignment="1">
      <alignment vertical="center"/>
    </xf>
    <xf numFmtId="2" fontId="4" fillId="13" borderId="18" xfId="0" applyNumberFormat="1" applyFont="1" applyFill="1" applyBorder="1" applyAlignment="1">
      <alignment vertical="center"/>
    </xf>
    <xf numFmtId="1" fontId="8" fillId="13" borderId="28" xfId="0" applyNumberFormat="1" applyFont="1" applyFill="1" applyBorder="1" applyAlignment="1">
      <alignment horizontal="center" vertical="center"/>
    </xf>
    <xf numFmtId="9" fontId="4" fillId="13" borderId="33" xfId="0" applyNumberFormat="1" applyFont="1" applyFill="1" applyBorder="1"/>
    <xf numFmtId="9" fontId="4" fillId="13" borderId="29" xfId="0" applyNumberFormat="1" applyFont="1" applyFill="1" applyBorder="1"/>
    <xf numFmtId="0" fontId="4" fillId="13" borderId="26" xfId="0" applyFont="1" applyFill="1" applyBorder="1" applyAlignment="1">
      <alignment vertical="center" wrapText="1"/>
    </xf>
    <xf numFmtId="0" fontId="4" fillId="13" borderId="71" xfId="0" applyFont="1" applyFill="1" applyBorder="1" applyAlignment="1">
      <alignment vertical="center"/>
    </xf>
    <xf numFmtId="0" fontId="0" fillId="13" borderId="47" xfId="0" applyFill="1" applyBorder="1"/>
    <xf numFmtId="2" fontId="4" fillId="13" borderId="35" xfId="0" applyNumberFormat="1" applyFont="1" applyFill="1" applyBorder="1" applyAlignment="1">
      <alignment vertical="center"/>
    </xf>
    <xf numFmtId="0" fontId="4" fillId="13" borderId="47" xfId="0" quotePrefix="1" applyFont="1" applyFill="1" applyBorder="1" applyAlignment="1">
      <alignment wrapText="1"/>
    </xf>
    <xf numFmtId="1" fontId="4" fillId="13" borderId="6" xfId="0" applyNumberFormat="1" applyFont="1" applyFill="1" applyBorder="1"/>
    <xf numFmtId="0" fontId="4" fillId="13" borderId="47" xfId="0" applyFont="1" applyFill="1" applyBorder="1"/>
    <xf numFmtId="43" fontId="4" fillId="13" borderId="6" xfId="0" applyNumberFormat="1" applyFont="1" applyFill="1" applyBorder="1" applyAlignment="1">
      <alignment vertical="center"/>
    </xf>
    <xf numFmtId="0" fontId="4" fillId="13" borderId="47" xfId="0" applyFont="1" applyFill="1" applyBorder="1" applyAlignment="1">
      <alignment wrapText="1"/>
    </xf>
    <xf numFmtId="165" fontId="4" fillId="13" borderId="35" xfId="0" applyNumberFormat="1" applyFont="1" applyFill="1" applyBorder="1"/>
    <xf numFmtId="0" fontId="4" fillId="13" borderId="35" xfId="0" applyFont="1" applyFill="1" applyBorder="1" applyAlignment="1">
      <alignment vertical="center"/>
    </xf>
    <xf numFmtId="0" fontId="4" fillId="13" borderId="47" xfId="0" applyFont="1" applyFill="1" applyBorder="1" applyAlignment="1">
      <alignment vertical="center" wrapText="1"/>
    </xf>
    <xf numFmtId="2" fontId="4" fillId="13" borderId="47" xfId="0" applyNumberFormat="1" applyFont="1" applyFill="1" applyBorder="1" applyAlignment="1">
      <alignment vertical="center" wrapText="1"/>
    </xf>
    <xf numFmtId="9" fontId="4" fillId="13" borderId="35" xfId="0" applyNumberFormat="1" applyFont="1" applyFill="1" applyBorder="1"/>
    <xf numFmtId="0" fontId="4" fillId="13" borderId="47" xfId="0" applyFont="1" applyFill="1" applyBorder="1" applyAlignment="1">
      <alignment vertical="center"/>
    </xf>
    <xf numFmtId="2" fontId="4" fillId="13" borderId="47" xfId="0" applyNumberFormat="1" applyFont="1" applyFill="1" applyBorder="1" applyAlignment="1">
      <alignment vertical="center"/>
    </xf>
    <xf numFmtId="0" fontId="0" fillId="13" borderId="0" xfId="0" applyFill="1"/>
    <xf numFmtId="0" fontId="4" fillId="13" borderId="69" xfId="0" applyFont="1" applyFill="1" applyBorder="1" applyAlignment="1">
      <alignment vertical="center" wrapText="1"/>
    </xf>
    <xf numFmtId="0" fontId="4" fillId="13" borderId="73" xfId="0" applyFont="1" applyFill="1" applyBorder="1" applyAlignment="1">
      <alignment vertical="center"/>
    </xf>
    <xf numFmtId="0" fontId="0" fillId="13" borderId="51" xfId="0" applyFill="1" applyBorder="1"/>
    <xf numFmtId="1" fontId="8" fillId="13" borderId="67" xfId="0" applyNumberFormat="1" applyFont="1" applyFill="1" applyBorder="1" applyAlignment="1">
      <alignment horizontal="center" vertical="center"/>
    </xf>
    <xf numFmtId="0" fontId="4" fillId="13" borderId="53" xfId="0" quotePrefix="1" applyFont="1" applyFill="1" applyBorder="1" applyAlignment="1">
      <alignment wrapText="1"/>
    </xf>
    <xf numFmtId="1" fontId="8" fillId="13" borderId="52" xfId="0" applyNumberFormat="1" applyFont="1" applyFill="1" applyBorder="1" applyAlignment="1">
      <alignment horizontal="center" vertical="center"/>
    </xf>
    <xf numFmtId="1" fontId="4" fillId="13" borderId="16" xfId="0" applyNumberFormat="1" applyFont="1" applyFill="1" applyBorder="1"/>
    <xf numFmtId="0" fontId="4" fillId="13" borderId="53" xfId="0" applyFont="1" applyFill="1" applyBorder="1"/>
    <xf numFmtId="43" fontId="4" fillId="13" borderId="16" xfId="0" applyNumberFormat="1" applyFont="1" applyFill="1" applyBorder="1" applyAlignment="1">
      <alignment vertical="center"/>
    </xf>
    <xf numFmtId="0" fontId="4" fillId="13" borderId="53" xfId="0" applyFont="1" applyFill="1" applyBorder="1" applyAlignment="1">
      <alignment wrapText="1"/>
    </xf>
    <xf numFmtId="165" fontId="4" fillId="13" borderId="18" xfId="0" applyNumberFormat="1" applyFont="1" applyFill="1" applyBorder="1"/>
    <xf numFmtId="0" fontId="4" fillId="13" borderId="18" xfId="0" applyFont="1" applyFill="1" applyBorder="1" applyAlignment="1">
      <alignment vertical="center"/>
    </xf>
    <xf numFmtId="0" fontId="4" fillId="13" borderId="53" xfId="0" applyFont="1" applyFill="1" applyBorder="1" applyAlignment="1">
      <alignment vertical="center" wrapText="1"/>
    </xf>
    <xf numFmtId="1" fontId="8" fillId="13" borderId="67" xfId="0" applyNumberFormat="1" applyFont="1" applyFill="1" applyBorder="1" applyAlignment="1">
      <alignment horizontal="center"/>
    </xf>
    <xf numFmtId="2" fontId="4" fillId="13" borderId="53" xfId="0" applyNumberFormat="1" applyFont="1" applyFill="1" applyBorder="1" applyAlignment="1">
      <alignment vertical="center" wrapText="1"/>
    </xf>
    <xf numFmtId="0" fontId="0" fillId="13" borderId="53" xfId="0" applyFill="1" applyBorder="1"/>
    <xf numFmtId="9" fontId="4" fillId="13" borderId="18" xfId="0" applyNumberFormat="1" applyFont="1" applyFill="1" applyBorder="1"/>
    <xf numFmtId="0" fontId="4" fillId="13" borderId="18" xfId="0" applyFont="1" applyFill="1" applyBorder="1"/>
    <xf numFmtId="1" fontId="8" fillId="13" borderId="62" xfId="0" applyNumberFormat="1" applyFont="1" applyFill="1" applyBorder="1" applyAlignment="1">
      <alignment horizontal="center" vertical="center"/>
    </xf>
    <xf numFmtId="0" fontId="4" fillId="13" borderId="74" xfId="0" applyFont="1" applyFill="1" applyBorder="1"/>
    <xf numFmtId="0" fontId="0" fillId="13" borderId="56" xfId="0" applyFill="1" applyBorder="1"/>
    <xf numFmtId="0" fontId="4" fillId="13" borderId="13" xfId="0" applyFont="1" applyFill="1" applyBorder="1" applyAlignment="1">
      <alignment vertical="center" wrapText="1"/>
    </xf>
    <xf numFmtId="2" fontId="4" fillId="13" borderId="14" xfId="0" applyNumberFormat="1" applyFont="1" applyFill="1" applyBorder="1" applyAlignment="1">
      <alignment horizontal="center" vertical="center"/>
    </xf>
    <xf numFmtId="0" fontId="4" fillId="13" borderId="14" xfId="0" applyFont="1" applyFill="1" applyBorder="1" applyAlignment="1">
      <alignment wrapText="1"/>
    </xf>
    <xf numFmtId="0" fontId="4" fillId="13" borderId="16" xfId="0" quotePrefix="1" applyFont="1" applyFill="1" applyBorder="1" applyAlignment="1">
      <alignment wrapText="1"/>
    </xf>
    <xf numFmtId="0" fontId="4" fillId="13" borderId="16" xfId="0" applyFont="1" applyFill="1" applyBorder="1" applyAlignment="1">
      <alignment wrapText="1"/>
    </xf>
    <xf numFmtId="165" fontId="4" fillId="13" borderId="16" xfId="0" applyNumberFormat="1" applyFont="1" applyFill="1" applyBorder="1"/>
    <xf numFmtId="1" fontId="8" fillId="13" borderId="15" xfId="0" applyNumberFormat="1" applyFont="1" applyFill="1" applyBorder="1" applyAlignment="1">
      <alignment horizontal="center"/>
    </xf>
    <xf numFmtId="165" fontId="4" fillId="13" borderId="16" xfId="0" applyNumberFormat="1" applyFont="1" applyFill="1" applyBorder="1" applyAlignment="1">
      <alignment vertical="center"/>
    </xf>
    <xf numFmtId="1" fontId="8" fillId="13" borderId="19" xfId="0" applyNumberFormat="1" applyFont="1" applyFill="1" applyBorder="1" applyAlignment="1">
      <alignment horizontal="center" vertical="center"/>
    </xf>
    <xf numFmtId="9" fontId="4" fillId="13" borderId="20" xfId="0" applyNumberFormat="1" applyFont="1" applyFill="1" applyBorder="1"/>
    <xf numFmtId="0" fontId="4" fillId="13" borderId="20" xfId="0" applyFont="1" applyFill="1" applyBorder="1" applyAlignment="1">
      <alignment wrapText="1"/>
    </xf>
    <xf numFmtId="0" fontId="4" fillId="13" borderId="48" xfId="0" applyFont="1" applyFill="1" applyBorder="1" applyAlignment="1">
      <alignment vertical="center" wrapText="1"/>
    </xf>
    <xf numFmtId="2" fontId="4" fillId="13" borderId="75" xfId="0" applyNumberFormat="1" applyFont="1" applyFill="1" applyBorder="1" applyAlignment="1">
      <alignment horizontal="center" vertical="center"/>
    </xf>
    <xf numFmtId="0" fontId="4" fillId="13" borderId="65" xfId="0" applyFont="1" applyFill="1" applyBorder="1" applyAlignment="1">
      <alignment wrapText="1"/>
    </xf>
    <xf numFmtId="0" fontId="4" fillId="13" borderId="49" xfId="0" applyFont="1" applyFill="1" applyBorder="1" applyAlignment="1">
      <alignment horizontal="center" vertical="center" wrapText="1"/>
    </xf>
    <xf numFmtId="2" fontId="4" fillId="13" borderId="57" xfId="0" applyNumberFormat="1" applyFont="1" applyFill="1" applyBorder="1" applyAlignment="1">
      <alignment horizontal="center" vertical="center"/>
    </xf>
    <xf numFmtId="1" fontId="8" fillId="13" borderId="49" xfId="0" applyNumberFormat="1" applyFont="1" applyFill="1" applyBorder="1" applyAlignment="1">
      <alignment horizontal="center" vertical="center"/>
    </xf>
    <xf numFmtId="43" fontId="4" fillId="13" borderId="57" xfId="0" applyNumberFormat="1" applyFont="1" applyFill="1" applyBorder="1" applyAlignment="1">
      <alignment vertical="center"/>
    </xf>
    <xf numFmtId="1" fontId="4" fillId="13" borderId="58" xfId="0" applyNumberFormat="1" applyFont="1" applyFill="1" applyBorder="1"/>
    <xf numFmtId="43" fontId="4" fillId="13" borderId="58" xfId="0" applyNumberFormat="1" applyFont="1" applyFill="1" applyBorder="1" applyAlignment="1">
      <alignment vertical="center"/>
    </xf>
    <xf numFmtId="165" fontId="4" fillId="13" borderId="58" xfId="0" applyNumberFormat="1" applyFont="1" applyFill="1" applyBorder="1"/>
    <xf numFmtId="1" fontId="8" fillId="13" borderId="52" xfId="0" applyNumberFormat="1" applyFont="1" applyFill="1" applyBorder="1" applyAlignment="1">
      <alignment horizontal="center"/>
    </xf>
    <xf numFmtId="165" fontId="4" fillId="13" borderId="58" xfId="0" applyNumberFormat="1" applyFont="1" applyFill="1" applyBorder="1" applyAlignment="1">
      <alignment vertical="center"/>
    </xf>
    <xf numFmtId="165" fontId="11" fillId="13" borderId="58" xfId="0" applyNumberFormat="1" applyFont="1" applyFill="1" applyBorder="1"/>
    <xf numFmtId="9" fontId="4" fillId="13" borderId="58" xfId="0" applyNumberFormat="1" applyFont="1" applyFill="1" applyBorder="1"/>
    <xf numFmtId="1" fontId="8" fillId="13" borderId="54" xfId="0" applyNumberFormat="1" applyFont="1" applyFill="1" applyBorder="1" applyAlignment="1">
      <alignment horizontal="center" vertical="center"/>
    </xf>
    <xf numFmtId="43" fontId="4" fillId="13" borderId="59" xfId="0" applyNumberFormat="1" applyFont="1" applyFill="1" applyBorder="1"/>
    <xf numFmtId="0" fontId="4" fillId="13" borderId="39" xfId="0" applyFont="1" applyFill="1" applyBorder="1" applyAlignment="1">
      <alignment horizontal="center" vertical="center" wrapText="1"/>
    </xf>
    <xf numFmtId="2" fontId="4" fillId="13" borderId="41" xfId="0" applyNumberFormat="1" applyFont="1" applyFill="1" applyBorder="1" applyAlignment="1">
      <alignment horizontal="center" vertical="center"/>
    </xf>
    <xf numFmtId="0" fontId="4" fillId="13" borderId="40" xfId="0" applyFont="1" applyFill="1" applyBorder="1"/>
    <xf numFmtId="0" fontId="0" fillId="13" borderId="40" xfId="0" applyFill="1" applyBorder="1"/>
    <xf numFmtId="0" fontId="0" fillId="13" borderId="41" xfId="0" applyFill="1" applyBorder="1"/>
    <xf numFmtId="1" fontId="8" fillId="13" borderId="42" xfId="0" applyNumberFormat="1" applyFont="1" applyFill="1" applyBorder="1" applyAlignment="1">
      <alignment horizontal="center" vertical="center"/>
    </xf>
    <xf numFmtId="165" fontId="4" fillId="13" borderId="43" xfId="0" applyNumberFormat="1" applyFont="1" applyFill="1" applyBorder="1" applyAlignment="1">
      <alignment vertical="center"/>
    </xf>
    <xf numFmtId="0" fontId="4" fillId="13" borderId="6" xfId="0" quotePrefix="1" applyFont="1" applyFill="1" applyBorder="1"/>
    <xf numFmtId="0" fontId="0" fillId="13" borderId="6" xfId="0" applyFill="1" applyBorder="1"/>
    <xf numFmtId="0" fontId="0" fillId="13" borderId="43" xfId="0" applyFill="1" applyBorder="1"/>
    <xf numFmtId="1" fontId="4" fillId="13" borderId="43" xfId="0" applyNumberFormat="1" applyFont="1" applyFill="1" applyBorder="1"/>
    <xf numFmtId="0" fontId="4" fillId="13" borderId="6" xfId="0" applyFont="1" applyFill="1" applyBorder="1"/>
    <xf numFmtId="1" fontId="8" fillId="13" borderId="42" xfId="0" applyNumberFormat="1" applyFont="1" applyFill="1" applyBorder="1" applyAlignment="1">
      <alignment horizontal="center"/>
    </xf>
    <xf numFmtId="1" fontId="4" fillId="13" borderId="43" xfId="0" applyNumberFormat="1" applyFont="1" applyFill="1" applyBorder="1" applyAlignment="1">
      <alignment vertical="center"/>
    </xf>
    <xf numFmtId="1" fontId="8" fillId="13" borderId="44" xfId="0" applyNumberFormat="1" applyFont="1" applyFill="1" applyBorder="1" applyAlignment="1">
      <alignment horizontal="center" vertical="center"/>
    </xf>
    <xf numFmtId="1" fontId="4" fillId="13" borderId="46" xfId="0" applyNumberFormat="1" applyFont="1" applyFill="1" applyBorder="1"/>
    <xf numFmtId="0" fontId="4" fillId="13" borderId="45" xfId="0" applyFont="1" applyFill="1" applyBorder="1"/>
    <xf numFmtId="0" fontId="0" fillId="13" borderId="45" xfId="0" applyFill="1" applyBorder="1"/>
    <xf numFmtId="0" fontId="0" fillId="13" borderId="46" xfId="0" applyFill="1" applyBorder="1"/>
    <xf numFmtId="165" fontId="4" fillId="13" borderId="35" xfId="1" applyNumberFormat="1" applyFont="1" applyFill="1" applyBorder="1" applyAlignment="1">
      <alignment vertical="center"/>
    </xf>
    <xf numFmtId="165" fontId="4" fillId="13" borderId="31" xfId="1" applyNumberFormat="1" applyFont="1" applyFill="1" applyBorder="1"/>
    <xf numFmtId="165" fontId="4" fillId="13" borderId="35" xfId="1" applyNumberFormat="1" applyFont="1" applyFill="1" applyBorder="1"/>
    <xf numFmtId="0" fontId="5" fillId="7" borderId="5" xfId="0" applyFont="1" applyFill="1" applyBorder="1" applyAlignment="1">
      <alignment horizontal="right"/>
    </xf>
    <xf numFmtId="0" fontId="5" fillId="10" borderId="5" xfId="0" applyFont="1" applyFill="1" applyBorder="1"/>
    <xf numFmtId="0" fontId="17" fillId="10" borderId="5" xfId="0" applyFont="1" applyFill="1" applyBorder="1" applyAlignment="1">
      <alignment wrapText="1"/>
    </xf>
    <xf numFmtId="0" fontId="5" fillId="10" borderId="5" xfId="0" applyFont="1" applyFill="1" applyBorder="1" applyAlignment="1">
      <alignment horizontal="center" vertical="center" wrapText="1"/>
    </xf>
    <xf numFmtId="2" fontId="5" fillId="8" borderId="5" xfId="0" applyNumberFormat="1" applyFont="1" applyFill="1" applyBorder="1"/>
    <xf numFmtId="168" fontId="5" fillId="8" borderId="5" xfId="0" applyNumberFormat="1" applyFont="1" applyFill="1" applyBorder="1"/>
    <xf numFmtId="9" fontId="5" fillId="8" borderId="5" xfId="0" applyNumberFormat="1" applyFont="1" applyFill="1" applyBorder="1"/>
    <xf numFmtId="9" fontId="5" fillId="8" borderId="0" xfId="0" applyNumberFormat="1" applyFont="1" applyFill="1"/>
    <xf numFmtId="0" fontId="5" fillId="7" borderId="36" xfId="0" applyFont="1" applyFill="1" applyBorder="1" applyAlignment="1">
      <alignment horizontal="right"/>
    </xf>
    <xf numFmtId="0" fontId="5" fillId="7" borderId="47" xfId="0" applyFont="1" applyFill="1" applyBorder="1" applyAlignment="1">
      <alignment horizontal="right"/>
    </xf>
    <xf numFmtId="0" fontId="5" fillId="7" borderId="57" xfId="0" applyFont="1" applyFill="1" applyBorder="1" applyAlignment="1">
      <alignment horizontal="right"/>
    </xf>
    <xf numFmtId="9" fontId="5" fillId="8" borderId="6" xfId="0" applyNumberFormat="1" applyFont="1" applyFill="1" applyBorder="1"/>
    <xf numFmtId="0" fontId="0" fillId="10" borderId="48" xfId="0" applyFill="1" applyBorder="1"/>
    <xf numFmtId="0" fontId="5" fillId="10" borderId="76" xfId="0" applyFont="1" applyFill="1" applyBorder="1" applyAlignment="1">
      <alignment horizontal="right"/>
    </xf>
    <xf numFmtId="9" fontId="5" fillId="10" borderId="76" xfId="0" applyNumberFormat="1" applyFont="1" applyFill="1" applyBorder="1"/>
    <xf numFmtId="9" fontId="5" fillId="10" borderId="65" xfId="0" applyNumberFormat="1" applyFont="1" applyFill="1" applyBorder="1"/>
    <xf numFmtId="9" fontId="5" fillId="8" borderId="47" xfId="0" applyNumberFormat="1" applyFont="1" applyFill="1" applyBorder="1"/>
    <xf numFmtId="9" fontId="5" fillId="8" borderId="36" xfId="0" applyNumberFormat="1" applyFont="1" applyFill="1" applyBorder="1"/>
    <xf numFmtId="0" fontId="5" fillId="7" borderId="5" xfId="0" applyFont="1" applyFill="1" applyBorder="1"/>
    <xf numFmtId="0" fontId="9" fillId="13" borderId="0" xfId="0" applyFont="1" applyFill="1" applyAlignment="1">
      <alignment horizontal="center" vertical="center" wrapText="1"/>
    </xf>
    <xf numFmtId="9" fontId="4" fillId="13" borderId="0" xfId="0" applyNumberFormat="1" applyFont="1" applyFill="1" applyAlignment="1">
      <alignment horizontal="center"/>
    </xf>
    <xf numFmtId="10" fontId="4" fillId="13" borderId="0" xfId="0" applyNumberFormat="1" applyFont="1" applyFill="1"/>
    <xf numFmtId="9" fontId="4" fillId="13" borderId="0" xfId="0" applyNumberFormat="1" applyFont="1" applyFill="1"/>
    <xf numFmtId="9" fontId="7" fillId="13" borderId="0" xfId="0" applyNumberFormat="1" applyFont="1" applyFill="1"/>
    <xf numFmtId="1" fontId="4" fillId="13" borderId="0" xfId="0" applyNumberFormat="1" applyFont="1" applyFill="1"/>
    <xf numFmtId="168" fontId="4" fillId="13" borderId="0" xfId="0" applyNumberFormat="1" applyFont="1" applyFill="1"/>
    <xf numFmtId="0" fontId="26" fillId="10" borderId="0" xfId="0" applyFont="1" applyFill="1"/>
    <xf numFmtId="9" fontId="6" fillId="4" borderId="47" xfId="2" applyFont="1" applyFill="1" applyBorder="1" applyAlignment="1">
      <alignment vertical="center"/>
    </xf>
    <xf numFmtId="0" fontId="2" fillId="0" borderId="0" xfId="0" applyFont="1"/>
    <xf numFmtId="3" fontId="6" fillId="8" borderId="47" xfId="0" applyNumberFormat="1" applyFont="1" applyFill="1" applyBorder="1"/>
    <xf numFmtId="3" fontId="5" fillId="11" borderId="62" xfId="0" applyNumberFormat="1" applyFont="1" applyFill="1" applyBorder="1" applyAlignment="1">
      <alignment vertical="center"/>
    </xf>
    <xf numFmtId="0" fontId="4" fillId="0" borderId="0" xfId="0" applyFont="1" applyAlignment="1">
      <alignment horizontal="right" vertical="center" wrapText="1"/>
    </xf>
    <xf numFmtId="1" fontId="0" fillId="0" borderId="0" xfId="0" applyNumberFormat="1" applyAlignment="1">
      <alignment horizontal="right"/>
    </xf>
    <xf numFmtId="1" fontId="4" fillId="0" borderId="0" xfId="0" applyNumberFormat="1" applyFont="1" applyAlignment="1">
      <alignment horizontal="right" vertical="center"/>
    </xf>
    <xf numFmtId="4" fontId="5" fillId="14" borderId="34" xfId="0" applyNumberFormat="1" applyFont="1" applyFill="1" applyBorder="1"/>
    <xf numFmtId="166" fontId="4" fillId="0" borderId="0" xfId="0" applyNumberFormat="1" applyFont="1" applyAlignment="1">
      <alignment vertical="center"/>
    </xf>
    <xf numFmtId="1" fontId="8" fillId="8" borderId="15" xfId="0" applyNumberFormat="1" applyFont="1" applyFill="1" applyBorder="1" applyAlignment="1">
      <alignment horizontal="center" vertical="center"/>
    </xf>
    <xf numFmtId="43" fontId="4" fillId="8" borderId="6" xfId="0" applyNumberFormat="1" applyFont="1" applyFill="1" applyBorder="1" applyAlignment="1">
      <alignment vertical="center"/>
    </xf>
    <xf numFmtId="0" fontId="4" fillId="8" borderId="47" xfId="0" applyFont="1" applyFill="1" applyBorder="1" applyAlignment="1">
      <alignment wrapText="1"/>
    </xf>
    <xf numFmtId="0" fontId="11" fillId="0" borderId="0" xfId="0" applyFont="1" applyAlignment="1">
      <alignment vertical="center"/>
    </xf>
    <xf numFmtId="1" fontId="11" fillId="13" borderId="5" xfId="0" applyNumberFormat="1" applyFont="1" applyFill="1" applyBorder="1"/>
    <xf numFmtId="39" fontId="11" fillId="13" borderId="16" xfId="0" applyNumberFormat="1" applyFont="1" applyFill="1" applyBorder="1"/>
    <xf numFmtId="0" fontId="5" fillId="15" borderId="47" xfId="0" applyFont="1" applyFill="1" applyBorder="1" applyAlignment="1">
      <alignment horizontal="right" vertical="center" wrapText="1"/>
    </xf>
    <xf numFmtId="166" fontId="5" fillId="15" borderId="47" xfId="0" applyNumberFormat="1" applyFont="1" applyFill="1" applyBorder="1" applyAlignment="1">
      <alignment vertical="center" wrapText="1"/>
    </xf>
    <xf numFmtId="166" fontId="4" fillId="15" borderId="47" xfId="2" applyNumberFormat="1" applyFont="1" applyFill="1" applyBorder="1"/>
    <xf numFmtId="0" fontId="7" fillId="15" borderId="67" xfId="0" applyFont="1" applyFill="1" applyBorder="1" applyAlignment="1">
      <alignment vertical="center" wrapText="1"/>
    </xf>
    <xf numFmtId="166" fontId="7" fillId="15" borderId="5" xfId="0" applyNumberFormat="1" applyFont="1" applyFill="1" applyBorder="1" applyAlignment="1">
      <alignment vertical="center" wrapText="1"/>
    </xf>
    <xf numFmtId="166" fontId="4" fillId="15" borderId="53" xfId="2" applyNumberFormat="1" applyFont="1" applyFill="1" applyBorder="1"/>
    <xf numFmtId="0" fontId="7" fillId="15" borderId="5" xfId="0" applyFont="1" applyFill="1" applyBorder="1" applyAlignment="1">
      <alignment horizontal="right" vertical="center" wrapText="1"/>
    </xf>
    <xf numFmtId="10" fontId="7" fillId="15" borderId="5" xfId="0" applyNumberFormat="1" applyFont="1" applyFill="1" applyBorder="1" applyAlignment="1">
      <alignment vertical="center" wrapText="1"/>
    </xf>
    <xf numFmtId="166" fontId="4" fillId="15" borderId="0" xfId="2" applyNumberFormat="1" applyFont="1" applyFill="1" applyAlignment="1">
      <alignment vertical="center"/>
    </xf>
    <xf numFmtId="166" fontId="7" fillId="15" borderId="5" xfId="2" applyNumberFormat="1" applyFont="1" applyFill="1" applyBorder="1" applyAlignment="1">
      <alignment vertical="center"/>
    </xf>
    <xf numFmtId="166" fontId="4" fillId="15" borderId="0" xfId="2" applyNumberFormat="1" applyFont="1" applyFill="1"/>
    <xf numFmtId="175" fontId="4" fillId="13" borderId="35" xfId="0" applyNumberFormat="1" applyFont="1" applyFill="1" applyBorder="1" applyAlignment="1">
      <alignment vertical="center"/>
    </xf>
    <xf numFmtId="43" fontId="4" fillId="13" borderId="35" xfId="0" applyNumberFormat="1" applyFont="1" applyFill="1" applyBorder="1" applyAlignment="1">
      <alignment vertical="center"/>
    </xf>
    <xf numFmtId="1" fontId="8" fillId="5" borderId="1" xfId="0" applyNumberFormat="1" applyFont="1" applyFill="1" applyBorder="1" applyAlignment="1">
      <alignment horizontal="center" vertical="center"/>
    </xf>
    <xf numFmtId="165" fontId="36" fillId="5" borderId="5" xfId="0" applyNumberFormat="1" applyFont="1" applyFill="1" applyBorder="1" applyAlignment="1">
      <alignment horizontal="right" vertical="center"/>
    </xf>
    <xf numFmtId="0" fontId="1" fillId="0" borderId="0" xfId="0" applyFont="1"/>
    <xf numFmtId="0" fontId="1" fillId="0" borderId="0" xfId="0" applyFont="1" applyAlignment="1">
      <alignment wrapText="1"/>
    </xf>
    <xf numFmtId="0" fontId="4" fillId="7" borderId="36" xfId="0" applyFont="1" applyFill="1" applyBorder="1" applyAlignment="1">
      <alignment horizontal="center" vertical="center" wrapText="1"/>
    </xf>
    <xf numFmtId="0" fontId="4" fillId="7" borderId="30" xfId="0" applyFont="1" applyFill="1" applyBorder="1" applyAlignment="1">
      <alignment horizontal="center" vertical="center" wrapText="1"/>
    </xf>
    <xf numFmtId="0" fontId="4" fillId="7" borderId="37" xfId="0" applyFont="1" applyFill="1" applyBorder="1" applyAlignment="1">
      <alignment horizontal="center" vertical="center" wrapText="1"/>
    </xf>
    <xf numFmtId="0" fontId="4" fillId="0" borderId="0" xfId="0" applyFont="1" applyAlignment="1">
      <alignment vertical="center" wrapText="1"/>
    </xf>
    <xf numFmtId="0" fontId="0" fillId="0" borderId="0" xfId="0"/>
    <xf numFmtId="0" fontId="9" fillId="7" borderId="4" xfId="0" applyFont="1" applyFill="1" applyBorder="1" applyAlignment="1">
      <alignment horizontal="center" vertical="center" wrapText="1"/>
    </xf>
    <xf numFmtId="0" fontId="9" fillId="7" borderId="6" xfId="0" applyFont="1" applyFill="1" applyBorder="1" applyAlignment="1">
      <alignment horizontal="center" vertical="center" wrapText="1"/>
    </xf>
    <xf numFmtId="0" fontId="11" fillId="7" borderId="31" xfId="0" applyFont="1" applyFill="1" applyBorder="1" applyAlignment="1">
      <alignment horizontal="center" vertical="center" wrapText="1"/>
    </xf>
    <xf numFmtId="0" fontId="9" fillId="7" borderId="21" xfId="0" applyFont="1" applyFill="1" applyBorder="1" applyAlignment="1">
      <alignment horizontal="center"/>
    </xf>
    <xf numFmtId="0" fontId="9" fillId="7" borderId="22" xfId="0" applyFont="1" applyFill="1" applyBorder="1" applyAlignment="1">
      <alignment horizontal="center"/>
    </xf>
    <xf numFmtId="0" fontId="9" fillId="7" borderId="23" xfId="0" applyFont="1" applyFill="1" applyBorder="1" applyAlignment="1">
      <alignment horizontal="center"/>
    </xf>
    <xf numFmtId="169" fontId="11" fillId="7" borderId="6" xfId="0" applyNumberFormat="1" applyFont="1" applyFill="1" applyBorder="1" applyAlignment="1">
      <alignment horizontal="center" vertical="center" wrapText="1"/>
    </xf>
    <xf numFmtId="2" fontId="4" fillId="0" borderId="0" xfId="0" applyNumberFormat="1" applyFont="1" applyAlignment="1">
      <alignment horizontal="left"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C808A8"/>
      <color rgb="FFBC14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2.6907506508189835E-2</c:v>
                </c:pt>
                <c:pt idx="1">
                  <c:v>0.39229696152019489</c:v>
                </c:pt>
                <c:pt idx="2">
                  <c:v>1.1072721080584722</c:v>
                </c:pt>
                <c:pt idx="3">
                  <c:v>1.2591311028661178E-2</c:v>
                </c:pt>
                <c:pt idx="4">
                  <c:v>9.103408325007234E-2</c:v>
                </c:pt>
                <c:pt idx="5">
                  <c:v>1.9916189898667516E-2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0.11495162250823547</c:v>
                </c:pt>
                <c:pt idx="1">
                  <c:v>6.0623427059892848E-2</c:v>
                </c:pt>
                <c:pt idx="2">
                  <c:v>1.1058282726758363E-2</c:v>
                </c:pt>
                <c:pt idx="3">
                  <c:v>1.0411717478534874E-2</c:v>
                </c:pt>
                <c:pt idx="4">
                  <c:v>0.50725949703923867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0.17589290733526849</c:v>
                </c:pt>
                <c:pt idx="1">
                  <c:v>0.52841163947739167</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14.451400521660728</c:v>
                </c:pt>
                <c:pt idx="1">
                  <c:v>43.414418228016963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defaultColWidth="10.90625" defaultRowHeight="14.75" x14ac:dyDescent="0.75"/>
  <sheetData>
    <row r="1" spans="1:2" s="137" customFormat="1" ht="16" x14ac:dyDescent="0.8"/>
    <row r="2" spans="1:2" s="137" customFormat="1" ht="16" x14ac:dyDescent="0.8">
      <c r="A2" s="137" t="s">
        <v>472</v>
      </c>
    </row>
    <row r="3" spans="1:2" s="137" customFormat="1" ht="16" x14ac:dyDescent="0.8">
      <c r="B3" s="136" t="s">
        <v>473</v>
      </c>
    </row>
    <row r="4" spans="1:2" s="137" customFormat="1" ht="16" x14ac:dyDescent="0.8">
      <c r="B4" s="137" t="s">
        <v>474</v>
      </c>
    </row>
    <row r="5" spans="1:2" s="137" customFormat="1" ht="16" x14ac:dyDescent="0.8"/>
    <row r="6" spans="1:2" s="137" customFormat="1" ht="16" x14ac:dyDescent="0.8">
      <c r="B6" s="136" t="s">
        <v>475</v>
      </c>
    </row>
    <row r="7" spans="1:2" s="137" customFormat="1" ht="16" x14ac:dyDescent="0.8">
      <c r="B7" s="137" t="s">
        <v>476</v>
      </c>
    </row>
    <row r="8" spans="1:2" s="137" customFormat="1" ht="16" x14ac:dyDescent="0.8"/>
    <row r="9" spans="1:2" s="137" customFormat="1" ht="16" x14ac:dyDescent="0.8">
      <c r="B9" s="137" t="s">
        <v>477</v>
      </c>
    </row>
    <row r="10" spans="1:2" s="137" customFormat="1" ht="16" x14ac:dyDescent="0.8"/>
    <row r="11" spans="1:2" s="137" customFormat="1" ht="16" x14ac:dyDescent="0.8"/>
    <row r="12" spans="1:2" s="137" customFormat="1" ht="16" x14ac:dyDescent="0.8"/>
    <row r="13" spans="1:2" s="137" customFormat="1" ht="16" x14ac:dyDescent="0.8">
      <c r="A13" s="455" t="s">
        <v>528</v>
      </c>
    </row>
    <row r="14" spans="1:2" s="137" customFormat="1" ht="16" x14ac:dyDescent="0.8">
      <c r="B14" s="455" t="s">
        <v>529</v>
      </c>
    </row>
    <row r="15" spans="1:2" s="137" customFormat="1" ht="16" x14ac:dyDescent="0.8">
      <c r="B15" s="455" t="s">
        <v>530</v>
      </c>
    </row>
    <row r="16" spans="1:2" s="137" customFormat="1" ht="16" x14ac:dyDescent="0.8">
      <c r="B16" s="455" t="s">
        <v>531</v>
      </c>
    </row>
    <row r="17" spans="2:2" s="137" customFormat="1" ht="16" x14ac:dyDescent="0.8">
      <c r="B17" s="455" t="s">
        <v>532</v>
      </c>
    </row>
    <row r="18" spans="2:2" s="137" customFormat="1" ht="16" x14ac:dyDescent="0.8"/>
    <row r="19" spans="2:2" s="137" customFormat="1" ht="16" x14ac:dyDescent="0.8"/>
    <row r="20" spans="2:2" s="137" customFormat="1" ht="16" x14ac:dyDescent="0.8"/>
    <row r="21" spans="2:2" s="137" customFormat="1" ht="16" x14ac:dyDescent="0.8"/>
    <row r="22" spans="2:2" s="137" customFormat="1" ht="16" x14ac:dyDescent="0.8"/>
    <row r="23" spans="2:2" s="137" customFormat="1" ht="16" x14ac:dyDescent="0.8"/>
    <row r="24" spans="2:2" s="137" customFormat="1" ht="16" x14ac:dyDescent="0.8"/>
    <row r="25" spans="2:2" s="137" customFormat="1" ht="16" x14ac:dyDescent="0.8"/>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0"/>
  <sheetViews>
    <sheetView topLeftCell="A29" zoomScale="102" zoomScaleNormal="102" workbookViewId="0">
      <selection activeCell="D41" sqref="D41"/>
    </sheetView>
  </sheetViews>
  <sheetFormatPr defaultColWidth="14.5" defaultRowHeight="15" customHeight="1" x14ac:dyDescent="0.75"/>
  <cols>
    <col min="1" max="1" width="3.1796875" customWidth="1"/>
    <col min="2" max="2" width="86.5" customWidth="1"/>
    <col min="3" max="3" width="20.81640625" customWidth="1"/>
    <col min="4" max="4" width="27.5" customWidth="1"/>
    <col min="5" max="7" width="8.81640625" customWidth="1"/>
    <col min="8" max="8" width="85.31640625" customWidth="1"/>
  </cols>
  <sheetData>
    <row r="1" spans="1:8" ht="14.25" customHeight="1" x14ac:dyDescent="0.75">
      <c r="B1" s="1" t="s">
        <v>462</v>
      </c>
      <c r="C1" s="127" t="s">
        <v>518</v>
      </c>
    </row>
    <row r="2" spans="1:8" ht="14.25" customHeight="1" x14ac:dyDescent="0.75">
      <c r="A2" s="102"/>
      <c r="B2" s="133" t="s">
        <v>0</v>
      </c>
      <c r="C2" s="145" t="s">
        <v>1</v>
      </c>
      <c r="D2" s="146" t="s">
        <v>2</v>
      </c>
      <c r="E2" s="146" t="s">
        <v>3</v>
      </c>
      <c r="F2" s="146" t="s">
        <v>4</v>
      </c>
      <c r="G2" s="147" t="s">
        <v>5</v>
      </c>
      <c r="H2" s="194" t="s">
        <v>6</v>
      </c>
    </row>
    <row r="3" spans="1:8" ht="14.25" customHeight="1" x14ac:dyDescent="0.75">
      <c r="A3" s="102"/>
      <c r="B3" s="187" t="s">
        <v>478</v>
      </c>
      <c r="C3" s="131">
        <v>200</v>
      </c>
      <c r="D3" s="181" t="s">
        <v>7</v>
      </c>
      <c r="E3" s="128">
        <v>32850</v>
      </c>
      <c r="F3" s="128">
        <v>32850</v>
      </c>
      <c r="G3" s="128">
        <v>1</v>
      </c>
      <c r="H3" s="195" t="s">
        <v>470</v>
      </c>
    </row>
    <row r="4" spans="1:8" ht="14.25" customHeight="1" x14ac:dyDescent="0.75">
      <c r="A4" s="102"/>
      <c r="B4" s="187" t="s">
        <v>9</v>
      </c>
      <c r="C4" s="132">
        <v>1.98</v>
      </c>
      <c r="D4" s="181" t="s">
        <v>10</v>
      </c>
      <c r="E4" s="128">
        <v>1</v>
      </c>
      <c r="F4" s="128">
        <v>8</v>
      </c>
      <c r="G4" s="128">
        <v>1</v>
      </c>
      <c r="H4" s="196"/>
    </row>
    <row r="5" spans="1:8" ht="14.25" customHeight="1" x14ac:dyDescent="0.75">
      <c r="A5" s="102"/>
      <c r="B5" s="187" t="s">
        <v>11</v>
      </c>
      <c r="C5" s="132">
        <v>1.93</v>
      </c>
      <c r="D5" s="181" t="s">
        <v>12</v>
      </c>
      <c r="E5" s="128">
        <v>0</v>
      </c>
      <c r="F5" s="128">
        <v>9</v>
      </c>
      <c r="G5" s="128">
        <v>1</v>
      </c>
      <c r="H5" s="196"/>
    </row>
    <row r="6" spans="1:8" ht="14.25" customHeight="1" x14ac:dyDescent="0.75">
      <c r="A6" s="102"/>
      <c r="B6" s="187" t="s">
        <v>551</v>
      </c>
      <c r="C6" s="132">
        <f>63.7353441051591+0.7</f>
        <v>64.435344105159103</v>
      </c>
      <c r="D6" s="181" t="s">
        <v>13</v>
      </c>
      <c r="E6" s="128">
        <v>0</v>
      </c>
      <c r="F6" s="128">
        <v>150</v>
      </c>
      <c r="G6" s="128">
        <v>1</v>
      </c>
      <c r="H6" s="196"/>
    </row>
    <row r="7" spans="1:8" ht="14.25" customHeight="1" x14ac:dyDescent="0.75">
      <c r="A7" s="102"/>
      <c r="B7" s="188" t="s">
        <v>14</v>
      </c>
      <c r="C7" s="193">
        <v>15000</v>
      </c>
      <c r="D7" s="185" t="s">
        <v>15</v>
      </c>
      <c r="E7" s="128">
        <v>32000</v>
      </c>
      <c r="F7" s="128">
        <v>32000</v>
      </c>
      <c r="G7" s="128">
        <v>1</v>
      </c>
      <c r="H7" s="197"/>
    </row>
    <row r="8" spans="1:8" ht="14.25" customHeight="1" x14ac:dyDescent="0.75">
      <c r="A8" s="102"/>
      <c r="B8" s="129"/>
      <c r="C8" s="192"/>
      <c r="D8" s="102"/>
      <c r="E8" s="102"/>
      <c r="F8" s="102"/>
      <c r="G8" s="102"/>
      <c r="H8" s="149"/>
    </row>
    <row r="9" spans="1:8" ht="14.25" customHeight="1" x14ac:dyDescent="0.75">
      <c r="A9" s="102"/>
      <c r="B9" s="129"/>
      <c r="C9" s="7"/>
    </row>
    <row r="10" spans="1:8" ht="14.25" customHeight="1" x14ac:dyDescent="0.75">
      <c r="A10" s="102"/>
      <c r="B10" s="135" t="s">
        <v>16</v>
      </c>
      <c r="C10" s="127" t="s">
        <v>518</v>
      </c>
    </row>
    <row r="11" spans="1:8" ht="14.25" customHeight="1" x14ac:dyDescent="0.75">
      <c r="A11" s="102"/>
      <c r="B11" s="133" t="s">
        <v>0</v>
      </c>
      <c r="C11" s="130" t="s">
        <v>1</v>
      </c>
      <c r="D11" s="2" t="s">
        <v>2</v>
      </c>
      <c r="E11" s="2" t="s">
        <v>3</v>
      </c>
      <c r="F11" s="2" t="s">
        <v>4</v>
      </c>
      <c r="G11" s="3" t="s">
        <v>5</v>
      </c>
      <c r="H11" s="4" t="s">
        <v>6</v>
      </c>
    </row>
    <row r="12" spans="1:8" ht="14.25" customHeight="1" x14ac:dyDescent="0.75">
      <c r="A12" s="102"/>
      <c r="B12" s="190" t="s">
        <v>19</v>
      </c>
      <c r="C12" s="134">
        <v>7.3841637480764257</v>
      </c>
      <c r="D12" s="181" t="s">
        <v>20</v>
      </c>
      <c r="E12" s="128">
        <v>0</v>
      </c>
      <c r="F12" s="128">
        <v>236</v>
      </c>
      <c r="G12" s="128">
        <v>0.1</v>
      </c>
      <c r="H12" s="8" t="s">
        <v>21</v>
      </c>
    </row>
    <row r="13" spans="1:8" ht="14.25" customHeight="1" x14ac:dyDescent="0.75">
      <c r="A13" s="102"/>
      <c r="B13" s="190" t="s">
        <v>22</v>
      </c>
      <c r="C13" s="134">
        <v>28.652140479743501</v>
      </c>
      <c r="D13" s="181" t="s">
        <v>23</v>
      </c>
      <c r="E13" s="128">
        <v>0</v>
      </c>
      <c r="F13" s="128">
        <v>694</v>
      </c>
      <c r="G13" s="128">
        <v>0.1</v>
      </c>
      <c r="H13" s="8"/>
    </row>
    <row r="14" spans="1:8" ht="14.25" customHeight="1" x14ac:dyDescent="0.75">
      <c r="A14" s="102"/>
      <c r="B14" s="190" t="s">
        <v>24</v>
      </c>
      <c r="C14" s="134">
        <v>3.1687435047794485</v>
      </c>
      <c r="D14" s="181" t="s">
        <v>25</v>
      </c>
      <c r="E14" s="128">
        <v>0</v>
      </c>
      <c r="F14" s="128">
        <v>536</v>
      </c>
      <c r="G14" s="128">
        <v>0.1</v>
      </c>
      <c r="H14" s="8"/>
    </row>
    <row r="15" spans="1:8" ht="14.25" customHeight="1" x14ac:dyDescent="0.75">
      <c r="A15" s="102"/>
      <c r="B15" s="190" t="s">
        <v>550</v>
      </c>
      <c r="C15" s="134">
        <f>0.777461668931897+30.1664016884723</f>
        <v>30.943863357404194</v>
      </c>
      <c r="D15" s="181" t="s">
        <v>26</v>
      </c>
      <c r="E15" s="128">
        <v>0</v>
      </c>
      <c r="F15" s="128">
        <v>225</v>
      </c>
      <c r="G15" s="128">
        <v>0.1</v>
      </c>
      <c r="H15" s="8"/>
    </row>
    <row r="16" spans="1:8" ht="14.25" customHeight="1" x14ac:dyDescent="0.75">
      <c r="A16" s="102"/>
      <c r="B16" s="191" t="s">
        <v>549</v>
      </c>
      <c r="C16" s="134">
        <v>2.03453436213031</v>
      </c>
      <c r="D16" s="189" t="s">
        <v>27</v>
      </c>
      <c r="E16" s="128">
        <v>0</v>
      </c>
      <c r="F16" s="128">
        <v>962</v>
      </c>
      <c r="G16" s="128">
        <v>0.1</v>
      </c>
      <c r="H16" s="9"/>
    </row>
    <row r="17" spans="1:8" ht="14.25" customHeight="1" x14ac:dyDescent="0.75">
      <c r="A17" s="102"/>
      <c r="B17" s="191" t="s">
        <v>542</v>
      </c>
      <c r="C17" s="461">
        <v>6.9131266882518796</v>
      </c>
      <c r="D17" s="189" t="s">
        <v>17</v>
      </c>
      <c r="E17" s="128">
        <v>0</v>
      </c>
      <c r="F17" s="128">
        <v>1145</v>
      </c>
      <c r="G17" s="128">
        <v>0.1</v>
      </c>
      <c r="H17" s="1" t="s">
        <v>18</v>
      </c>
    </row>
    <row r="18" spans="1:8" ht="14.25" customHeight="1" x14ac:dyDescent="0.75"/>
    <row r="19" spans="1:8" ht="14.25" customHeight="1" x14ac:dyDescent="0.75">
      <c r="B19" s="458" t="s">
        <v>539</v>
      </c>
      <c r="C19" s="459">
        <f>C17*(C3+C7)</f>
        <v>105079.52566142858</v>
      </c>
    </row>
    <row r="20" spans="1:8" ht="14.25" customHeight="1" x14ac:dyDescent="0.75">
      <c r="B20" s="11"/>
      <c r="C20" s="460">
        <f>NatParkPA!C6</f>
        <v>112627.02326260571</v>
      </c>
      <c r="D20" s="1" t="str">
        <f>IF(ABS(C19-C20)&lt;10, "ok equal", "not equal")</f>
        <v>not equal</v>
      </c>
    </row>
    <row r="21" spans="1:8" ht="14.25" customHeight="1" x14ac:dyDescent="0.75">
      <c r="B21" s="11"/>
      <c r="C21" s="12"/>
      <c r="D21" s="1"/>
    </row>
    <row r="22" spans="1:8" ht="14.25" customHeight="1" x14ac:dyDescent="0.75">
      <c r="C22" s="12"/>
      <c r="D22" s="1"/>
    </row>
    <row r="23" spans="1:8" ht="14.25" customHeight="1" thickBot="1" x14ac:dyDescent="0.9">
      <c r="B23" s="11" t="s">
        <v>471</v>
      </c>
      <c r="C23" s="12"/>
      <c r="D23" s="1"/>
    </row>
    <row r="24" spans="1:8" ht="14.25" customHeight="1" x14ac:dyDescent="0.75">
      <c r="B24" s="405" t="s">
        <v>28</v>
      </c>
      <c r="C24" s="406" t="s">
        <v>29</v>
      </c>
      <c r="D24" s="407"/>
      <c r="E24" s="408"/>
      <c r="F24" s="408"/>
      <c r="G24" s="408"/>
      <c r="H24" s="409"/>
    </row>
    <row r="25" spans="1:8" ht="14.25" customHeight="1" x14ac:dyDescent="0.75">
      <c r="B25" s="410" t="s">
        <v>30</v>
      </c>
      <c r="C25" s="411">
        <v>0</v>
      </c>
      <c r="D25" s="412" t="s">
        <v>31</v>
      </c>
      <c r="E25" s="413"/>
      <c r="F25" s="413"/>
      <c r="G25" s="413"/>
      <c r="H25" s="414"/>
    </row>
    <row r="26" spans="1:8" ht="14.25" customHeight="1" x14ac:dyDescent="0.75">
      <c r="B26" s="410" t="s">
        <v>32</v>
      </c>
      <c r="C26" s="415">
        <f>($C$7+$C$4*$C$3)*SUM($C$13:$C$14)</f>
        <v>489914.32982571534</v>
      </c>
      <c r="D26" s="416" t="s">
        <v>33</v>
      </c>
      <c r="E26" s="413"/>
      <c r="F26" s="413"/>
      <c r="G26" s="413"/>
      <c r="H26" s="414"/>
    </row>
    <row r="27" spans="1:8" ht="14.25" customHeight="1" x14ac:dyDescent="0.75">
      <c r="B27" s="410" t="s">
        <v>34</v>
      </c>
      <c r="C27" s="415">
        <f>($C$7+$C$4*$C$3)*SUM($C$15:$C$16)</f>
        <v>507735.41128995328</v>
      </c>
      <c r="D27" s="412" t="s">
        <v>35</v>
      </c>
      <c r="E27" s="413"/>
      <c r="F27" s="413"/>
      <c r="G27" s="413"/>
      <c r="H27" s="414"/>
    </row>
    <row r="28" spans="1:8" ht="14.25" customHeight="1" x14ac:dyDescent="0.75">
      <c r="B28" s="410" t="s">
        <v>36</v>
      </c>
      <c r="C28" s="415">
        <v>0</v>
      </c>
      <c r="D28" s="416" t="s">
        <v>37</v>
      </c>
      <c r="E28" s="413"/>
      <c r="F28" s="413"/>
      <c r="G28" s="413"/>
      <c r="H28" s="414"/>
    </row>
    <row r="29" spans="1:8" ht="14.25" customHeight="1" x14ac:dyDescent="0.75">
      <c r="B29" s="410" t="s">
        <v>38</v>
      </c>
      <c r="C29" s="415">
        <v>0</v>
      </c>
      <c r="D29" s="412" t="s">
        <v>39</v>
      </c>
      <c r="E29" s="413"/>
      <c r="F29" s="413"/>
      <c r="G29" s="413"/>
      <c r="H29" s="414"/>
    </row>
    <row r="30" spans="1:8" ht="15.75" customHeight="1" x14ac:dyDescent="0.75">
      <c r="B30" s="410" t="s">
        <v>40</v>
      </c>
      <c r="C30" s="415">
        <v>0</v>
      </c>
      <c r="D30" s="412" t="s">
        <v>39</v>
      </c>
      <c r="E30" s="413"/>
      <c r="F30" s="413"/>
      <c r="G30" s="413"/>
      <c r="H30" s="414"/>
    </row>
    <row r="31" spans="1:8" ht="15.75" customHeight="1" x14ac:dyDescent="0.75">
      <c r="B31" s="410" t="s">
        <v>41</v>
      </c>
      <c r="C31" s="415">
        <v>0</v>
      </c>
      <c r="D31" s="412" t="s">
        <v>39</v>
      </c>
      <c r="E31" s="413"/>
      <c r="F31" s="413"/>
      <c r="G31" s="413"/>
      <c r="H31" s="414"/>
    </row>
    <row r="32" spans="1:8" ht="15.75" customHeight="1" x14ac:dyDescent="0.75">
      <c r="B32" s="410" t="s">
        <v>42</v>
      </c>
      <c r="C32" s="415">
        <v>0</v>
      </c>
      <c r="D32" s="412" t="s">
        <v>39</v>
      </c>
      <c r="E32" s="413"/>
      <c r="F32" s="413"/>
      <c r="G32" s="413"/>
      <c r="H32" s="414"/>
    </row>
    <row r="33" spans="2:8" ht="15.75" customHeight="1" x14ac:dyDescent="0.75">
      <c r="B33" s="410" t="s">
        <v>43</v>
      </c>
      <c r="C33" s="415">
        <v>0</v>
      </c>
      <c r="D33" s="416" t="s">
        <v>44</v>
      </c>
      <c r="E33" s="413"/>
      <c r="F33" s="413"/>
      <c r="G33" s="413"/>
      <c r="H33" s="414"/>
    </row>
    <row r="34" spans="2:8" ht="14.25" customHeight="1" x14ac:dyDescent="0.75">
      <c r="B34" s="410" t="s">
        <v>45</v>
      </c>
      <c r="C34" s="415">
        <v>0</v>
      </c>
      <c r="D34" s="416" t="s">
        <v>46</v>
      </c>
      <c r="E34" s="413"/>
      <c r="F34" s="413"/>
      <c r="G34" s="413"/>
      <c r="H34" s="414"/>
    </row>
    <row r="35" spans="2:8" ht="14.25" customHeight="1" x14ac:dyDescent="0.75">
      <c r="B35" s="410" t="s">
        <v>47</v>
      </c>
      <c r="C35" s="415">
        <v>0</v>
      </c>
      <c r="D35" s="416" t="s">
        <v>46</v>
      </c>
      <c r="E35" s="413"/>
      <c r="F35" s="413"/>
      <c r="G35" s="413"/>
      <c r="H35" s="414"/>
    </row>
    <row r="36" spans="2:8" ht="14.25" customHeight="1" x14ac:dyDescent="0.75">
      <c r="B36" s="410" t="s">
        <v>48</v>
      </c>
      <c r="C36" s="415">
        <f>(C7+C4*C3)*$C$12</f>
        <v>113686.58506538466</v>
      </c>
      <c r="D36" s="416" t="s">
        <v>49</v>
      </c>
      <c r="E36" s="413"/>
      <c r="F36" s="413"/>
      <c r="G36" s="413"/>
      <c r="H36" s="414"/>
    </row>
    <row r="37" spans="2:8" ht="14.25" customHeight="1" x14ac:dyDescent="0.75">
      <c r="B37" s="410" t="s">
        <v>50</v>
      </c>
      <c r="C37" s="415">
        <f>C5*C3*$C$6</f>
        <v>24872.042824591415</v>
      </c>
      <c r="D37" s="416" t="s">
        <v>51</v>
      </c>
      <c r="E37" s="413"/>
      <c r="F37" s="413"/>
      <c r="G37" s="413"/>
      <c r="H37" s="414"/>
    </row>
    <row r="38" spans="2:8" ht="14.25" customHeight="1" x14ac:dyDescent="0.75">
      <c r="B38" s="410" t="s">
        <v>52</v>
      </c>
      <c r="C38" s="415">
        <v>0</v>
      </c>
      <c r="D38" s="416" t="s">
        <v>53</v>
      </c>
      <c r="E38" s="413"/>
      <c r="F38" s="413"/>
      <c r="G38" s="413"/>
      <c r="H38" s="414"/>
    </row>
    <row r="39" spans="2:8" ht="14.25" customHeight="1" x14ac:dyDescent="0.75">
      <c r="B39" s="410" t="s">
        <v>54</v>
      </c>
      <c r="C39" s="415">
        <f>NatParkPA!C6</f>
        <v>112627.02326260571</v>
      </c>
      <c r="D39" s="416" t="s">
        <v>534</v>
      </c>
      <c r="E39" s="413"/>
      <c r="F39" s="413"/>
      <c r="G39" s="413"/>
      <c r="H39" s="414"/>
    </row>
    <row r="40" spans="2:8" ht="14.25" customHeight="1" x14ac:dyDescent="0.75">
      <c r="B40" s="410" t="s">
        <v>55</v>
      </c>
      <c r="C40" s="415">
        <v>0</v>
      </c>
      <c r="D40" s="416" t="s">
        <v>56</v>
      </c>
      <c r="E40" s="413"/>
      <c r="F40" s="413"/>
      <c r="G40" s="413"/>
      <c r="H40" s="414"/>
    </row>
    <row r="41" spans="2:8" ht="14.25" customHeight="1" x14ac:dyDescent="0.75">
      <c r="B41" s="410" t="s">
        <v>572</v>
      </c>
      <c r="C41" s="415"/>
      <c r="D41" s="416" t="s">
        <v>58</v>
      </c>
      <c r="E41" s="413"/>
      <c r="F41" s="413"/>
      <c r="G41" s="413"/>
      <c r="H41" s="414"/>
    </row>
    <row r="42" spans="2:8" ht="14.25" customHeight="1" x14ac:dyDescent="0.75">
      <c r="B42" s="410" t="s">
        <v>57</v>
      </c>
      <c r="C42" s="415"/>
      <c r="D42" s="416" t="s">
        <v>58</v>
      </c>
      <c r="E42" s="413"/>
      <c r="F42" s="413"/>
      <c r="G42" s="413"/>
      <c r="H42" s="414"/>
    </row>
    <row r="43" spans="2:8" ht="14.25" customHeight="1" x14ac:dyDescent="0.75">
      <c r="B43" s="417" t="s">
        <v>59</v>
      </c>
      <c r="C43" s="418"/>
      <c r="D43" s="416" t="s">
        <v>60</v>
      </c>
      <c r="E43" s="413"/>
      <c r="F43" s="413"/>
      <c r="G43" s="413"/>
      <c r="H43" s="414"/>
    </row>
    <row r="44" spans="2:8" ht="14.25" customHeight="1" x14ac:dyDescent="0.75">
      <c r="B44" s="410" t="s">
        <v>61</v>
      </c>
      <c r="C44" s="418">
        <f>SUM(C25:C43)</f>
        <v>1248835.3922682505</v>
      </c>
      <c r="D44" s="416" t="s">
        <v>62</v>
      </c>
      <c r="E44" s="413"/>
      <c r="F44" s="413"/>
      <c r="G44" s="413"/>
      <c r="H44" s="414"/>
    </row>
    <row r="45" spans="2:8" ht="14.25" customHeight="1" x14ac:dyDescent="0.75">
      <c r="B45" s="410" t="s">
        <v>63</v>
      </c>
      <c r="C45" s="415">
        <f>$C$3*($C$17+$C$4*SUM($C$12:$C$16)+$C$5*$C$6)+$C$7*($C$17+SUM($C$12:$C$16))</f>
        <v>1241287.8946670732</v>
      </c>
      <c r="D45" s="416" t="s">
        <v>64</v>
      </c>
      <c r="E45" s="413"/>
      <c r="F45" s="413"/>
      <c r="G45" s="413"/>
      <c r="H45" s="414"/>
    </row>
    <row r="46" spans="2:8" ht="14.25" customHeight="1" x14ac:dyDescent="0.75">
      <c r="B46" s="410" t="s">
        <v>65</v>
      </c>
      <c r="C46" s="415">
        <f>C45-C44</f>
        <v>-7547.4976011773106</v>
      </c>
      <c r="D46" s="416" t="s">
        <v>66</v>
      </c>
      <c r="E46" s="413"/>
      <c r="F46" s="413"/>
      <c r="G46" s="413"/>
      <c r="H46" s="414"/>
    </row>
    <row r="47" spans="2:8" ht="14.25" customHeight="1" thickBot="1" x14ac:dyDescent="0.9">
      <c r="B47" s="419" t="s">
        <v>67</v>
      </c>
      <c r="C47" s="420">
        <f>C46/C45</f>
        <v>-6.0803763845627698E-3</v>
      </c>
      <c r="D47" s="421" t="s">
        <v>68</v>
      </c>
      <c r="E47" s="422"/>
      <c r="F47" s="422"/>
      <c r="G47" s="422"/>
      <c r="H47" s="423"/>
    </row>
    <row r="48" spans="2:8" ht="14.25" customHeight="1" x14ac:dyDescent="0.75"/>
    <row r="49" spans="3:3" ht="14.25" customHeight="1" x14ac:dyDescent="0.75"/>
    <row r="50" spans="3:3" ht="14.25" customHeight="1" x14ac:dyDescent="0.75">
      <c r="C50" s="42" t="s">
        <v>535</v>
      </c>
    </row>
    <row r="51" spans="3:3" ht="14.25" customHeight="1" x14ac:dyDescent="0.75"/>
    <row r="52" spans="3:3" ht="14.25" customHeight="1" x14ac:dyDescent="0.75"/>
    <row r="53" spans="3:3" ht="14.25" customHeight="1" x14ac:dyDescent="0.75"/>
    <row r="54" spans="3:3" ht="14.25" customHeight="1" x14ac:dyDescent="0.75"/>
    <row r="55" spans="3:3" ht="14.25" customHeight="1" x14ac:dyDescent="0.75"/>
    <row r="56" spans="3:3" ht="14.25" customHeight="1" x14ac:dyDescent="0.75"/>
    <row r="57" spans="3:3" ht="14.25" customHeight="1" x14ac:dyDescent="0.75"/>
    <row r="58" spans="3:3" ht="14.25" customHeight="1" x14ac:dyDescent="0.75"/>
    <row r="59" spans="3:3" ht="14.25" customHeight="1" x14ac:dyDescent="0.75"/>
    <row r="60" spans="3:3" ht="14.25" customHeight="1" x14ac:dyDescent="0.75"/>
    <row r="61" spans="3:3" ht="14.25" customHeight="1" x14ac:dyDescent="0.75"/>
    <row r="62" spans="3:3" ht="14.25" customHeight="1" x14ac:dyDescent="0.75"/>
    <row r="63" spans="3:3" ht="14.25" customHeight="1" x14ac:dyDescent="0.75"/>
    <row r="64" spans="3:3" ht="14.25" customHeight="1" x14ac:dyDescent="0.75"/>
    <row r="65" ht="14.25" customHeight="1" x14ac:dyDescent="0.75"/>
    <row r="66" ht="14.25" customHeight="1" x14ac:dyDescent="0.75"/>
    <row r="67" ht="14.25" customHeight="1" x14ac:dyDescent="0.75"/>
    <row r="68" ht="14.25" customHeight="1" x14ac:dyDescent="0.75"/>
    <row r="69" ht="14.25" customHeight="1" x14ac:dyDescent="0.75"/>
    <row r="70" ht="14.25" customHeight="1" x14ac:dyDescent="0.75"/>
    <row r="71" ht="14.25" customHeight="1" x14ac:dyDescent="0.75"/>
    <row r="72" ht="14.25" customHeight="1" x14ac:dyDescent="0.75"/>
    <row r="73" ht="14.25" customHeight="1" x14ac:dyDescent="0.75"/>
    <row r="74" ht="14.25" customHeight="1" x14ac:dyDescent="0.75"/>
    <row r="75" ht="14.25" customHeight="1" x14ac:dyDescent="0.75"/>
    <row r="76" ht="14.25" customHeight="1" x14ac:dyDescent="0.75"/>
    <row r="77" ht="14.25" customHeight="1" x14ac:dyDescent="0.75"/>
    <row r="78" ht="14.25" customHeight="1" x14ac:dyDescent="0.75"/>
    <row r="79" ht="14.25" customHeight="1" x14ac:dyDescent="0.75"/>
    <row r="80" ht="14.25" customHeight="1" x14ac:dyDescent="0.75"/>
    <row r="81" ht="14.25" customHeight="1" x14ac:dyDescent="0.75"/>
    <row r="82" ht="14.25" customHeight="1" x14ac:dyDescent="0.75"/>
    <row r="83" ht="14.25" customHeight="1" x14ac:dyDescent="0.75"/>
    <row r="84" ht="14.25" customHeight="1" x14ac:dyDescent="0.75"/>
    <row r="85" ht="14.25" customHeight="1" x14ac:dyDescent="0.75"/>
    <row r="86" ht="14.25" customHeight="1" x14ac:dyDescent="0.75"/>
    <row r="87" ht="14.25" customHeight="1" x14ac:dyDescent="0.75"/>
    <row r="88" ht="14.25" customHeight="1" x14ac:dyDescent="0.75"/>
    <row r="89" ht="14.25" customHeight="1" x14ac:dyDescent="0.75"/>
    <row r="90" ht="14.25" customHeight="1" x14ac:dyDescent="0.75"/>
    <row r="91" ht="14.25" customHeight="1" x14ac:dyDescent="0.75"/>
    <row r="92" ht="14.25" customHeight="1" x14ac:dyDescent="0.75"/>
    <row r="93" ht="14.25" customHeight="1" x14ac:dyDescent="0.75"/>
    <row r="94" ht="14.25" customHeight="1" x14ac:dyDescent="0.75"/>
    <row r="95" ht="14.25" customHeight="1" x14ac:dyDescent="0.75"/>
    <row r="96"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4.25" customHeight="1" x14ac:dyDescent="0.75"/>
    <row r="248" ht="15.75" customHeight="1" x14ac:dyDescent="0.75"/>
    <row r="249" ht="15.75" customHeight="1" x14ac:dyDescent="0.75"/>
    <row r="250" ht="15.75" customHeight="1" x14ac:dyDescent="0.75"/>
    <row r="251" ht="15.75" customHeight="1" x14ac:dyDescent="0.75"/>
    <row r="252" ht="15.75" customHeight="1" x14ac:dyDescent="0.75"/>
    <row r="253" ht="15.75" customHeight="1" x14ac:dyDescent="0.75"/>
    <row r="254" ht="15.75" customHeight="1" x14ac:dyDescent="0.75"/>
    <row r="255" ht="15.75" customHeight="1" x14ac:dyDescent="0.75"/>
    <row r="256" ht="15.75" customHeight="1" x14ac:dyDescent="0.75"/>
    <row r="257" ht="15.75" customHeight="1" x14ac:dyDescent="0.75"/>
    <row r="258" ht="15.75" customHeight="1" x14ac:dyDescent="0.75"/>
    <row r="259" ht="15.75" customHeight="1" x14ac:dyDescent="0.75"/>
    <row r="260" ht="15.75" customHeight="1" x14ac:dyDescent="0.75"/>
    <row r="261" ht="15.75" customHeight="1" x14ac:dyDescent="0.75"/>
    <row r="262" ht="15.75" customHeight="1" x14ac:dyDescent="0.75"/>
    <row r="263" ht="15.75" customHeight="1" x14ac:dyDescent="0.75"/>
    <row r="264" ht="15.7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8"/>
  <sheetViews>
    <sheetView topLeftCell="B32" zoomScale="112" workbookViewId="0">
      <selection activeCell="B41" sqref="B41:D42"/>
    </sheetView>
  </sheetViews>
  <sheetFormatPr defaultColWidth="14.5" defaultRowHeight="15" customHeight="1" x14ac:dyDescent="0.75"/>
  <cols>
    <col min="1" max="1" width="13.6796875" customWidth="1"/>
    <col min="2" max="2" width="81" customWidth="1"/>
    <col min="3" max="3" width="21.81640625" customWidth="1"/>
    <col min="4" max="4" width="20.81640625" customWidth="1"/>
    <col min="5" max="6" width="8.81640625" customWidth="1"/>
    <col min="7" max="7" width="14.81640625" customWidth="1"/>
    <col min="8" max="8" width="109" customWidth="1"/>
  </cols>
  <sheetData>
    <row r="1" spans="1:8" ht="33.75" customHeight="1" x14ac:dyDescent="0.75">
      <c r="A1" s="116"/>
      <c r="B1" s="102" t="s">
        <v>69</v>
      </c>
      <c r="C1" s="127" t="s">
        <v>518</v>
      </c>
      <c r="D1" s="42"/>
      <c r="H1" s="8"/>
    </row>
    <row r="2" spans="1:8" ht="54" customHeight="1" x14ac:dyDescent="0.75">
      <c r="A2" s="225"/>
      <c r="B2" s="261" t="s">
        <v>464</v>
      </c>
      <c r="C2" s="262"/>
      <c r="D2" s="263"/>
      <c r="F2" s="115"/>
      <c r="G2" s="115"/>
      <c r="H2" s="124"/>
    </row>
    <row r="3" spans="1:8" ht="14.25" customHeight="1" x14ac:dyDescent="0.75">
      <c r="A3" s="258"/>
      <c r="B3" s="264" t="s">
        <v>0</v>
      </c>
      <c r="C3" s="265" t="s">
        <v>468</v>
      </c>
      <c r="D3" s="266" t="s">
        <v>510</v>
      </c>
      <c r="E3" s="42" t="s">
        <v>465</v>
      </c>
      <c r="F3" s="125"/>
      <c r="G3" s="125"/>
      <c r="H3" s="125"/>
    </row>
    <row r="4" spans="1:8" ht="33.75" customHeight="1" x14ac:dyDescent="0.75">
      <c r="A4" s="486" t="s">
        <v>511</v>
      </c>
      <c r="B4" s="117" t="s">
        <v>71</v>
      </c>
      <c r="C4" s="119">
        <v>0.245</v>
      </c>
      <c r="D4" s="123">
        <f t="shared" ref="D4:D15" si="0">C4/$C$20*(1-$C$18)</f>
        <v>0.15385999999999997</v>
      </c>
      <c r="E4" s="37" t="s">
        <v>72</v>
      </c>
      <c r="F4" s="102"/>
      <c r="G4" s="102"/>
      <c r="H4" s="115"/>
    </row>
    <row r="5" spans="1:8" ht="33.75" customHeight="1" x14ac:dyDescent="0.75">
      <c r="A5" s="487"/>
      <c r="B5" s="117" t="s">
        <v>73</v>
      </c>
      <c r="C5" s="119">
        <v>0</v>
      </c>
      <c r="D5" s="123">
        <f t="shared" si="0"/>
        <v>0</v>
      </c>
      <c r="F5" s="102"/>
      <c r="G5" s="102"/>
      <c r="H5" s="126"/>
    </row>
    <row r="6" spans="1:8" ht="33.75" customHeight="1" x14ac:dyDescent="0.75">
      <c r="A6" s="487"/>
      <c r="B6" s="117" t="s">
        <v>74</v>
      </c>
      <c r="C6" s="119">
        <v>5.2999999999999999E-2</v>
      </c>
      <c r="D6" s="123">
        <f t="shared" si="0"/>
        <v>3.3283999999999994E-2</v>
      </c>
      <c r="F6" s="102"/>
      <c r="G6" s="102"/>
      <c r="H6" s="126"/>
    </row>
    <row r="7" spans="1:8" ht="33.75" customHeight="1" x14ac:dyDescent="0.75">
      <c r="A7" s="487"/>
      <c r="B7" s="117" t="s">
        <v>75</v>
      </c>
      <c r="C7" s="119">
        <v>0</v>
      </c>
      <c r="D7" s="123">
        <f t="shared" si="0"/>
        <v>0</v>
      </c>
      <c r="F7" s="102"/>
      <c r="G7" s="102"/>
      <c r="H7" s="126"/>
    </row>
    <row r="8" spans="1:8" ht="33.75" customHeight="1" x14ac:dyDescent="0.75">
      <c r="A8" s="487"/>
      <c r="B8" s="117" t="s">
        <v>76</v>
      </c>
      <c r="C8" s="119">
        <v>0.05</v>
      </c>
      <c r="D8" s="161">
        <f t="shared" si="0"/>
        <v>3.1399999999999997E-2</v>
      </c>
      <c r="F8" s="102"/>
      <c r="G8" s="102"/>
      <c r="H8" s="126"/>
    </row>
    <row r="9" spans="1:8" ht="33.75" customHeight="1" x14ac:dyDescent="0.75">
      <c r="A9" s="487"/>
      <c r="B9" s="117" t="s">
        <v>499</v>
      </c>
      <c r="C9" s="119">
        <v>0</v>
      </c>
      <c r="D9" s="161">
        <f t="shared" si="0"/>
        <v>0</v>
      </c>
      <c r="F9" s="102"/>
      <c r="G9" s="102"/>
      <c r="H9" s="126"/>
    </row>
    <row r="10" spans="1:8" ht="33.75" customHeight="1" x14ac:dyDescent="0.75">
      <c r="A10" s="487"/>
      <c r="B10" s="118" t="s">
        <v>77</v>
      </c>
      <c r="C10" s="120">
        <v>0</v>
      </c>
      <c r="D10" s="161">
        <f t="shared" si="0"/>
        <v>0</v>
      </c>
      <c r="F10" s="102"/>
      <c r="G10" s="102"/>
      <c r="H10" s="126"/>
    </row>
    <row r="11" spans="1:8" ht="33.75" customHeight="1" x14ac:dyDescent="0.75">
      <c r="A11" s="487"/>
      <c r="B11" s="117" t="s">
        <v>78</v>
      </c>
      <c r="C11" s="119">
        <v>1.8000000000000002E-2</v>
      </c>
      <c r="D11" s="161">
        <f t="shared" si="0"/>
        <v>1.1304E-2</v>
      </c>
      <c r="E11" s="37" t="s">
        <v>79</v>
      </c>
      <c r="F11" s="102"/>
      <c r="G11" s="102"/>
      <c r="H11" s="115"/>
    </row>
    <row r="12" spans="1:8" ht="33.75" customHeight="1" x14ac:dyDescent="0.75">
      <c r="A12" s="487"/>
      <c r="B12" s="117" t="s">
        <v>80</v>
      </c>
      <c r="C12" s="119">
        <v>0.311</v>
      </c>
      <c r="D12" s="161">
        <f t="shared" si="0"/>
        <v>0.19530799999999995</v>
      </c>
      <c r="F12" s="102"/>
      <c r="G12" s="102"/>
      <c r="H12" s="126"/>
    </row>
    <row r="13" spans="1:8" ht="33.75" customHeight="1" x14ac:dyDescent="0.75">
      <c r="A13" s="487"/>
      <c r="B13" s="117" t="s">
        <v>81</v>
      </c>
      <c r="C13" s="119">
        <v>0.29300000000000004</v>
      </c>
      <c r="D13" s="123">
        <f t="shared" si="0"/>
        <v>0.184004</v>
      </c>
      <c r="F13" s="102"/>
      <c r="G13" s="102"/>
      <c r="H13" s="126"/>
    </row>
    <row r="14" spans="1:8" ht="33.75" customHeight="1" x14ac:dyDescent="0.75">
      <c r="A14" s="487"/>
      <c r="B14" s="469" t="s">
        <v>555</v>
      </c>
      <c r="C14" s="470">
        <v>0.03</v>
      </c>
      <c r="D14" s="471">
        <f t="shared" si="0"/>
        <v>1.8839999999999996E-2</v>
      </c>
      <c r="F14" s="102"/>
      <c r="G14" s="102"/>
      <c r="H14" s="126"/>
    </row>
    <row r="15" spans="1:8" ht="18" customHeight="1" x14ac:dyDescent="0.75">
      <c r="A15" s="488"/>
      <c r="B15" s="117" t="s">
        <v>82</v>
      </c>
      <c r="C15" s="119">
        <v>0</v>
      </c>
      <c r="D15" s="123">
        <f t="shared" si="0"/>
        <v>0</v>
      </c>
      <c r="F15" s="102"/>
      <c r="G15" s="102"/>
      <c r="H15" s="126"/>
    </row>
    <row r="16" spans="1:8" ht="18" customHeight="1" x14ac:dyDescent="0.75">
      <c r="A16" s="230"/>
      <c r="B16" s="291" t="s">
        <v>83</v>
      </c>
      <c r="C16" s="121">
        <v>1</v>
      </c>
      <c r="D16" s="228">
        <f>C16</f>
        <v>1</v>
      </c>
      <c r="F16" s="102"/>
      <c r="G16" s="102"/>
      <c r="H16" s="126"/>
    </row>
    <row r="17" spans="1:8" ht="18" customHeight="1" x14ac:dyDescent="0.75">
      <c r="A17" s="231"/>
      <c r="B17" s="291" t="s">
        <v>84</v>
      </c>
      <c r="C17" s="121">
        <v>1</v>
      </c>
      <c r="D17" s="228">
        <f>C17</f>
        <v>1</v>
      </c>
      <c r="F17" s="102"/>
      <c r="G17" s="102"/>
      <c r="H17" s="126"/>
    </row>
    <row r="18" spans="1:8" ht="18" customHeight="1" x14ac:dyDescent="0.75">
      <c r="A18" s="232"/>
      <c r="B18" s="292" t="s">
        <v>387</v>
      </c>
      <c r="C18" s="122">
        <v>0.37200000000000005</v>
      </c>
      <c r="D18" s="229">
        <f>C18</f>
        <v>0.37200000000000005</v>
      </c>
      <c r="F18" s="115"/>
      <c r="G18" s="115"/>
      <c r="H18" s="124"/>
    </row>
    <row r="19" spans="1:8" ht="18" customHeight="1" x14ac:dyDescent="0.75">
      <c r="A19" s="19"/>
      <c r="B19" s="11"/>
      <c r="C19" s="12"/>
      <c r="D19" s="8"/>
    </row>
    <row r="20" spans="1:8" ht="18" customHeight="1" x14ac:dyDescent="0.75">
      <c r="A20" s="19"/>
      <c r="B20" s="11" t="s">
        <v>463</v>
      </c>
      <c r="C20" s="162">
        <f>SUM(C4:C15)</f>
        <v>1</v>
      </c>
      <c r="D20" s="112">
        <f>SUM(D4:D15)</f>
        <v>0.62799999999999989</v>
      </c>
    </row>
    <row r="21" spans="1:8" ht="18" customHeight="1" x14ac:dyDescent="0.75">
      <c r="A21" s="19"/>
      <c r="B21" s="11" t="s">
        <v>469</v>
      </c>
      <c r="C21" s="112">
        <f>C20+C18</f>
        <v>1.3720000000000001</v>
      </c>
      <c r="D21" s="112">
        <f>D20+D18</f>
        <v>1</v>
      </c>
    </row>
    <row r="22" spans="1:8" ht="18" customHeight="1" x14ac:dyDescent="0.75">
      <c r="A22" s="19"/>
      <c r="B22" s="11"/>
      <c r="C22" s="12"/>
      <c r="D22" s="8"/>
    </row>
    <row r="23" spans="1:8" ht="18" customHeight="1" x14ac:dyDescent="0.75">
      <c r="A23" s="19"/>
      <c r="B23" s="11"/>
      <c r="C23" s="12"/>
      <c r="D23" s="8"/>
    </row>
    <row r="24" spans="1:8" ht="18" customHeight="1" x14ac:dyDescent="0.75">
      <c r="A24" s="19"/>
      <c r="B24" s="156" t="s">
        <v>521</v>
      </c>
      <c r="C24" s="12"/>
      <c r="D24" s="8"/>
    </row>
    <row r="25" spans="1:8" ht="33.75" customHeight="1" x14ac:dyDescent="0.75">
      <c r="A25" s="19"/>
      <c r="B25" s="392" t="s">
        <v>28</v>
      </c>
      <c r="C25" s="393" t="s">
        <v>30</v>
      </c>
      <c r="D25" s="348"/>
    </row>
    <row r="26" spans="1:8" ht="16.5" customHeight="1" x14ac:dyDescent="0.75">
      <c r="A26" s="19"/>
      <c r="B26" s="394" t="s">
        <v>30</v>
      </c>
      <c r="C26" s="395">
        <f>C45*$D$8</f>
        <v>2086.2792481017927</v>
      </c>
      <c r="D26" s="361" t="s">
        <v>85</v>
      </c>
    </row>
    <row r="27" spans="1:8" ht="14.25" customHeight="1" x14ac:dyDescent="0.75">
      <c r="B27" s="362" t="s">
        <v>32</v>
      </c>
      <c r="C27" s="396">
        <v>0</v>
      </c>
      <c r="D27" s="364" t="s">
        <v>86</v>
      </c>
    </row>
    <row r="28" spans="1:8" ht="16.5" customHeight="1" x14ac:dyDescent="0.75">
      <c r="A28" s="19"/>
      <c r="B28" s="362" t="s">
        <v>34</v>
      </c>
      <c r="C28" s="397">
        <f>SUM($D$11:$D$12)*C45</f>
        <v>13727.717452509794</v>
      </c>
      <c r="D28" s="361" t="s">
        <v>87</v>
      </c>
    </row>
    <row r="29" spans="1:8" ht="16.5" customHeight="1" x14ac:dyDescent="0.75">
      <c r="A29" s="19"/>
      <c r="B29" s="362" t="s">
        <v>36</v>
      </c>
      <c r="C29" s="397">
        <f>$D$10*$C$45</f>
        <v>0</v>
      </c>
      <c r="D29" s="361" t="s">
        <v>88</v>
      </c>
    </row>
    <row r="30" spans="1:8" ht="16.5" customHeight="1" x14ac:dyDescent="0.75">
      <c r="A30" s="19"/>
      <c r="B30" s="362" t="s">
        <v>38</v>
      </c>
      <c r="C30" s="398">
        <f>$D4*$C$45*C17</f>
        <v>10222.768315698782</v>
      </c>
      <c r="D30" s="366" t="s">
        <v>89</v>
      </c>
    </row>
    <row r="31" spans="1:8" ht="16.5" customHeight="1" x14ac:dyDescent="0.75">
      <c r="A31" s="19"/>
      <c r="B31" s="362" t="s">
        <v>40</v>
      </c>
      <c r="C31" s="398">
        <f>$D5*$C$45*C17</f>
        <v>0</v>
      </c>
      <c r="D31" s="366" t="s">
        <v>90</v>
      </c>
    </row>
    <row r="32" spans="1:8" ht="16.5" customHeight="1" x14ac:dyDescent="0.75">
      <c r="A32" s="19"/>
      <c r="B32" s="362" t="s">
        <v>41</v>
      </c>
      <c r="C32" s="398">
        <f>$D6*$C$45*C17</f>
        <v>2211.4560029878999</v>
      </c>
      <c r="D32" s="366" t="s">
        <v>91</v>
      </c>
    </row>
    <row r="33" spans="1:8" ht="16.5" customHeight="1" x14ac:dyDescent="0.75">
      <c r="A33" s="19"/>
      <c r="B33" s="362" t="s">
        <v>42</v>
      </c>
      <c r="C33" s="398">
        <f>$D7*$C$45*C17</f>
        <v>0</v>
      </c>
      <c r="D33" s="366" t="s">
        <v>92</v>
      </c>
    </row>
    <row r="34" spans="1:8" ht="16.5" customHeight="1" x14ac:dyDescent="0.75">
      <c r="A34" s="19"/>
      <c r="B34" s="362" t="s">
        <v>43</v>
      </c>
      <c r="C34" s="398">
        <f>D18*C$45*C16</f>
        <v>24716.429308721879</v>
      </c>
      <c r="D34" s="366" t="s">
        <v>93</v>
      </c>
    </row>
    <row r="35" spans="1:8" ht="16.5" customHeight="1" x14ac:dyDescent="0.75">
      <c r="A35" s="19"/>
      <c r="B35" s="362" t="s">
        <v>45</v>
      </c>
      <c r="C35" s="398">
        <v>0</v>
      </c>
      <c r="D35" s="366" t="s">
        <v>94</v>
      </c>
      <c r="G35" s="109">
        <f>Restaurants!C27</f>
        <v>937.91432678942351</v>
      </c>
    </row>
    <row r="36" spans="1:8" ht="16.5" customHeight="1" x14ac:dyDescent="0.75">
      <c r="A36" s="19"/>
      <c r="B36" s="362" t="s">
        <v>47</v>
      </c>
      <c r="C36" s="398">
        <v>0</v>
      </c>
      <c r="D36" s="366" t="s">
        <v>94</v>
      </c>
      <c r="G36" s="110">
        <f>+Lodges!C27</f>
        <v>524.96501343809587</v>
      </c>
    </row>
    <row r="37" spans="1:8" ht="16.5" customHeight="1" x14ac:dyDescent="0.75">
      <c r="A37" s="19"/>
      <c r="B37" s="362" t="s">
        <v>48</v>
      </c>
      <c r="C37" s="398">
        <v>0</v>
      </c>
      <c r="D37" s="366" t="s">
        <v>95</v>
      </c>
      <c r="G37" s="110">
        <f>+SUM(Households!C30:D30)</f>
        <v>47063.950104221673</v>
      </c>
    </row>
    <row r="38" spans="1:8" ht="16.5" customHeight="1" x14ac:dyDescent="0.75">
      <c r="A38" s="19"/>
      <c r="B38" s="362" t="s">
        <v>50</v>
      </c>
      <c r="C38" s="398">
        <v>0</v>
      </c>
      <c r="D38" s="366" t="s">
        <v>96</v>
      </c>
      <c r="G38" s="110">
        <f>+NatParkPA!C27</f>
        <v>0</v>
      </c>
    </row>
    <row r="39" spans="1:8" ht="16.5" customHeight="1" x14ac:dyDescent="0.75">
      <c r="A39" s="19"/>
      <c r="B39" s="362" t="s">
        <v>52</v>
      </c>
      <c r="C39" s="398">
        <v>0</v>
      </c>
      <c r="D39" s="366" t="s">
        <v>97</v>
      </c>
      <c r="G39" s="110">
        <f>+ Tourism!C26</f>
        <v>2101.1881256969564</v>
      </c>
    </row>
    <row r="40" spans="1:8" ht="16.5" customHeight="1" x14ac:dyDescent="0.75">
      <c r="A40" s="19"/>
      <c r="B40" s="362" t="s">
        <v>54</v>
      </c>
      <c r="C40" s="398">
        <v>0</v>
      </c>
      <c r="D40" s="366" t="s">
        <v>98</v>
      </c>
    </row>
    <row r="41" spans="1:8" ht="16.5" customHeight="1" x14ac:dyDescent="0.75">
      <c r="A41" s="19"/>
      <c r="B41" s="329" t="s">
        <v>568</v>
      </c>
      <c r="C41" s="481">
        <f>$D$14*$C$45</f>
        <v>1251.7675488610753</v>
      </c>
      <c r="D41" s="346" t="s">
        <v>569</v>
      </c>
    </row>
    <row r="42" spans="1:8" ht="16.5" customHeight="1" x14ac:dyDescent="0.75">
      <c r="A42" s="19"/>
      <c r="B42" s="329" t="s">
        <v>57</v>
      </c>
      <c r="C42" s="481">
        <f>$D$15*$C$45</f>
        <v>0</v>
      </c>
      <c r="D42" s="354" t="s">
        <v>570</v>
      </c>
    </row>
    <row r="43" spans="1:8" ht="16.5" customHeight="1" x14ac:dyDescent="0.75">
      <c r="A43" s="19"/>
      <c r="B43" s="399" t="s">
        <v>59</v>
      </c>
      <c r="C43" s="400">
        <f>$C$45*$D$13+C45*SUM(D4:D7)*(1-C17)+C45*C18*(1-C16)</f>
        <v>12225.596393876505</v>
      </c>
      <c r="D43" s="366" t="s">
        <v>99</v>
      </c>
      <c r="G43" s="108">
        <f>(Restaurants!C27+Lodges!C27+SUM(Households!C30:D30)+NatParkPA!C27+ Tourism!C26 + Tourists!C25 + ComRevSh!C25 )/(1-0)</f>
        <v>50628.017570146149</v>
      </c>
    </row>
    <row r="44" spans="1:8" ht="16.5" customHeight="1" x14ac:dyDescent="0.75">
      <c r="A44" s="19"/>
      <c r="B44" s="362" t="s">
        <v>61</v>
      </c>
      <c r="C44" s="400">
        <f>SUM(C26:C43)</f>
        <v>66442.014270757732</v>
      </c>
      <c r="D44" s="366" t="s">
        <v>100</v>
      </c>
    </row>
    <row r="45" spans="1:8" ht="16.5" customHeight="1" x14ac:dyDescent="0.75">
      <c r="A45" s="19"/>
      <c r="B45" s="362" t="s">
        <v>63</v>
      </c>
      <c r="C45" s="401">
        <f>(Restaurants!C27+Lodges!C27+SUM(Households!C30:D30)+NatParkPA!C27+Tourism!C26+Tourists!C25+ComRevSh!C25)/(1-SUM(D8:D12))</f>
        <v>66442.014270757732</v>
      </c>
      <c r="D45" s="366" t="s">
        <v>101</v>
      </c>
      <c r="F45" s="127" t="s">
        <v>466</v>
      </c>
      <c r="G45" s="127"/>
      <c r="H45" s="127"/>
    </row>
    <row r="46" spans="1:8" ht="16.5" customHeight="1" x14ac:dyDescent="0.75">
      <c r="A46" s="19"/>
      <c r="B46" s="362" t="s">
        <v>65</v>
      </c>
      <c r="C46" s="398">
        <f>C45-C44</f>
        <v>0</v>
      </c>
      <c r="D46" s="366" t="s">
        <v>102</v>
      </c>
      <c r="F46" s="127"/>
      <c r="G46" s="160">
        <f>(1-SUM(D8:D12))</f>
        <v>0.76198800000000011</v>
      </c>
    </row>
    <row r="47" spans="1:8" ht="16.5" customHeight="1" x14ac:dyDescent="0.75">
      <c r="A47" s="19"/>
      <c r="B47" s="362" t="s">
        <v>67</v>
      </c>
      <c r="C47" s="402">
        <f>C46/C45</f>
        <v>0</v>
      </c>
      <c r="D47" s="366" t="s">
        <v>103</v>
      </c>
      <c r="G47" s="108">
        <f>(Restaurants!C27+Lodges!C27+SUM(Households!C30:D30)+NatParkPA!C27+ Tourism!C26 + Tourists!C25 + ComRevSh!C25 )/0.6605</f>
        <v>76651.04855434694</v>
      </c>
    </row>
    <row r="48" spans="1:8" ht="33.75" customHeight="1" x14ac:dyDescent="0.75">
      <c r="A48" s="19"/>
      <c r="B48" s="403" t="s">
        <v>104</v>
      </c>
      <c r="C48" s="404">
        <f>C34/C45</f>
        <v>0.37200000000000005</v>
      </c>
      <c r="D48" s="377"/>
      <c r="H48" s="8"/>
    </row>
    <row r="49" spans="1:8" ht="33.75" customHeight="1" x14ac:dyDescent="0.75">
      <c r="A49" s="19"/>
      <c r="H49" s="8"/>
    </row>
    <row r="50" spans="1:8" ht="33.75" customHeight="1" x14ac:dyDescent="0.75">
      <c r="A50" s="19"/>
      <c r="C50" s="22"/>
      <c r="D50" s="124"/>
      <c r="H50" s="8"/>
    </row>
    <row r="51" spans="1:8" ht="33.75" customHeight="1" x14ac:dyDescent="0.75">
      <c r="A51" s="19"/>
      <c r="H51" s="8"/>
    </row>
    <row r="52" spans="1:8" ht="33.75" customHeight="1" x14ac:dyDescent="0.75">
      <c r="A52" s="19"/>
      <c r="B52" s="23" t="s">
        <v>467</v>
      </c>
      <c r="H52" s="8"/>
    </row>
    <row r="53" spans="1:8" ht="20" customHeight="1" x14ac:dyDescent="0.75">
      <c r="A53" s="19"/>
      <c r="B53" s="24" t="s">
        <v>0</v>
      </c>
      <c r="C53" s="25" t="s">
        <v>1</v>
      </c>
      <c r="D53" s="26" t="s">
        <v>2</v>
      </c>
      <c r="E53" s="26" t="s">
        <v>3</v>
      </c>
      <c r="F53" s="26" t="s">
        <v>4</v>
      </c>
      <c r="G53" s="27" t="s">
        <v>5</v>
      </c>
      <c r="H53" s="8"/>
    </row>
    <row r="54" spans="1:8" ht="20" customHeight="1" x14ac:dyDescent="0.75">
      <c r="A54" s="19"/>
      <c r="B54" s="175" t="s">
        <v>71</v>
      </c>
      <c r="C54" s="176">
        <f t="shared" ref="C54:C63" si="1">C4*100</f>
        <v>24.5</v>
      </c>
      <c r="D54" s="177" t="s">
        <v>396</v>
      </c>
      <c r="E54" s="178">
        <v>0</v>
      </c>
      <c r="F54" s="178">
        <v>100</v>
      </c>
      <c r="G54" s="179">
        <v>0.01</v>
      </c>
      <c r="H54" s="8"/>
    </row>
    <row r="55" spans="1:8" ht="28" customHeight="1" x14ac:dyDescent="0.75">
      <c r="A55" s="19"/>
      <c r="B55" s="175" t="s">
        <v>73</v>
      </c>
      <c r="C55" s="176">
        <f t="shared" si="1"/>
        <v>0</v>
      </c>
      <c r="D55" s="180" t="s">
        <v>397</v>
      </c>
      <c r="E55" s="181">
        <v>0</v>
      </c>
      <c r="F55" s="181">
        <v>100</v>
      </c>
      <c r="G55" s="182">
        <v>0.01</v>
      </c>
      <c r="H55" s="8"/>
    </row>
    <row r="56" spans="1:8" ht="20" customHeight="1" x14ac:dyDescent="0.75">
      <c r="A56" s="19"/>
      <c r="B56" s="175" t="s">
        <v>74</v>
      </c>
      <c r="C56" s="176">
        <f t="shared" si="1"/>
        <v>5.3</v>
      </c>
      <c r="D56" s="180" t="s">
        <v>398</v>
      </c>
      <c r="E56" s="181">
        <v>0</v>
      </c>
      <c r="F56" s="181">
        <v>100</v>
      </c>
      <c r="G56" s="182">
        <v>0.01</v>
      </c>
      <c r="H56" s="8"/>
    </row>
    <row r="57" spans="1:8" ht="20" customHeight="1" x14ac:dyDescent="0.75">
      <c r="A57" s="19"/>
      <c r="B57" s="175" t="s">
        <v>75</v>
      </c>
      <c r="C57" s="176">
        <f t="shared" si="1"/>
        <v>0</v>
      </c>
      <c r="D57" s="180" t="s">
        <v>399</v>
      </c>
      <c r="E57" s="181">
        <v>0</v>
      </c>
      <c r="F57" s="181">
        <v>100</v>
      </c>
      <c r="G57" s="182">
        <v>0.01</v>
      </c>
      <c r="H57" s="8"/>
    </row>
    <row r="58" spans="1:8" ht="20" customHeight="1" x14ac:dyDescent="0.75">
      <c r="A58" s="19"/>
      <c r="B58" s="175" t="s">
        <v>107</v>
      </c>
      <c r="C58" s="176">
        <f t="shared" si="1"/>
        <v>5</v>
      </c>
      <c r="D58" s="180" t="s">
        <v>425</v>
      </c>
      <c r="E58" s="181">
        <v>0</v>
      </c>
      <c r="F58" s="181">
        <v>100</v>
      </c>
      <c r="G58" s="182">
        <v>0.01</v>
      </c>
      <c r="H58" s="8"/>
    </row>
    <row r="59" spans="1:8" ht="20" customHeight="1" x14ac:dyDescent="0.75">
      <c r="A59" s="19"/>
      <c r="B59" s="183" t="s">
        <v>496</v>
      </c>
      <c r="C59" s="176">
        <f t="shared" si="1"/>
        <v>0</v>
      </c>
      <c r="D59" s="180" t="s">
        <v>400</v>
      </c>
      <c r="E59" s="181">
        <v>0</v>
      </c>
      <c r="F59" s="181">
        <v>100</v>
      </c>
      <c r="G59" s="182">
        <v>0.01</v>
      </c>
      <c r="H59" s="8"/>
    </row>
    <row r="60" spans="1:8" ht="20" customHeight="1" x14ac:dyDescent="0.75">
      <c r="A60" s="19"/>
      <c r="B60" s="183" t="s">
        <v>108</v>
      </c>
      <c r="C60" s="176">
        <f t="shared" si="1"/>
        <v>0</v>
      </c>
      <c r="D60" s="180" t="s">
        <v>401</v>
      </c>
      <c r="E60" s="181">
        <v>0</v>
      </c>
      <c r="F60" s="181">
        <v>100</v>
      </c>
      <c r="G60" s="182">
        <v>0.01</v>
      </c>
      <c r="H60" s="8"/>
    </row>
    <row r="61" spans="1:8" ht="20" customHeight="1" x14ac:dyDescent="0.75">
      <c r="A61" s="19"/>
      <c r="B61" s="175" t="s">
        <v>78</v>
      </c>
      <c r="C61" s="176">
        <f t="shared" si="1"/>
        <v>1.8000000000000003</v>
      </c>
      <c r="D61" s="180" t="s">
        <v>402</v>
      </c>
      <c r="E61" s="181">
        <v>0</v>
      </c>
      <c r="F61" s="181">
        <v>100</v>
      </c>
      <c r="G61" s="182">
        <v>0.01</v>
      </c>
      <c r="H61" s="8"/>
    </row>
    <row r="62" spans="1:8" ht="20" customHeight="1" x14ac:dyDescent="0.75">
      <c r="A62" s="19"/>
      <c r="B62" s="175" t="s">
        <v>109</v>
      </c>
      <c r="C62" s="176">
        <f t="shared" si="1"/>
        <v>31.1</v>
      </c>
      <c r="D62" s="180" t="s">
        <v>403</v>
      </c>
      <c r="E62" s="181">
        <v>0</v>
      </c>
      <c r="F62" s="181">
        <v>100</v>
      </c>
      <c r="G62" s="182">
        <v>0.01</v>
      </c>
      <c r="H62" s="8"/>
    </row>
    <row r="63" spans="1:8" ht="28" customHeight="1" x14ac:dyDescent="0.75">
      <c r="A63" s="19"/>
      <c r="B63" s="175" t="s">
        <v>110</v>
      </c>
      <c r="C63" s="176">
        <f t="shared" si="1"/>
        <v>29.300000000000004</v>
      </c>
      <c r="D63" s="180" t="s">
        <v>404</v>
      </c>
      <c r="E63" s="181">
        <v>0</v>
      </c>
      <c r="F63" s="181">
        <v>100</v>
      </c>
      <c r="G63" s="182">
        <v>0.01</v>
      </c>
      <c r="H63" s="8"/>
    </row>
    <row r="64" spans="1:8" ht="20" customHeight="1" x14ac:dyDescent="0.75">
      <c r="A64" s="19"/>
      <c r="B64" s="175" t="s">
        <v>82</v>
      </c>
      <c r="C64" s="176">
        <f t="shared" ref="C64" si="2">C15*100</f>
        <v>0</v>
      </c>
      <c r="D64" s="180" t="s">
        <v>456</v>
      </c>
      <c r="E64" s="181">
        <v>0</v>
      </c>
      <c r="F64" s="181">
        <v>100</v>
      </c>
      <c r="G64" s="182">
        <v>0.01</v>
      </c>
      <c r="H64" s="8"/>
    </row>
    <row r="65" spans="1:8" ht="20" customHeight="1" x14ac:dyDescent="0.75">
      <c r="A65" s="19"/>
      <c r="B65" s="175" t="s">
        <v>83</v>
      </c>
      <c r="C65" s="176">
        <f t="shared" ref="C65:C66" si="3">D16*100</f>
        <v>100</v>
      </c>
      <c r="D65" s="180" t="s">
        <v>105</v>
      </c>
      <c r="E65" s="181">
        <v>0</v>
      </c>
      <c r="F65" s="181">
        <v>100</v>
      </c>
      <c r="G65" s="182">
        <v>0.01</v>
      </c>
      <c r="H65" s="8"/>
    </row>
    <row r="66" spans="1:8" ht="20" customHeight="1" x14ac:dyDescent="0.75">
      <c r="A66" s="19"/>
      <c r="B66" s="175" t="s">
        <v>84</v>
      </c>
      <c r="C66" s="176">
        <f t="shared" si="3"/>
        <v>100</v>
      </c>
      <c r="D66" s="180" t="s">
        <v>106</v>
      </c>
      <c r="E66" s="181">
        <v>0</v>
      </c>
      <c r="F66" s="181">
        <v>100</v>
      </c>
      <c r="G66" s="182">
        <v>0.01</v>
      </c>
      <c r="H66" s="8"/>
    </row>
    <row r="67" spans="1:8" ht="20" customHeight="1" x14ac:dyDescent="0.75">
      <c r="A67" s="19"/>
      <c r="B67" s="175" t="s">
        <v>387</v>
      </c>
      <c r="C67" s="176">
        <f>C18*100</f>
        <v>37.200000000000003</v>
      </c>
      <c r="D67" s="184" t="s">
        <v>390</v>
      </c>
      <c r="E67" s="185">
        <v>0</v>
      </c>
      <c r="F67" s="185">
        <v>100</v>
      </c>
      <c r="G67" s="186">
        <v>0.01</v>
      </c>
      <c r="H67" s="8"/>
    </row>
    <row r="68" spans="1:8" ht="33.75" customHeight="1" x14ac:dyDescent="0.75">
      <c r="A68" s="19"/>
      <c r="H68" s="8"/>
    </row>
    <row r="69" spans="1:8" ht="33.75" customHeight="1" x14ac:dyDescent="0.75">
      <c r="A69" s="19"/>
      <c r="C69" s="159"/>
      <c r="H69" s="8"/>
    </row>
    <row r="70" spans="1:8" ht="33.75" customHeight="1" x14ac:dyDescent="0.75">
      <c r="A70" s="19"/>
      <c r="H70" s="8"/>
    </row>
    <row r="71" spans="1:8" ht="33.75" customHeight="1" x14ac:dyDescent="0.75">
      <c r="A71" s="19"/>
      <c r="H71" s="8"/>
    </row>
    <row r="72" spans="1:8" ht="33.75" customHeight="1" x14ac:dyDescent="0.75">
      <c r="A72" s="19"/>
      <c r="H72" s="8"/>
    </row>
    <row r="73" spans="1:8" ht="33.75" customHeight="1" x14ac:dyDescent="0.75">
      <c r="A73" s="19"/>
      <c r="H73" s="8"/>
    </row>
    <row r="74" spans="1:8" ht="33.75" customHeight="1" x14ac:dyDescent="0.75">
      <c r="A74" s="19"/>
      <c r="H74" s="8"/>
    </row>
    <row r="75" spans="1:8" ht="33.75" customHeight="1" x14ac:dyDescent="0.75">
      <c r="A75" s="19"/>
      <c r="H75" s="8"/>
    </row>
    <row r="76" spans="1:8" ht="33.75" customHeight="1" x14ac:dyDescent="0.75">
      <c r="A76" s="19"/>
      <c r="H76" s="8"/>
    </row>
    <row r="77" spans="1:8" ht="33.75" customHeight="1" x14ac:dyDescent="0.75">
      <c r="A77" s="19"/>
      <c r="H77" s="8"/>
    </row>
    <row r="78" spans="1:8" ht="33.75" customHeight="1" x14ac:dyDescent="0.75">
      <c r="A78" s="19"/>
      <c r="H78" s="8"/>
    </row>
    <row r="79" spans="1:8" ht="33.75" customHeight="1" x14ac:dyDescent="0.75">
      <c r="A79" s="19"/>
      <c r="H79" s="8"/>
    </row>
    <row r="80" spans="1:8" ht="33.75" customHeight="1" x14ac:dyDescent="0.75">
      <c r="A80" s="19"/>
      <c r="H80" s="8"/>
    </row>
    <row r="81" spans="1:8" ht="33.75" customHeight="1" x14ac:dyDescent="0.75">
      <c r="A81" s="19"/>
      <c r="H81" s="8"/>
    </row>
    <row r="82" spans="1:8" ht="33.75" customHeight="1" x14ac:dyDescent="0.75">
      <c r="A82" s="19"/>
      <c r="H82" s="8"/>
    </row>
    <row r="83" spans="1:8" ht="33.75" customHeight="1" x14ac:dyDescent="0.75">
      <c r="A83" s="19"/>
      <c r="H83" s="8"/>
    </row>
    <row r="84" spans="1:8" ht="33.75" customHeight="1" x14ac:dyDescent="0.75">
      <c r="A84" s="19"/>
      <c r="H84" s="8"/>
    </row>
    <row r="85" spans="1:8" ht="33.75" customHeight="1" x14ac:dyDescent="0.75">
      <c r="A85" s="19"/>
      <c r="H85" s="8"/>
    </row>
    <row r="86" spans="1:8" ht="33.75" customHeight="1" x14ac:dyDescent="0.75">
      <c r="A86" s="19"/>
      <c r="H86" s="8"/>
    </row>
    <row r="87" spans="1:8" ht="33.75" customHeight="1" x14ac:dyDescent="0.75">
      <c r="A87" s="19"/>
      <c r="H87" s="8"/>
    </row>
    <row r="88" spans="1:8" ht="33.75" customHeight="1" x14ac:dyDescent="0.75">
      <c r="A88" s="19"/>
      <c r="H88" s="8"/>
    </row>
    <row r="89" spans="1:8" ht="33.75" customHeight="1" x14ac:dyDescent="0.75">
      <c r="A89" s="19"/>
      <c r="H89" s="8"/>
    </row>
    <row r="90" spans="1:8" ht="33.75" customHeight="1" x14ac:dyDescent="0.75">
      <c r="A90" s="19"/>
      <c r="H90" s="8"/>
    </row>
    <row r="91" spans="1:8" ht="33.75" customHeight="1" x14ac:dyDescent="0.75">
      <c r="A91" s="19"/>
      <c r="H91" s="8"/>
    </row>
    <row r="92" spans="1:8" ht="33.75" customHeight="1" x14ac:dyDescent="0.75">
      <c r="A92" s="19"/>
      <c r="H92" s="8"/>
    </row>
    <row r="93" spans="1:8" ht="33.75" customHeight="1" x14ac:dyDescent="0.75">
      <c r="A93" s="19"/>
      <c r="H93" s="8"/>
    </row>
    <row r="94" spans="1:8" ht="33.75" customHeight="1" x14ac:dyDescent="0.75">
      <c r="A94" s="19"/>
      <c r="H94" s="8"/>
    </row>
    <row r="95" spans="1:8" ht="33.75" customHeight="1" x14ac:dyDescent="0.75">
      <c r="A95" s="19"/>
      <c r="H95" s="8"/>
    </row>
    <row r="96" spans="1:8" ht="33.75" customHeight="1" x14ac:dyDescent="0.75">
      <c r="A96" s="19"/>
      <c r="H96" s="8"/>
    </row>
    <row r="97" spans="1:8" ht="33.75" customHeight="1" x14ac:dyDescent="0.75">
      <c r="A97" s="19"/>
      <c r="H97" s="8"/>
    </row>
    <row r="98" spans="1:8" ht="33.75" customHeight="1" x14ac:dyDescent="0.75">
      <c r="A98" s="19"/>
      <c r="H98" s="8"/>
    </row>
    <row r="99" spans="1:8" ht="33.75" customHeight="1" x14ac:dyDescent="0.75">
      <c r="A99" s="19"/>
      <c r="H99" s="8"/>
    </row>
    <row r="100" spans="1:8" ht="33.75" customHeight="1" x14ac:dyDescent="0.75">
      <c r="A100" s="19"/>
      <c r="H100" s="8"/>
    </row>
    <row r="101" spans="1:8" ht="33.75" customHeight="1" x14ac:dyDescent="0.75">
      <c r="A101" s="19"/>
      <c r="H101" s="8"/>
    </row>
    <row r="102" spans="1:8" ht="33.75" customHeight="1" x14ac:dyDescent="0.75">
      <c r="A102" s="19"/>
      <c r="H102" s="8"/>
    </row>
    <row r="103" spans="1:8" ht="33.75" customHeight="1" x14ac:dyDescent="0.75">
      <c r="A103" s="19"/>
      <c r="H103" s="8"/>
    </row>
    <row r="104" spans="1:8" ht="33.75" customHeight="1" x14ac:dyDescent="0.75">
      <c r="A104" s="19"/>
      <c r="H104" s="8"/>
    </row>
    <row r="105" spans="1:8" ht="33.75" customHeight="1" x14ac:dyDescent="0.75">
      <c r="A105" s="19"/>
      <c r="H105" s="8"/>
    </row>
    <row r="106" spans="1:8" ht="33.75" customHeight="1" x14ac:dyDescent="0.75">
      <c r="A106" s="19"/>
      <c r="H106" s="8"/>
    </row>
    <row r="107" spans="1:8" ht="33.75" customHeight="1" x14ac:dyDescent="0.75">
      <c r="A107" s="19"/>
      <c r="H107" s="8"/>
    </row>
    <row r="108" spans="1:8" ht="33.75" customHeight="1" x14ac:dyDescent="0.75">
      <c r="A108" s="19"/>
      <c r="H108" s="8"/>
    </row>
    <row r="109" spans="1:8" ht="33.75" customHeight="1" x14ac:dyDescent="0.75">
      <c r="A109" s="19"/>
      <c r="H109" s="8"/>
    </row>
    <row r="110" spans="1:8" ht="33.75" customHeight="1" x14ac:dyDescent="0.75">
      <c r="A110" s="19"/>
      <c r="H110" s="8"/>
    </row>
    <row r="111" spans="1:8" ht="33.75" customHeight="1" x14ac:dyDescent="0.75">
      <c r="A111" s="19"/>
      <c r="H111" s="8"/>
    </row>
    <row r="112" spans="1:8" ht="33.75" customHeight="1" x14ac:dyDescent="0.75">
      <c r="A112" s="19"/>
      <c r="H112" s="8"/>
    </row>
    <row r="113" spans="1:8" ht="33.75" customHeight="1" x14ac:dyDescent="0.75">
      <c r="A113" s="19"/>
      <c r="H113" s="8"/>
    </row>
    <row r="114" spans="1:8" ht="33.75" customHeight="1" x14ac:dyDescent="0.75">
      <c r="A114" s="19"/>
      <c r="H114" s="8"/>
    </row>
    <row r="115" spans="1:8" ht="33.75" customHeight="1" x14ac:dyDescent="0.75">
      <c r="A115" s="19"/>
      <c r="H115" s="8"/>
    </row>
    <row r="116" spans="1:8" ht="33.75" customHeight="1" x14ac:dyDescent="0.75">
      <c r="A116" s="19"/>
      <c r="H116" s="8"/>
    </row>
    <row r="117" spans="1:8" ht="33.75" customHeight="1" x14ac:dyDescent="0.75">
      <c r="A117" s="19"/>
      <c r="H117" s="8"/>
    </row>
    <row r="118" spans="1:8" ht="33.75" customHeight="1" x14ac:dyDescent="0.75">
      <c r="A118" s="19"/>
      <c r="H118" s="8"/>
    </row>
    <row r="119" spans="1:8" ht="33.75" customHeight="1" x14ac:dyDescent="0.75">
      <c r="A119" s="19"/>
      <c r="H119" s="8"/>
    </row>
    <row r="120" spans="1:8" ht="33.75" customHeight="1" x14ac:dyDescent="0.75">
      <c r="A120" s="19"/>
      <c r="H120" s="8"/>
    </row>
    <row r="121" spans="1:8" ht="33.75" customHeight="1" x14ac:dyDescent="0.75">
      <c r="A121" s="19"/>
      <c r="H121" s="8"/>
    </row>
    <row r="122" spans="1:8" ht="33.75" customHeight="1" x14ac:dyDescent="0.75">
      <c r="A122" s="19"/>
      <c r="H122" s="8"/>
    </row>
    <row r="123" spans="1:8" ht="33.75" customHeight="1" x14ac:dyDescent="0.75">
      <c r="A123" s="19"/>
      <c r="H123" s="8"/>
    </row>
    <row r="124" spans="1:8" ht="33.75" customHeight="1" x14ac:dyDescent="0.75">
      <c r="A124" s="19"/>
      <c r="H124" s="8"/>
    </row>
    <row r="125" spans="1:8" ht="33.75" customHeight="1" x14ac:dyDescent="0.75">
      <c r="A125" s="19"/>
      <c r="H125" s="8"/>
    </row>
    <row r="126" spans="1:8" ht="33.75" customHeight="1" x14ac:dyDescent="0.75">
      <c r="A126" s="19"/>
      <c r="H126" s="8"/>
    </row>
    <row r="127" spans="1:8" ht="33.75" customHeight="1" x14ac:dyDescent="0.75">
      <c r="A127" s="19"/>
      <c r="H127" s="8"/>
    </row>
    <row r="128" spans="1:8" ht="33.75" customHeight="1" x14ac:dyDescent="0.75">
      <c r="A128" s="19"/>
      <c r="H128" s="8"/>
    </row>
    <row r="129" spans="1:8" ht="33.75" customHeight="1" x14ac:dyDescent="0.75">
      <c r="A129" s="19"/>
      <c r="H129" s="8"/>
    </row>
    <row r="130" spans="1:8" ht="33.75" customHeight="1" x14ac:dyDescent="0.75">
      <c r="A130" s="19"/>
      <c r="H130" s="8"/>
    </row>
    <row r="131" spans="1:8" ht="33.75" customHeight="1" x14ac:dyDescent="0.75">
      <c r="A131" s="19"/>
      <c r="H131" s="8"/>
    </row>
    <row r="132" spans="1:8" ht="33.75" customHeight="1" x14ac:dyDescent="0.75">
      <c r="A132" s="19"/>
      <c r="H132" s="8"/>
    </row>
    <row r="133" spans="1:8" ht="33.75" customHeight="1" x14ac:dyDescent="0.75">
      <c r="A133" s="19"/>
      <c r="H133" s="8"/>
    </row>
    <row r="134" spans="1:8" ht="33.75" customHeight="1" x14ac:dyDescent="0.75">
      <c r="A134" s="19"/>
      <c r="H134" s="8"/>
    </row>
    <row r="135" spans="1:8" ht="33.75" customHeight="1" x14ac:dyDescent="0.75">
      <c r="A135" s="19"/>
      <c r="H135" s="8"/>
    </row>
    <row r="136" spans="1:8" ht="33.75" customHeight="1" x14ac:dyDescent="0.75">
      <c r="A136" s="19"/>
      <c r="H136" s="8"/>
    </row>
    <row r="137" spans="1:8" ht="33.75" customHeight="1" x14ac:dyDescent="0.75">
      <c r="A137" s="19"/>
      <c r="H137" s="8"/>
    </row>
    <row r="138" spans="1:8" ht="33.75" customHeight="1" x14ac:dyDescent="0.75">
      <c r="A138" s="19"/>
      <c r="H138" s="8"/>
    </row>
    <row r="139" spans="1:8" ht="33.75" customHeight="1" x14ac:dyDescent="0.75">
      <c r="A139" s="19"/>
      <c r="H139" s="8"/>
    </row>
    <row r="140" spans="1:8" ht="33.75" customHeight="1" x14ac:dyDescent="0.75">
      <c r="A140" s="19"/>
      <c r="H140" s="8"/>
    </row>
    <row r="141" spans="1:8" ht="33.75" customHeight="1" x14ac:dyDescent="0.75">
      <c r="A141" s="19"/>
      <c r="H141" s="8"/>
    </row>
    <row r="142" spans="1:8" ht="33.75" customHeight="1" x14ac:dyDescent="0.75">
      <c r="A142" s="19"/>
      <c r="H142" s="8"/>
    </row>
    <row r="143" spans="1:8" ht="33.75" customHeight="1" x14ac:dyDescent="0.75">
      <c r="A143" s="19"/>
      <c r="H143" s="8"/>
    </row>
    <row r="144" spans="1:8" ht="33.75" customHeight="1" x14ac:dyDescent="0.75">
      <c r="A144" s="19"/>
      <c r="H144" s="8"/>
    </row>
    <row r="145" spans="1:8" ht="33.75" customHeight="1" x14ac:dyDescent="0.75">
      <c r="A145" s="19"/>
      <c r="H145" s="8"/>
    </row>
    <row r="146" spans="1:8" ht="33.75" customHeight="1" x14ac:dyDescent="0.75">
      <c r="A146" s="19"/>
      <c r="H146" s="8"/>
    </row>
    <row r="147" spans="1:8" ht="33.75" customHeight="1" x14ac:dyDescent="0.75">
      <c r="A147" s="19"/>
      <c r="H147" s="8"/>
    </row>
    <row r="148" spans="1:8" ht="33.75" customHeight="1" x14ac:dyDescent="0.75">
      <c r="A148" s="19"/>
      <c r="H148" s="8"/>
    </row>
    <row r="149" spans="1:8" ht="33.75" customHeight="1" x14ac:dyDescent="0.75">
      <c r="A149" s="19"/>
      <c r="H149" s="8"/>
    </row>
    <row r="150" spans="1:8" ht="33.75" customHeight="1" x14ac:dyDescent="0.75">
      <c r="A150" s="19"/>
      <c r="H150" s="8"/>
    </row>
    <row r="151" spans="1:8" ht="33.75" customHeight="1" x14ac:dyDescent="0.75">
      <c r="A151" s="19"/>
      <c r="H151" s="8"/>
    </row>
    <row r="152" spans="1:8" ht="33.75" customHeight="1" x14ac:dyDescent="0.75">
      <c r="A152" s="19"/>
      <c r="H152" s="8"/>
    </row>
    <row r="153" spans="1:8" ht="33.75" customHeight="1" x14ac:dyDescent="0.75">
      <c r="A153" s="19"/>
      <c r="H153" s="8"/>
    </row>
    <row r="154" spans="1:8" ht="33.75" customHeight="1" x14ac:dyDescent="0.75">
      <c r="A154" s="19"/>
      <c r="H154" s="8"/>
    </row>
    <row r="155" spans="1:8" ht="33.75" customHeight="1" x14ac:dyDescent="0.75">
      <c r="A155" s="19"/>
      <c r="H155" s="8"/>
    </row>
    <row r="156" spans="1:8" ht="33.75" customHeight="1" x14ac:dyDescent="0.75">
      <c r="A156" s="19"/>
      <c r="H156" s="8"/>
    </row>
    <row r="157" spans="1:8" ht="33.75" customHeight="1" x14ac:dyDescent="0.75">
      <c r="A157" s="19"/>
      <c r="H157" s="8"/>
    </row>
    <row r="158" spans="1:8" ht="33.75" customHeight="1" x14ac:dyDescent="0.75">
      <c r="A158" s="19"/>
      <c r="H158" s="8"/>
    </row>
    <row r="159" spans="1:8" ht="33.75" customHeight="1" x14ac:dyDescent="0.75">
      <c r="A159" s="19"/>
      <c r="H159" s="8"/>
    </row>
    <row r="160" spans="1:8" ht="33.75" customHeight="1" x14ac:dyDescent="0.75">
      <c r="A160" s="19"/>
      <c r="H160" s="8"/>
    </row>
    <row r="161" spans="1:8" ht="33.75" customHeight="1" x14ac:dyDescent="0.75">
      <c r="A161" s="19"/>
      <c r="H161" s="8"/>
    </row>
    <row r="162" spans="1:8" ht="33.75" customHeight="1" x14ac:dyDescent="0.75">
      <c r="A162" s="19"/>
      <c r="H162" s="8"/>
    </row>
    <row r="163" spans="1:8" ht="33.75" customHeight="1" x14ac:dyDescent="0.75">
      <c r="A163" s="19"/>
      <c r="H163" s="8"/>
    </row>
    <row r="164" spans="1:8" ht="33.75" customHeight="1" x14ac:dyDescent="0.75">
      <c r="A164" s="19"/>
      <c r="H164" s="8"/>
    </row>
    <row r="165" spans="1:8" ht="33.75" customHeight="1" x14ac:dyDescent="0.75">
      <c r="A165" s="19"/>
      <c r="H165" s="8"/>
    </row>
    <row r="166" spans="1:8" ht="33.75" customHeight="1" x14ac:dyDescent="0.75">
      <c r="A166" s="19"/>
      <c r="H166" s="8"/>
    </row>
    <row r="167" spans="1:8" ht="33.75" customHeight="1" x14ac:dyDescent="0.75">
      <c r="A167" s="19"/>
      <c r="H167" s="8"/>
    </row>
    <row r="168" spans="1:8" ht="33.75" customHeight="1" x14ac:dyDescent="0.75">
      <c r="A168" s="19"/>
      <c r="H168" s="8"/>
    </row>
    <row r="169" spans="1:8" ht="33.75" customHeight="1" x14ac:dyDescent="0.75">
      <c r="A169" s="19"/>
      <c r="H169" s="8"/>
    </row>
    <row r="170" spans="1:8" ht="33.75" customHeight="1" x14ac:dyDescent="0.75">
      <c r="A170" s="19"/>
      <c r="H170" s="8"/>
    </row>
    <row r="171" spans="1:8" ht="33.75" customHeight="1" x14ac:dyDescent="0.75">
      <c r="A171" s="19"/>
      <c r="H171" s="8"/>
    </row>
    <row r="172" spans="1:8" ht="33.75" customHeight="1" x14ac:dyDescent="0.75">
      <c r="A172" s="19"/>
      <c r="H172" s="8"/>
    </row>
    <row r="173" spans="1:8" ht="33.75" customHeight="1" x14ac:dyDescent="0.75">
      <c r="A173" s="19"/>
      <c r="H173" s="8"/>
    </row>
    <row r="174" spans="1:8" ht="33.75" customHeight="1" x14ac:dyDescent="0.75">
      <c r="A174" s="19"/>
      <c r="H174" s="8"/>
    </row>
    <row r="175" spans="1:8" ht="33.75" customHeight="1" x14ac:dyDescent="0.75">
      <c r="A175" s="19"/>
      <c r="H175" s="8"/>
    </row>
    <row r="176" spans="1:8" ht="33.75" customHeight="1" x14ac:dyDescent="0.75">
      <c r="A176" s="19"/>
      <c r="H176" s="8"/>
    </row>
    <row r="177" spans="1:8" ht="33.75" customHeight="1" x14ac:dyDescent="0.75">
      <c r="A177" s="19"/>
      <c r="H177" s="8"/>
    </row>
    <row r="178" spans="1:8" ht="33.75" customHeight="1" x14ac:dyDescent="0.75">
      <c r="A178" s="19"/>
      <c r="H178" s="8"/>
    </row>
    <row r="179" spans="1:8" ht="33.75" customHeight="1" x14ac:dyDescent="0.75">
      <c r="A179" s="19"/>
      <c r="H179" s="8"/>
    </row>
    <row r="180" spans="1:8" ht="33.75" customHeight="1" x14ac:dyDescent="0.75">
      <c r="A180" s="19"/>
      <c r="H180" s="8"/>
    </row>
    <row r="181" spans="1:8" ht="33.75" customHeight="1" x14ac:dyDescent="0.75">
      <c r="A181" s="19"/>
      <c r="H181" s="8"/>
    </row>
    <row r="182" spans="1:8" ht="33.75" customHeight="1" x14ac:dyDescent="0.75">
      <c r="A182" s="19"/>
      <c r="H182" s="8"/>
    </row>
    <row r="183" spans="1:8" ht="33.75" customHeight="1" x14ac:dyDescent="0.75">
      <c r="A183" s="19"/>
      <c r="H183" s="8"/>
    </row>
    <row r="184" spans="1:8" ht="33.75" customHeight="1" x14ac:dyDescent="0.75">
      <c r="A184" s="19"/>
      <c r="H184" s="8"/>
    </row>
    <row r="185" spans="1:8" ht="33.75" customHeight="1" x14ac:dyDescent="0.75">
      <c r="A185" s="19"/>
      <c r="H185" s="8"/>
    </row>
    <row r="186" spans="1:8" ht="33.75" customHeight="1" x14ac:dyDescent="0.75">
      <c r="A186" s="19"/>
      <c r="H186" s="8"/>
    </row>
    <row r="187" spans="1:8" ht="33.75" customHeight="1" x14ac:dyDescent="0.75">
      <c r="A187" s="19"/>
      <c r="H187" s="8"/>
    </row>
    <row r="188" spans="1:8" ht="33.75" customHeight="1" x14ac:dyDescent="0.75">
      <c r="A188" s="19"/>
      <c r="H188" s="8"/>
    </row>
    <row r="189" spans="1:8" ht="33.75" customHeight="1" x14ac:dyDescent="0.75">
      <c r="A189" s="19"/>
      <c r="H189" s="8"/>
    </row>
    <row r="190" spans="1:8" ht="33.75" customHeight="1" x14ac:dyDescent="0.75">
      <c r="A190" s="19"/>
      <c r="H190" s="8"/>
    </row>
    <row r="191" spans="1:8" ht="33.75" customHeight="1" x14ac:dyDescent="0.75">
      <c r="A191" s="19"/>
      <c r="H191" s="8"/>
    </row>
    <row r="192" spans="1:8" ht="33.75" customHeight="1" x14ac:dyDescent="0.75">
      <c r="A192" s="19"/>
      <c r="H192" s="8"/>
    </row>
    <row r="193" spans="1:8" ht="33.75" customHeight="1" x14ac:dyDescent="0.75">
      <c r="A193" s="19"/>
      <c r="H193" s="8"/>
    </row>
    <row r="194" spans="1:8" ht="33.75" customHeight="1" x14ac:dyDescent="0.75">
      <c r="A194" s="19"/>
      <c r="H194" s="8"/>
    </row>
    <row r="195" spans="1:8" ht="33.75" customHeight="1" x14ac:dyDescent="0.75">
      <c r="A195" s="19"/>
      <c r="H195" s="8"/>
    </row>
    <row r="196" spans="1:8" ht="33.75" customHeight="1" x14ac:dyDescent="0.75">
      <c r="A196" s="19"/>
      <c r="H196" s="8"/>
    </row>
    <row r="197" spans="1:8" ht="33.75" customHeight="1" x14ac:dyDescent="0.75">
      <c r="A197" s="19"/>
      <c r="H197" s="8"/>
    </row>
    <row r="198" spans="1:8" ht="33.75" customHeight="1" x14ac:dyDescent="0.75">
      <c r="A198" s="19"/>
      <c r="H198" s="8"/>
    </row>
    <row r="199" spans="1:8" ht="33.75" customHeight="1" x14ac:dyDescent="0.75">
      <c r="A199" s="19"/>
      <c r="H199" s="8"/>
    </row>
    <row r="200" spans="1:8" ht="33.75" customHeight="1" x14ac:dyDescent="0.75">
      <c r="A200" s="19"/>
      <c r="H200" s="8"/>
    </row>
    <row r="201" spans="1:8" ht="33.75" customHeight="1" x14ac:dyDescent="0.75">
      <c r="A201" s="19"/>
      <c r="H201" s="8"/>
    </row>
    <row r="202" spans="1:8" ht="33.75" customHeight="1" x14ac:dyDescent="0.75">
      <c r="A202" s="19"/>
      <c r="H202" s="8"/>
    </row>
    <row r="203" spans="1:8" ht="33.75" customHeight="1" x14ac:dyDescent="0.75">
      <c r="A203" s="19"/>
      <c r="H203" s="8"/>
    </row>
    <row r="204" spans="1:8" ht="33.75" customHeight="1" x14ac:dyDescent="0.75">
      <c r="A204" s="19"/>
      <c r="H204" s="8"/>
    </row>
    <row r="205" spans="1:8" ht="33.75" customHeight="1" x14ac:dyDescent="0.75">
      <c r="A205" s="19"/>
      <c r="H205" s="8"/>
    </row>
    <row r="206" spans="1:8" ht="33.75" customHeight="1" x14ac:dyDescent="0.75">
      <c r="A206" s="19"/>
      <c r="H206" s="8"/>
    </row>
    <row r="207" spans="1:8" ht="33.75" customHeight="1" x14ac:dyDescent="0.75">
      <c r="A207" s="19"/>
      <c r="H207" s="8"/>
    </row>
    <row r="208" spans="1:8" ht="33.75" customHeight="1" x14ac:dyDescent="0.75">
      <c r="A208" s="19"/>
      <c r="H208" s="8"/>
    </row>
    <row r="209" spans="1:8" ht="33.75" customHeight="1" x14ac:dyDescent="0.75">
      <c r="A209" s="19"/>
      <c r="H209" s="8"/>
    </row>
    <row r="210" spans="1:8" ht="33.75" customHeight="1" x14ac:dyDescent="0.75">
      <c r="A210" s="19"/>
      <c r="H210" s="8"/>
    </row>
    <row r="211" spans="1:8" ht="33.75" customHeight="1" x14ac:dyDescent="0.75">
      <c r="A211" s="19"/>
      <c r="H211" s="8"/>
    </row>
    <row r="212" spans="1:8" ht="33.75" customHeight="1" x14ac:dyDescent="0.75">
      <c r="A212" s="19"/>
      <c r="H212" s="8"/>
    </row>
    <row r="213" spans="1:8" ht="33.75" customHeight="1" x14ac:dyDescent="0.75">
      <c r="A213" s="19"/>
      <c r="H213" s="8"/>
    </row>
    <row r="214" spans="1:8" ht="33.75" customHeight="1" x14ac:dyDescent="0.75">
      <c r="A214" s="19"/>
      <c r="H214" s="8"/>
    </row>
    <row r="215" spans="1:8" ht="33.75" customHeight="1" x14ac:dyDescent="0.75">
      <c r="A215" s="19"/>
      <c r="H215" s="8"/>
    </row>
    <row r="216" spans="1:8" ht="33.75" customHeight="1" x14ac:dyDescent="0.75">
      <c r="A216" s="19"/>
      <c r="H216" s="8"/>
    </row>
    <row r="217" spans="1:8" ht="33.75" customHeight="1" x14ac:dyDescent="0.75">
      <c r="A217" s="19"/>
      <c r="H217" s="8"/>
    </row>
    <row r="218" spans="1:8" ht="33.75" customHeight="1" x14ac:dyDescent="0.75">
      <c r="A218" s="19"/>
      <c r="H218" s="8"/>
    </row>
    <row r="219" spans="1:8" ht="33.75" customHeight="1" x14ac:dyDescent="0.75">
      <c r="A219" s="19"/>
      <c r="H219" s="8"/>
    </row>
    <row r="220" spans="1:8" ht="33.75" customHeight="1" x14ac:dyDescent="0.75">
      <c r="A220" s="19"/>
      <c r="H220" s="8"/>
    </row>
    <row r="221" spans="1:8" ht="33.75" customHeight="1" x14ac:dyDescent="0.75">
      <c r="A221" s="19"/>
      <c r="H221" s="8"/>
    </row>
    <row r="222" spans="1:8" ht="33.75" customHeight="1" x14ac:dyDescent="0.75">
      <c r="A222" s="19"/>
      <c r="H222" s="8"/>
    </row>
    <row r="223" spans="1:8" ht="33.75" customHeight="1" x14ac:dyDescent="0.75">
      <c r="A223" s="19"/>
      <c r="H223" s="8"/>
    </row>
    <row r="224" spans="1:8" ht="33.75" customHeight="1" x14ac:dyDescent="0.75">
      <c r="A224" s="19"/>
      <c r="H224" s="8"/>
    </row>
    <row r="225" spans="1:8" ht="33.75" customHeight="1" x14ac:dyDescent="0.75">
      <c r="A225" s="19"/>
      <c r="H225" s="8"/>
    </row>
    <row r="226" spans="1:8" ht="33.75" customHeight="1" x14ac:dyDescent="0.75">
      <c r="A226" s="19"/>
      <c r="H226" s="8"/>
    </row>
    <row r="227" spans="1:8" ht="33.75" customHeight="1" x14ac:dyDescent="0.75">
      <c r="A227" s="19"/>
      <c r="H227" s="8"/>
    </row>
    <row r="228" spans="1:8" ht="33.75" customHeight="1" x14ac:dyDescent="0.75">
      <c r="A228" s="19"/>
      <c r="H228" s="8"/>
    </row>
    <row r="229" spans="1:8" ht="33.75" customHeight="1" x14ac:dyDescent="0.75">
      <c r="A229" s="19"/>
      <c r="H229" s="8"/>
    </row>
    <row r="230" spans="1:8" ht="33.75" customHeight="1" x14ac:dyDescent="0.75">
      <c r="A230" s="19"/>
      <c r="H230" s="8"/>
    </row>
    <row r="231" spans="1:8" ht="33.75" customHeight="1" x14ac:dyDescent="0.75">
      <c r="A231" s="19"/>
      <c r="H231" s="8"/>
    </row>
    <row r="232" spans="1:8" ht="33.75" customHeight="1" x14ac:dyDescent="0.75">
      <c r="A232" s="19"/>
      <c r="H232" s="8"/>
    </row>
    <row r="233" spans="1:8" ht="33.75" customHeight="1" x14ac:dyDescent="0.75">
      <c r="A233" s="19"/>
      <c r="H233" s="8"/>
    </row>
    <row r="234" spans="1:8" ht="33.75" customHeight="1" x14ac:dyDescent="0.75">
      <c r="A234" s="19"/>
      <c r="H234" s="8"/>
    </row>
    <row r="235" spans="1:8" ht="33.75" customHeight="1" x14ac:dyDescent="0.75">
      <c r="A235" s="19"/>
      <c r="H235" s="8"/>
    </row>
    <row r="236" spans="1:8" ht="33.75" customHeight="1" x14ac:dyDescent="0.75">
      <c r="A236" s="19"/>
      <c r="H236" s="8"/>
    </row>
    <row r="237" spans="1:8" ht="33.75" customHeight="1" x14ac:dyDescent="0.75">
      <c r="A237" s="19"/>
      <c r="H237" s="8"/>
    </row>
    <row r="238" spans="1:8" ht="33.75" customHeight="1" x14ac:dyDescent="0.75">
      <c r="A238" s="19"/>
      <c r="H238" s="8"/>
    </row>
    <row r="239" spans="1:8" ht="33.75" customHeight="1" x14ac:dyDescent="0.75">
      <c r="A239" s="19"/>
      <c r="H239" s="8"/>
    </row>
    <row r="240" spans="1:8" ht="33.75" customHeight="1" x14ac:dyDescent="0.75">
      <c r="A240" s="19"/>
      <c r="H240" s="8"/>
    </row>
    <row r="241" spans="1:8" ht="33.75" customHeight="1" x14ac:dyDescent="0.75">
      <c r="A241" s="19"/>
      <c r="H241" s="8"/>
    </row>
    <row r="242" spans="1:8" ht="33.75" customHeight="1" x14ac:dyDescent="0.75">
      <c r="A242" s="19"/>
      <c r="H242" s="8"/>
    </row>
    <row r="243" spans="1:8" ht="33.75" customHeight="1" x14ac:dyDescent="0.75">
      <c r="A243" s="19"/>
      <c r="H243" s="8"/>
    </row>
    <row r="244" spans="1:8" ht="33.75" customHeight="1" x14ac:dyDescent="0.75">
      <c r="A244" s="19"/>
      <c r="H244" s="8"/>
    </row>
    <row r="245" spans="1:8" ht="33.75" customHeight="1" x14ac:dyDescent="0.75">
      <c r="A245" s="19"/>
      <c r="H245" s="8"/>
    </row>
    <row r="246" spans="1:8" ht="33.75" customHeight="1" x14ac:dyDescent="0.75">
      <c r="A246" s="19"/>
      <c r="H246" s="8"/>
    </row>
    <row r="247" spans="1:8" ht="33.75" customHeight="1" x14ac:dyDescent="0.75">
      <c r="A247" s="19"/>
      <c r="H247" s="8"/>
    </row>
    <row r="248" spans="1:8" ht="33.75" customHeight="1" x14ac:dyDescent="0.75">
      <c r="A248" s="19"/>
      <c r="H248" s="8"/>
    </row>
    <row r="249" spans="1:8" ht="33.75" customHeight="1" x14ac:dyDescent="0.75">
      <c r="A249" s="19"/>
      <c r="H249" s="8"/>
    </row>
    <row r="250" spans="1:8" ht="33.75" customHeight="1" x14ac:dyDescent="0.75">
      <c r="A250" s="19"/>
      <c r="H250" s="8"/>
    </row>
    <row r="251" spans="1:8" ht="33.75" customHeight="1" x14ac:dyDescent="0.75">
      <c r="A251" s="19"/>
      <c r="H251" s="8"/>
    </row>
    <row r="252" spans="1:8" ht="33.75" customHeight="1" x14ac:dyDescent="0.75">
      <c r="A252" s="19"/>
      <c r="H252" s="8"/>
    </row>
    <row r="253" spans="1:8" ht="33.75" customHeight="1" x14ac:dyDescent="0.75">
      <c r="A253" s="19"/>
      <c r="H253" s="8"/>
    </row>
    <row r="254" spans="1:8" ht="33.75" customHeight="1" x14ac:dyDescent="0.75">
      <c r="A254" s="19"/>
      <c r="H254" s="8"/>
    </row>
    <row r="255" spans="1:8" ht="33.75" customHeight="1" x14ac:dyDescent="0.75">
      <c r="A255" s="19"/>
      <c r="H255" s="8"/>
    </row>
    <row r="256" spans="1:8" ht="33.75" customHeight="1" x14ac:dyDescent="0.75">
      <c r="A256" s="19"/>
      <c r="H256" s="8"/>
    </row>
    <row r="257" spans="1:8" ht="33.75" customHeight="1" x14ac:dyDescent="0.75">
      <c r="A257" s="19"/>
      <c r="H257" s="8"/>
    </row>
    <row r="258" spans="1:8" ht="33.75" customHeight="1" x14ac:dyDescent="0.75">
      <c r="A258" s="19"/>
      <c r="H258" s="8"/>
    </row>
    <row r="259" spans="1:8" ht="33.75" customHeight="1" x14ac:dyDescent="0.75">
      <c r="A259" s="19"/>
      <c r="H259" s="8"/>
    </row>
    <row r="260" spans="1:8" ht="33.75" customHeight="1" x14ac:dyDescent="0.75">
      <c r="A260" s="19"/>
      <c r="H260" s="8"/>
    </row>
    <row r="261" spans="1:8" ht="33.75" customHeight="1" x14ac:dyDescent="0.75">
      <c r="A261" s="19"/>
      <c r="H261" s="8"/>
    </row>
    <row r="262" spans="1:8" ht="33.75" customHeight="1" x14ac:dyDescent="0.75">
      <c r="A262" s="19"/>
      <c r="H262" s="8"/>
    </row>
    <row r="263" spans="1:8" ht="33.75" customHeight="1" x14ac:dyDescent="0.75">
      <c r="A263" s="19"/>
      <c r="H263" s="8"/>
    </row>
    <row r="264" spans="1:8" ht="33.75" customHeight="1" x14ac:dyDescent="0.75">
      <c r="A264" s="19"/>
      <c r="H264" s="8"/>
    </row>
    <row r="265" spans="1:8" ht="33.75" customHeight="1" x14ac:dyDescent="0.75">
      <c r="A265" s="19"/>
      <c r="H265" s="8"/>
    </row>
    <row r="266" spans="1:8" ht="33.75" customHeight="1" x14ac:dyDescent="0.75">
      <c r="A266" s="19"/>
      <c r="H266" s="8"/>
    </row>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sheetData>
  <mergeCells count="1">
    <mergeCell ref="A4:A15"/>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8"/>
  <sheetViews>
    <sheetView topLeftCell="A31" zoomScale="125" workbookViewId="0">
      <selection activeCell="C14" sqref="C14"/>
    </sheetView>
  </sheetViews>
  <sheetFormatPr defaultColWidth="14.5" defaultRowHeight="15" customHeight="1" x14ac:dyDescent="0.75"/>
  <cols>
    <col min="1" max="1" width="9.81640625" customWidth="1"/>
    <col min="2" max="2" width="61.81640625" customWidth="1"/>
    <col min="3" max="3" width="21.31640625" customWidth="1"/>
    <col min="4" max="4" width="28" customWidth="1"/>
    <col min="5" max="5" width="5.6796875" customWidth="1"/>
    <col min="6" max="6" width="6.31640625" customWidth="1"/>
    <col min="7" max="7" width="5.5" customWidth="1"/>
    <col min="8" max="8" width="74.1796875" customWidth="1"/>
  </cols>
  <sheetData>
    <row r="1" spans="1:8" ht="27" customHeight="1" x14ac:dyDescent="0.75">
      <c r="A1" s="116"/>
      <c r="B1" s="102" t="s">
        <v>127</v>
      </c>
      <c r="C1" s="28"/>
      <c r="H1" s="8"/>
    </row>
    <row r="2" spans="1:8" ht="63.75" customHeight="1" x14ac:dyDescent="0.75">
      <c r="A2" s="226"/>
      <c r="B2" s="255" t="s">
        <v>507</v>
      </c>
      <c r="C2" s="256" t="s">
        <v>509</v>
      </c>
      <c r="D2" s="257"/>
      <c r="H2" s="8"/>
    </row>
    <row r="3" spans="1:8" ht="14.25" customHeight="1" x14ac:dyDescent="0.75">
      <c r="A3" s="258"/>
      <c r="B3" s="259" t="s">
        <v>0</v>
      </c>
      <c r="C3" s="260" t="s">
        <v>1</v>
      </c>
      <c r="D3" s="266" t="s">
        <v>510</v>
      </c>
      <c r="E3" s="10"/>
      <c r="F3" s="10"/>
      <c r="G3" s="10"/>
      <c r="H3" s="10" t="s">
        <v>6</v>
      </c>
    </row>
    <row r="4" spans="1:8" ht="29.25" customHeight="1" x14ac:dyDescent="0.75">
      <c r="A4" s="486" t="s">
        <v>511</v>
      </c>
      <c r="B4" s="213" t="s">
        <v>71</v>
      </c>
      <c r="C4" s="210">
        <v>0.13600000000000001</v>
      </c>
      <c r="D4" s="214">
        <f t="shared" ref="D4:D15" si="0">C4/$C$20*(1-$C$18)</f>
        <v>0.10045866666666668</v>
      </c>
      <c r="E4" s="29"/>
      <c r="F4" s="29"/>
      <c r="G4" s="30"/>
      <c r="H4" s="31" t="s">
        <v>72</v>
      </c>
    </row>
    <row r="5" spans="1:8" ht="36" customHeight="1" x14ac:dyDescent="0.75">
      <c r="A5" s="487"/>
      <c r="B5" s="215" t="s">
        <v>73</v>
      </c>
      <c r="C5" s="211">
        <v>0</v>
      </c>
      <c r="D5" s="214">
        <f t="shared" si="0"/>
        <v>0</v>
      </c>
      <c r="G5" s="16"/>
      <c r="H5" s="11"/>
    </row>
    <row r="6" spans="1:8" ht="33.75" customHeight="1" x14ac:dyDescent="0.75">
      <c r="A6" s="487"/>
      <c r="B6" s="215" t="s">
        <v>74</v>
      </c>
      <c r="C6" s="211">
        <v>8.0000000000000002E-3</v>
      </c>
      <c r="D6" s="214">
        <f t="shared" si="0"/>
        <v>5.9093333333333333E-3</v>
      </c>
      <c r="G6" s="16"/>
      <c r="H6" s="11"/>
    </row>
    <row r="7" spans="1:8" ht="33.75" customHeight="1" x14ac:dyDescent="0.75">
      <c r="A7" s="487"/>
      <c r="B7" s="215" t="s">
        <v>75</v>
      </c>
      <c r="C7" s="211">
        <v>0</v>
      </c>
      <c r="D7" s="214">
        <f t="shared" si="0"/>
        <v>0</v>
      </c>
      <c r="G7" s="16"/>
      <c r="H7" s="11"/>
    </row>
    <row r="8" spans="1:8" ht="33.75" customHeight="1" x14ac:dyDescent="0.75">
      <c r="A8" s="487"/>
      <c r="B8" s="216" t="s">
        <v>107</v>
      </c>
      <c r="C8" s="211">
        <v>0</v>
      </c>
      <c r="D8" s="214">
        <f t="shared" si="0"/>
        <v>0</v>
      </c>
      <c r="G8" s="16"/>
      <c r="H8" s="11"/>
    </row>
    <row r="9" spans="1:8" ht="33.75" customHeight="1" x14ac:dyDescent="0.75">
      <c r="A9" s="487"/>
      <c r="B9" s="216" t="s">
        <v>499</v>
      </c>
      <c r="C9" s="211">
        <v>0</v>
      </c>
      <c r="D9" s="214">
        <f t="shared" si="0"/>
        <v>0</v>
      </c>
      <c r="G9" s="16"/>
      <c r="H9" s="11"/>
    </row>
    <row r="10" spans="1:8" ht="18" customHeight="1" x14ac:dyDescent="0.75">
      <c r="A10" s="487"/>
      <c r="B10" s="216" t="s">
        <v>108</v>
      </c>
      <c r="C10" s="211">
        <v>0</v>
      </c>
      <c r="D10" s="214">
        <f t="shared" si="0"/>
        <v>0</v>
      </c>
      <c r="G10" s="16"/>
      <c r="H10" s="11"/>
    </row>
    <row r="11" spans="1:8" ht="27" customHeight="1" x14ac:dyDescent="0.75">
      <c r="A11" s="487"/>
      <c r="B11" s="216" t="s">
        <v>78</v>
      </c>
      <c r="C11" s="211">
        <v>3.0000000000000006E-2</v>
      </c>
      <c r="D11" s="214">
        <f t="shared" si="0"/>
        <v>2.2160000000000006E-2</v>
      </c>
      <c r="G11" s="16"/>
      <c r="H11" s="11"/>
    </row>
    <row r="12" spans="1:8" ht="18" customHeight="1" x14ac:dyDescent="0.75">
      <c r="A12" s="487"/>
      <c r="B12" s="216" t="s">
        <v>109</v>
      </c>
      <c r="C12" s="211">
        <v>7.400000000000001E-2</v>
      </c>
      <c r="D12" s="214">
        <f t="shared" si="0"/>
        <v>5.466133333333334E-2</v>
      </c>
      <c r="G12" s="16"/>
      <c r="H12" s="11"/>
    </row>
    <row r="13" spans="1:8" ht="41.25" customHeight="1" x14ac:dyDescent="0.75">
      <c r="A13" s="487"/>
      <c r="B13" s="216" t="s">
        <v>110</v>
      </c>
      <c r="C13" s="211">
        <v>0.67933333333333334</v>
      </c>
      <c r="D13" s="214">
        <f t="shared" si="0"/>
        <v>0.50180088888888896</v>
      </c>
      <c r="G13" s="16"/>
      <c r="H13" s="32"/>
    </row>
    <row r="14" spans="1:8" ht="16.5" customHeight="1" x14ac:dyDescent="0.75">
      <c r="A14" s="487"/>
      <c r="B14" s="472" t="s">
        <v>556</v>
      </c>
      <c r="C14" s="473">
        <v>2.7999999999999997E-2</v>
      </c>
      <c r="D14" s="474">
        <f t="shared" si="0"/>
        <v>2.0682666666666665E-2</v>
      </c>
      <c r="G14" s="16"/>
      <c r="H14" s="11"/>
    </row>
    <row r="15" spans="1:8" ht="16.5" customHeight="1" x14ac:dyDescent="0.75">
      <c r="A15" s="488"/>
      <c r="B15" s="217" t="s">
        <v>125</v>
      </c>
      <c r="C15" s="211">
        <v>4.4666666666666667E-2</v>
      </c>
      <c r="D15" s="214">
        <f t="shared" si="0"/>
        <v>3.2993777777777782E-2</v>
      </c>
      <c r="G15" s="16"/>
      <c r="H15" s="11"/>
    </row>
    <row r="16" spans="1:8" ht="16.5" customHeight="1" x14ac:dyDescent="0.75">
      <c r="A16" s="232"/>
      <c r="B16" s="220" t="s">
        <v>83</v>
      </c>
      <c r="C16" s="212">
        <v>1</v>
      </c>
      <c r="D16" s="222">
        <f>C16</f>
        <v>1</v>
      </c>
      <c r="G16" s="16"/>
      <c r="H16" s="11"/>
    </row>
    <row r="17" spans="1:8" ht="16.5" customHeight="1" x14ac:dyDescent="0.75">
      <c r="A17" s="232"/>
      <c r="B17" s="220" t="s">
        <v>84</v>
      </c>
      <c r="C17" s="219">
        <v>0.76666666666666672</v>
      </c>
      <c r="D17" s="223">
        <f>C17</f>
        <v>0.76666666666666672</v>
      </c>
      <c r="E17" s="6"/>
      <c r="F17" s="6"/>
      <c r="G17" s="17"/>
      <c r="H17" s="18"/>
    </row>
    <row r="18" spans="1:8" ht="27" customHeight="1" x14ac:dyDescent="0.75">
      <c r="A18" s="232"/>
      <c r="B18" s="221" t="s">
        <v>387</v>
      </c>
      <c r="C18" s="122">
        <v>0.26133333333333331</v>
      </c>
      <c r="D18" s="224">
        <f>C18</f>
        <v>0.26133333333333331</v>
      </c>
      <c r="H18" s="8"/>
    </row>
    <row r="19" spans="1:8" ht="16.5" customHeight="1" x14ac:dyDescent="0.75">
      <c r="A19" s="116"/>
      <c r="B19" s="126"/>
      <c r="C19" s="127" t="s">
        <v>518</v>
      </c>
      <c r="D19" s="8"/>
    </row>
    <row r="20" spans="1:8" ht="16.5" customHeight="1" x14ac:dyDescent="0.75">
      <c r="A20" s="19"/>
      <c r="B20" s="11" t="s">
        <v>389</v>
      </c>
      <c r="C20" s="112">
        <f>SUM(C4:C15)</f>
        <v>1</v>
      </c>
      <c r="D20" s="158">
        <f>SUM(D4:D15)+D18</f>
        <v>1</v>
      </c>
    </row>
    <row r="21" spans="1:8" ht="16.5" customHeight="1" x14ac:dyDescent="0.75">
      <c r="A21" s="19"/>
      <c r="B21" s="11"/>
      <c r="C21" s="12"/>
      <c r="D21" s="8"/>
    </row>
    <row r="22" spans="1:8" ht="16.5" customHeight="1" x14ac:dyDescent="0.75">
      <c r="A22" s="19"/>
      <c r="B22" s="11"/>
      <c r="C22" s="12"/>
      <c r="D22" s="8"/>
    </row>
    <row r="23" spans="1:8" ht="16.5" customHeight="1" x14ac:dyDescent="0.75">
      <c r="A23" s="19"/>
      <c r="B23" s="11"/>
      <c r="C23" s="12"/>
      <c r="D23" s="8"/>
    </row>
    <row r="24" spans="1:8" ht="16.5" customHeight="1" x14ac:dyDescent="0.75">
      <c r="A24" s="19"/>
      <c r="B24" s="156" t="s">
        <v>521</v>
      </c>
      <c r="C24" s="12"/>
      <c r="D24" s="8"/>
    </row>
    <row r="25" spans="1:8" ht="16.5" customHeight="1" x14ac:dyDescent="0.75">
      <c r="A25" s="19"/>
      <c r="B25" s="389" t="s">
        <v>112</v>
      </c>
      <c r="C25" s="390" t="s">
        <v>34</v>
      </c>
      <c r="D25" s="391"/>
    </row>
    <row r="26" spans="1:8" ht="16.5" customHeight="1" x14ac:dyDescent="0.75">
      <c r="A26" s="19"/>
      <c r="B26" s="331" t="s">
        <v>30</v>
      </c>
      <c r="C26" s="385">
        <f>$D$8*$C$45</f>
        <v>0</v>
      </c>
      <c r="D26" s="381" t="s">
        <v>128</v>
      </c>
    </row>
    <row r="27" spans="1:8" ht="14.25" customHeight="1" x14ac:dyDescent="0.75">
      <c r="B27" s="331" t="s">
        <v>32</v>
      </c>
      <c r="C27" s="383">
        <v>0</v>
      </c>
      <c r="D27" s="332" t="s">
        <v>129</v>
      </c>
    </row>
    <row r="28" spans="1:8" ht="16.5" customHeight="1" x14ac:dyDescent="0.75">
      <c r="A28" s="19"/>
      <c r="B28" s="331" t="s">
        <v>34</v>
      </c>
      <c r="C28" s="385">
        <f>SUM($D$11:$D$12)*$C$45</f>
        <v>115181.20272582587</v>
      </c>
      <c r="D28" s="381" t="s">
        <v>130</v>
      </c>
    </row>
    <row r="29" spans="1:8" ht="16.5" customHeight="1" x14ac:dyDescent="0.75">
      <c r="A29" s="19"/>
      <c r="B29" s="331" t="s">
        <v>36</v>
      </c>
      <c r="C29" s="385">
        <f>$D$10*$C$45</f>
        <v>0</v>
      </c>
      <c r="D29" s="381" t="s">
        <v>384</v>
      </c>
    </row>
    <row r="30" spans="1:8" ht="16.5" customHeight="1" x14ac:dyDescent="0.75">
      <c r="A30" s="19"/>
      <c r="B30" s="331" t="s">
        <v>38</v>
      </c>
      <c r="C30" s="385">
        <f>D4*$C$45*C17</f>
        <v>115476.53914307158</v>
      </c>
      <c r="D30" s="382" t="s">
        <v>89</v>
      </c>
    </row>
    <row r="31" spans="1:8" ht="16.5" customHeight="1" x14ac:dyDescent="0.75">
      <c r="A31" s="19"/>
      <c r="B31" s="331" t="s">
        <v>40</v>
      </c>
      <c r="C31" s="385">
        <f>D5*$C$45*C17</f>
        <v>0</v>
      </c>
      <c r="D31" s="382" t="s">
        <v>90</v>
      </c>
    </row>
    <row r="32" spans="1:8" ht="16.5" customHeight="1" x14ac:dyDescent="0.75">
      <c r="A32" s="19"/>
      <c r="B32" s="331" t="s">
        <v>41</v>
      </c>
      <c r="C32" s="385">
        <f>D6*$C$45*C17</f>
        <v>6792.7375966512682</v>
      </c>
      <c r="D32" s="382" t="s">
        <v>91</v>
      </c>
    </row>
    <row r="33" spans="1:8" ht="16.5" customHeight="1" x14ac:dyDescent="0.75">
      <c r="A33" s="19"/>
      <c r="B33" s="331" t="s">
        <v>42</v>
      </c>
      <c r="C33" s="385">
        <f>D7*$C$45*C17</f>
        <v>0</v>
      </c>
      <c r="D33" s="382" t="s">
        <v>92</v>
      </c>
    </row>
    <row r="34" spans="1:8" ht="16.5" customHeight="1" x14ac:dyDescent="0.75">
      <c r="A34" s="19"/>
      <c r="B34" s="331" t="s">
        <v>43</v>
      </c>
      <c r="C34" s="385">
        <f>$C$45*D18*C16</f>
        <v>391827.19616533368</v>
      </c>
      <c r="D34" s="382" t="s">
        <v>93</v>
      </c>
    </row>
    <row r="35" spans="1:8" ht="16.5" customHeight="1" x14ac:dyDescent="0.75">
      <c r="A35" s="19"/>
      <c r="B35" s="331" t="s">
        <v>45</v>
      </c>
      <c r="C35" s="385">
        <v>0</v>
      </c>
      <c r="D35" s="382" t="s">
        <v>131</v>
      </c>
    </row>
    <row r="36" spans="1:8" ht="16.5" customHeight="1" x14ac:dyDescent="0.75">
      <c r="A36" s="19"/>
      <c r="B36" s="331" t="s">
        <v>47</v>
      </c>
      <c r="C36" s="383">
        <v>0</v>
      </c>
      <c r="D36" s="382" t="s">
        <v>131</v>
      </c>
    </row>
    <row r="37" spans="1:8" ht="16.5" customHeight="1" x14ac:dyDescent="0.75">
      <c r="A37" s="19"/>
      <c r="B37" s="331" t="s">
        <v>48</v>
      </c>
      <c r="C37" s="383">
        <v>0</v>
      </c>
      <c r="D37" s="382" t="s">
        <v>132</v>
      </c>
    </row>
    <row r="38" spans="1:8" ht="16.5" customHeight="1" x14ac:dyDescent="0.75">
      <c r="A38" s="19"/>
      <c r="B38" s="331" t="s">
        <v>50</v>
      </c>
      <c r="C38" s="383">
        <v>0</v>
      </c>
      <c r="D38" s="382" t="s">
        <v>133</v>
      </c>
    </row>
    <row r="39" spans="1:8" ht="16.5" customHeight="1" x14ac:dyDescent="0.75">
      <c r="A39" s="19"/>
      <c r="B39" s="331" t="s">
        <v>52</v>
      </c>
      <c r="C39" s="383">
        <v>0</v>
      </c>
      <c r="D39" s="382" t="s">
        <v>134</v>
      </c>
    </row>
    <row r="40" spans="1:8" ht="16.5" customHeight="1" x14ac:dyDescent="0.75">
      <c r="A40" s="19"/>
      <c r="B40" s="331" t="s">
        <v>54</v>
      </c>
      <c r="C40" s="383">
        <v>0</v>
      </c>
      <c r="D40" s="382" t="s">
        <v>135</v>
      </c>
    </row>
    <row r="41" spans="1:8" ht="16.5" customHeight="1" x14ac:dyDescent="0.75">
      <c r="A41" s="19"/>
      <c r="B41" s="329" t="s">
        <v>568</v>
      </c>
      <c r="C41" s="481">
        <f>$D$14*$C$45</f>
        <v>31010.323810799266</v>
      </c>
      <c r="D41" s="346" t="s">
        <v>569</v>
      </c>
    </row>
    <row r="42" spans="1:8" ht="16.5" customHeight="1" x14ac:dyDescent="0.75">
      <c r="A42" s="19"/>
      <c r="B42" s="329" t="s">
        <v>57</v>
      </c>
      <c r="C42" s="481">
        <f>$D$15*$C$45</f>
        <v>49468.849888655976</v>
      </c>
      <c r="D42" s="354" t="s">
        <v>570</v>
      </c>
    </row>
    <row r="43" spans="1:8" ht="16.5" customHeight="1" x14ac:dyDescent="0.75">
      <c r="A43" s="19"/>
      <c r="B43" s="384" t="s">
        <v>59</v>
      </c>
      <c r="C43" s="385">
        <f>$D$13*$C$45 + C45*SUM(D4:D7)*(1-C17) + C45*C18*(1-C16)</f>
        <v>789581.91150639858</v>
      </c>
      <c r="D43" s="382" t="s">
        <v>136</v>
      </c>
    </row>
    <row r="44" spans="1:8" ht="16.5" customHeight="1" x14ac:dyDescent="0.75">
      <c r="A44" s="19"/>
      <c r="B44" s="331" t="s">
        <v>61</v>
      </c>
      <c r="C44" s="385">
        <f>SUM($C$26:$C$43)</f>
        <v>1499338.7608367363</v>
      </c>
      <c r="D44" s="382" t="s">
        <v>62</v>
      </c>
    </row>
    <row r="45" spans="1:8" ht="33" customHeight="1" x14ac:dyDescent="0.75">
      <c r="A45" s="19"/>
      <c r="B45" s="331" t="s">
        <v>63</v>
      </c>
      <c r="C45" s="383">
        <f>SUM(Tourists!C27, Tourism!C28, Lodges!C29,Restaurants!C29,SUM(Households!C32:D32) + NatParkPA!C29  + ComRevSh!C27)/(1-SUM(D8:D12))</f>
        <v>1499338.7608367361</v>
      </c>
      <c r="D45" s="382" t="s">
        <v>137</v>
      </c>
      <c r="E45" s="127" t="s">
        <v>385</v>
      </c>
    </row>
    <row r="46" spans="1:8" ht="16.5" customHeight="1" x14ac:dyDescent="0.75">
      <c r="A46" s="19"/>
      <c r="B46" s="331" t="s">
        <v>65</v>
      </c>
      <c r="C46" s="383">
        <f>C45-C44</f>
        <v>0</v>
      </c>
      <c r="D46" s="382" t="s">
        <v>102</v>
      </c>
    </row>
    <row r="47" spans="1:8" ht="16.5" customHeight="1" x14ac:dyDescent="0.75">
      <c r="A47" s="19"/>
      <c r="B47" s="386" t="s">
        <v>67</v>
      </c>
      <c r="C47" s="387">
        <f>C46/C45</f>
        <v>0</v>
      </c>
      <c r="D47" s="388" t="s">
        <v>103</v>
      </c>
    </row>
    <row r="48" spans="1:8" ht="27" customHeight="1" x14ac:dyDescent="0.75">
      <c r="A48" s="19"/>
      <c r="B48" s="20" t="s">
        <v>104</v>
      </c>
      <c r="C48" s="21">
        <f>C34/C45</f>
        <v>0.26133333333333331</v>
      </c>
      <c r="H48" s="8"/>
    </row>
    <row r="49" spans="1:8" ht="27" customHeight="1" x14ac:dyDescent="0.75">
      <c r="A49" s="19"/>
      <c r="C49" s="28"/>
      <c r="H49" s="8"/>
    </row>
    <row r="50" spans="1:8" ht="27" customHeight="1" x14ac:dyDescent="0.75">
      <c r="A50" s="19"/>
      <c r="C50" s="28"/>
      <c r="H50" s="8"/>
    </row>
    <row r="51" spans="1:8" ht="27" customHeight="1" x14ac:dyDescent="0.75">
      <c r="A51" s="19"/>
      <c r="C51" s="28"/>
      <c r="H51" s="8"/>
    </row>
    <row r="52" spans="1:8" ht="27" customHeight="1" x14ac:dyDescent="0.75">
      <c r="A52" s="19"/>
      <c r="B52" s="23" t="s">
        <v>506</v>
      </c>
      <c r="H52" s="8"/>
    </row>
    <row r="53" spans="1:8" ht="27" customHeight="1" x14ac:dyDescent="0.75">
      <c r="A53" s="19"/>
      <c r="B53" s="33" t="s">
        <v>0</v>
      </c>
      <c r="C53" s="34" t="s">
        <v>1</v>
      </c>
      <c r="D53" s="35" t="s">
        <v>2</v>
      </c>
      <c r="E53" s="35" t="s">
        <v>3</v>
      </c>
      <c r="F53" s="35" t="s">
        <v>4</v>
      </c>
      <c r="G53" s="35" t="s">
        <v>5</v>
      </c>
      <c r="H53" s="8"/>
    </row>
    <row r="54" spans="1:8" ht="27" customHeight="1" x14ac:dyDescent="0.75">
      <c r="A54" s="19"/>
      <c r="B54" s="198" t="s">
        <v>71</v>
      </c>
      <c r="C54" s="199">
        <f t="shared" ref="C54:C63" si="1">C4*100</f>
        <v>13.600000000000001</v>
      </c>
      <c r="D54" s="200" t="s">
        <v>415</v>
      </c>
      <c r="E54" s="200">
        <v>0</v>
      </c>
      <c r="F54" s="200">
        <v>100</v>
      </c>
      <c r="G54" s="201">
        <v>0.01</v>
      </c>
      <c r="H54" s="8"/>
    </row>
    <row r="55" spans="1:8" ht="27" customHeight="1" x14ac:dyDescent="0.75">
      <c r="A55" s="19"/>
      <c r="B55" s="198" t="s">
        <v>73</v>
      </c>
      <c r="C55" s="199">
        <f t="shared" si="1"/>
        <v>0</v>
      </c>
      <c r="D55" s="181" t="s">
        <v>416</v>
      </c>
      <c r="E55" s="181">
        <v>0</v>
      </c>
      <c r="F55" s="181">
        <v>100</v>
      </c>
      <c r="G55" s="202">
        <v>0.01</v>
      </c>
      <c r="H55" s="8"/>
    </row>
    <row r="56" spans="1:8" ht="27" customHeight="1" x14ac:dyDescent="0.75">
      <c r="A56" s="19"/>
      <c r="B56" s="198" t="s">
        <v>74</v>
      </c>
      <c r="C56" s="199">
        <f t="shared" si="1"/>
        <v>0.8</v>
      </c>
      <c r="D56" s="200" t="s">
        <v>417</v>
      </c>
      <c r="E56" s="181">
        <v>0</v>
      </c>
      <c r="F56" s="181">
        <v>100</v>
      </c>
      <c r="G56" s="202">
        <v>0.01</v>
      </c>
      <c r="H56" s="8"/>
    </row>
    <row r="57" spans="1:8" ht="27" customHeight="1" x14ac:dyDescent="0.75">
      <c r="A57" s="19"/>
      <c r="B57" s="198" t="s">
        <v>75</v>
      </c>
      <c r="C57" s="199">
        <f t="shared" si="1"/>
        <v>0</v>
      </c>
      <c r="D57" s="181" t="s">
        <v>418</v>
      </c>
      <c r="E57" s="181">
        <v>0</v>
      </c>
      <c r="F57" s="181">
        <v>100</v>
      </c>
      <c r="G57" s="202">
        <v>0.01</v>
      </c>
      <c r="H57" s="8"/>
    </row>
    <row r="58" spans="1:8" ht="27" customHeight="1" x14ac:dyDescent="0.75">
      <c r="A58" s="19"/>
      <c r="B58" s="198" t="s">
        <v>107</v>
      </c>
      <c r="C58" s="199">
        <f t="shared" si="1"/>
        <v>0</v>
      </c>
      <c r="D58" s="181" t="s">
        <v>419</v>
      </c>
      <c r="E58" s="181">
        <v>0</v>
      </c>
      <c r="F58" s="181">
        <v>100</v>
      </c>
      <c r="G58" s="203">
        <v>0.01</v>
      </c>
      <c r="H58" s="8"/>
    </row>
    <row r="59" spans="1:8" ht="27" customHeight="1" x14ac:dyDescent="0.75">
      <c r="A59" s="19"/>
      <c r="B59" s="204" t="s">
        <v>496</v>
      </c>
      <c r="C59" s="199">
        <f t="shared" si="1"/>
        <v>0</v>
      </c>
      <c r="D59" s="181" t="s">
        <v>420</v>
      </c>
      <c r="E59" s="181">
        <v>0</v>
      </c>
      <c r="F59" s="181">
        <v>100</v>
      </c>
      <c r="G59" s="181">
        <v>0.01</v>
      </c>
      <c r="H59" s="8"/>
    </row>
    <row r="60" spans="1:8" ht="27" customHeight="1" x14ac:dyDescent="0.75">
      <c r="A60" s="19"/>
      <c r="B60" s="198" t="s">
        <v>108</v>
      </c>
      <c r="C60" s="199">
        <f t="shared" si="1"/>
        <v>0</v>
      </c>
      <c r="D60" s="181" t="s">
        <v>421</v>
      </c>
      <c r="E60" s="181">
        <v>0</v>
      </c>
      <c r="F60" s="181">
        <v>100</v>
      </c>
      <c r="G60" s="203">
        <v>0.01</v>
      </c>
      <c r="H60" s="8"/>
    </row>
    <row r="61" spans="1:8" ht="27" customHeight="1" x14ac:dyDescent="0.75">
      <c r="A61" s="19"/>
      <c r="B61" s="198" t="s">
        <v>78</v>
      </c>
      <c r="C61" s="199">
        <f t="shared" si="1"/>
        <v>3.0000000000000004</v>
      </c>
      <c r="D61" s="181" t="s">
        <v>422</v>
      </c>
      <c r="E61" s="181">
        <v>0</v>
      </c>
      <c r="F61" s="181">
        <v>100</v>
      </c>
      <c r="G61" s="203">
        <v>0.01</v>
      </c>
      <c r="H61" s="8"/>
    </row>
    <row r="62" spans="1:8" ht="27" customHeight="1" x14ac:dyDescent="0.75">
      <c r="A62" s="19"/>
      <c r="B62" s="198" t="s">
        <v>109</v>
      </c>
      <c r="C62" s="199">
        <f t="shared" si="1"/>
        <v>7.4000000000000012</v>
      </c>
      <c r="D62" s="181" t="s">
        <v>423</v>
      </c>
      <c r="E62" s="181">
        <v>0</v>
      </c>
      <c r="F62" s="181">
        <v>100</v>
      </c>
      <c r="G62" s="203">
        <v>0.01</v>
      </c>
      <c r="H62" s="8"/>
    </row>
    <row r="63" spans="1:8" ht="27" customHeight="1" x14ac:dyDescent="0.75">
      <c r="A63" s="19"/>
      <c r="B63" s="198" t="s">
        <v>110</v>
      </c>
      <c r="C63" s="199">
        <f t="shared" si="1"/>
        <v>67.933333333333337</v>
      </c>
      <c r="D63" s="181" t="s">
        <v>424</v>
      </c>
      <c r="E63" s="181">
        <v>0</v>
      </c>
      <c r="F63" s="181">
        <v>100</v>
      </c>
      <c r="G63" s="203">
        <v>0.01</v>
      </c>
      <c r="H63" s="8"/>
    </row>
    <row r="64" spans="1:8" ht="27" customHeight="1" x14ac:dyDescent="0.75">
      <c r="A64" s="19"/>
      <c r="B64" s="205" t="s">
        <v>125</v>
      </c>
      <c r="C64" s="199">
        <f t="shared" ref="C64" si="2">C15*100</f>
        <v>4.4666666666666668</v>
      </c>
      <c r="D64" s="181" t="s">
        <v>458</v>
      </c>
      <c r="E64" s="181">
        <v>0</v>
      </c>
      <c r="F64" s="181">
        <v>100</v>
      </c>
      <c r="G64" s="203">
        <v>0.01</v>
      </c>
      <c r="H64" s="8"/>
    </row>
    <row r="65" spans="1:8" ht="27" customHeight="1" x14ac:dyDescent="0.75">
      <c r="A65" s="19"/>
      <c r="B65" s="205" t="s">
        <v>83</v>
      </c>
      <c r="C65" s="199">
        <f t="shared" ref="C65:C66" si="3">D16*100</f>
        <v>100</v>
      </c>
      <c r="D65" s="181" t="s">
        <v>504</v>
      </c>
      <c r="E65" s="181">
        <v>0</v>
      </c>
      <c r="F65" s="181">
        <v>100</v>
      </c>
      <c r="G65" s="203">
        <v>0.01</v>
      </c>
      <c r="H65" s="8"/>
    </row>
    <row r="66" spans="1:8" ht="27" customHeight="1" x14ac:dyDescent="0.75">
      <c r="A66" s="19"/>
      <c r="B66" s="205" t="s">
        <v>84</v>
      </c>
      <c r="C66" s="199">
        <f t="shared" si="3"/>
        <v>76.666666666666671</v>
      </c>
      <c r="D66" s="189" t="s">
        <v>126</v>
      </c>
      <c r="E66" s="189">
        <v>0</v>
      </c>
      <c r="F66" s="189">
        <v>100</v>
      </c>
      <c r="G66" s="206">
        <v>0.01</v>
      </c>
      <c r="H66" s="8"/>
    </row>
    <row r="67" spans="1:8" ht="27" customHeight="1" x14ac:dyDescent="0.75">
      <c r="A67" s="19"/>
      <c r="B67" s="207" t="s">
        <v>387</v>
      </c>
      <c r="C67" s="208">
        <f>C18*100</f>
        <v>26.133333333333329</v>
      </c>
      <c r="D67" s="181" t="s">
        <v>393</v>
      </c>
      <c r="E67" s="189">
        <v>0</v>
      </c>
      <c r="F67" s="189">
        <v>100</v>
      </c>
      <c r="G67" s="206">
        <v>0.01</v>
      </c>
      <c r="H67" s="8"/>
    </row>
    <row r="68" spans="1:8" ht="27" customHeight="1" x14ac:dyDescent="0.75">
      <c r="A68" s="19"/>
      <c r="C68" s="28"/>
      <c r="H68" s="8"/>
    </row>
    <row r="69" spans="1:8" ht="27" customHeight="1" x14ac:dyDescent="0.75">
      <c r="A69" s="19"/>
      <c r="C69" s="28"/>
      <c r="H69" s="8"/>
    </row>
    <row r="70" spans="1:8" ht="27" customHeight="1" x14ac:dyDescent="0.75">
      <c r="A70" s="19"/>
      <c r="C70" s="28"/>
      <c r="H70" s="8"/>
    </row>
    <row r="71" spans="1:8" ht="27" customHeight="1" x14ac:dyDescent="0.75">
      <c r="A71" s="19"/>
      <c r="C71" s="28"/>
      <c r="H71" s="8"/>
    </row>
    <row r="72" spans="1:8" ht="27" customHeight="1" x14ac:dyDescent="0.75">
      <c r="A72" s="19"/>
      <c r="C72" s="28"/>
      <c r="H72" s="8"/>
    </row>
    <row r="73" spans="1:8" ht="27" customHeight="1" x14ac:dyDescent="0.75">
      <c r="A73" s="19"/>
      <c r="C73" s="28"/>
      <c r="H73" s="8"/>
    </row>
    <row r="74" spans="1:8" ht="27" customHeight="1" x14ac:dyDescent="0.75">
      <c r="A74" s="19"/>
      <c r="C74" s="28"/>
      <c r="H74" s="8"/>
    </row>
    <row r="75" spans="1:8" ht="27" customHeight="1" x14ac:dyDescent="0.75">
      <c r="A75" s="19"/>
      <c r="C75" s="28"/>
      <c r="H75" s="8"/>
    </row>
    <row r="76" spans="1:8" ht="27" customHeight="1" x14ac:dyDescent="0.75">
      <c r="A76" s="19"/>
      <c r="C76" s="28"/>
      <c r="H76" s="8"/>
    </row>
    <row r="77" spans="1:8" ht="27" customHeight="1" x14ac:dyDescent="0.75">
      <c r="A77" s="19"/>
      <c r="C77" s="28"/>
      <c r="H77" s="8"/>
    </row>
    <row r="78" spans="1:8" ht="27" customHeight="1" x14ac:dyDescent="0.75">
      <c r="A78" s="19"/>
      <c r="C78" s="28"/>
      <c r="H78" s="8"/>
    </row>
    <row r="79" spans="1:8" ht="27" customHeight="1" x14ac:dyDescent="0.75">
      <c r="A79" s="19"/>
      <c r="C79" s="28"/>
      <c r="H79" s="8"/>
    </row>
    <row r="80" spans="1:8" ht="27" customHeight="1" x14ac:dyDescent="0.75">
      <c r="A80" s="19"/>
      <c r="C80" s="28"/>
      <c r="H80" s="8"/>
    </row>
    <row r="81" spans="1:8" ht="27" customHeight="1" x14ac:dyDescent="0.75">
      <c r="A81" s="19"/>
      <c r="C81" s="28"/>
      <c r="H81" s="8"/>
    </row>
    <row r="82" spans="1:8" ht="27" customHeight="1" x14ac:dyDescent="0.75">
      <c r="A82" s="19"/>
      <c r="C82" s="28"/>
      <c r="H82" s="8"/>
    </row>
    <row r="83" spans="1:8" ht="27" customHeight="1" x14ac:dyDescent="0.75">
      <c r="A83" s="19"/>
      <c r="C83" s="28"/>
      <c r="H83" s="8"/>
    </row>
    <row r="84" spans="1:8" ht="27" customHeight="1" x14ac:dyDescent="0.75">
      <c r="A84" s="19"/>
      <c r="C84" s="28"/>
      <c r="H84" s="8"/>
    </row>
    <row r="85" spans="1:8" ht="27" customHeight="1" x14ac:dyDescent="0.75">
      <c r="A85" s="19"/>
      <c r="C85" s="28"/>
      <c r="H85" s="8"/>
    </row>
    <row r="86" spans="1:8" ht="27" customHeight="1" x14ac:dyDescent="0.75">
      <c r="A86" s="19"/>
      <c r="C86" s="28"/>
      <c r="H86" s="8"/>
    </row>
    <row r="87" spans="1:8" ht="27" customHeight="1" x14ac:dyDescent="0.75">
      <c r="A87" s="19"/>
      <c r="C87" s="28"/>
      <c r="H87" s="8"/>
    </row>
    <row r="88" spans="1:8" ht="27" customHeight="1" x14ac:dyDescent="0.75">
      <c r="A88" s="19"/>
      <c r="C88" s="28"/>
      <c r="H88" s="8"/>
    </row>
    <row r="89" spans="1:8" ht="27" customHeight="1" x14ac:dyDescent="0.75">
      <c r="A89" s="19"/>
      <c r="C89" s="28"/>
      <c r="H89" s="8"/>
    </row>
    <row r="90" spans="1:8" ht="27" customHeight="1" x14ac:dyDescent="0.75">
      <c r="A90" s="19"/>
      <c r="C90" s="28"/>
      <c r="H90" s="8"/>
    </row>
    <row r="91" spans="1:8" ht="27" customHeight="1" x14ac:dyDescent="0.75">
      <c r="A91" s="19"/>
      <c r="C91" s="28"/>
      <c r="H91" s="8"/>
    </row>
    <row r="92" spans="1:8" ht="27" customHeight="1" x14ac:dyDescent="0.75">
      <c r="A92" s="19"/>
      <c r="C92" s="28"/>
      <c r="H92" s="8"/>
    </row>
    <row r="93" spans="1:8" ht="27" customHeight="1" x14ac:dyDescent="0.75">
      <c r="A93" s="19"/>
      <c r="C93" s="28"/>
      <c r="H93" s="8"/>
    </row>
    <row r="94" spans="1:8" ht="27" customHeight="1" x14ac:dyDescent="0.75">
      <c r="A94" s="19"/>
      <c r="C94" s="28"/>
      <c r="H94" s="8"/>
    </row>
    <row r="95" spans="1:8" ht="27" customHeight="1" x14ac:dyDescent="0.75">
      <c r="A95" s="19"/>
      <c r="C95" s="28"/>
      <c r="H95" s="8"/>
    </row>
    <row r="96" spans="1:8" ht="27" customHeight="1" x14ac:dyDescent="0.75">
      <c r="A96" s="19"/>
      <c r="C96" s="28"/>
      <c r="H96" s="8"/>
    </row>
    <row r="97" spans="1:8" ht="27" customHeight="1" x14ac:dyDescent="0.75">
      <c r="A97" s="19"/>
      <c r="C97" s="28"/>
      <c r="H97" s="8"/>
    </row>
    <row r="98" spans="1:8" ht="27" customHeight="1" x14ac:dyDescent="0.75">
      <c r="A98" s="19"/>
      <c r="C98" s="28"/>
      <c r="H98" s="8"/>
    </row>
    <row r="99" spans="1:8" ht="27" customHeight="1" x14ac:dyDescent="0.75">
      <c r="A99" s="19"/>
      <c r="C99" s="28"/>
      <c r="H99" s="8"/>
    </row>
    <row r="100" spans="1:8" ht="27" customHeight="1" x14ac:dyDescent="0.75">
      <c r="A100" s="19"/>
      <c r="C100" s="28"/>
      <c r="H100" s="8"/>
    </row>
    <row r="101" spans="1:8" ht="27" customHeight="1" x14ac:dyDescent="0.75">
      <c r="A101" s="19"/>
      <c r="C101" s="28"/>
      <c r="H101" s="8"/>
    </row>
    <row r="102" spans="1:8" ht="27" customHeight="1" x14ac:dyDescent="0.75">
      <c r="A102" s="19"/>
      <c r="C102" s="28"/>
      <c r="H102" s="8"/>
    </row>
    <row r="103" spans="1:8" ht="27" customHeight="1" x14ac:dyDescent="0.75">
      <c r="A103" s="19"/>
      <c r="C103" s="28"/>
      <c r="H103" s="8"/>
    </row>
    <row r="104" spans="1:8" ht="27" customHeight="1" x14ac:dyDescent="0.75">
      <c r="A104" s="19"/>
      <c r="C104" s="28"/>
      <c r="H104" s="8"/>
    </row>
    <row r="105" spans="1:8" ht="27" customHeight="1" x14ac:dyDescent="0.75">
      <c r="A105" s="19"/>
      <c r="C105" s="28"/>
      <c r="H105" s="8"/>
    </row>
    <row r="106" spans="1:8" ht="27" customHeight="1" x14ac:dyDescent="0.75">
      <c r="A106" s="19"/>
      <c r="C106" s="28"/>
      <c r="H106" s="8"/>
    </row>
    <row r="107" spans="1:8" ht="27" customHeight="1" x14ac:dyDescent="0.75">
      <c r="A107" s="19"/>
      <c r="C107" s="28"/>
      <c r="H107" s="8"/>
    </row>
    <row r="108" spans="1:8" ht="27" customHeight="1" x14ac:dyDescent="0.75">
      <c r="A108" s="19"/>
      <c r="C108" s="28"/>
      <c r="H108" s="8"/>
    </row>
    <row r="109" spans="1:8" ht="27" customHeight="1" x14ac:dyDescent="0.75">
      <c r="A109" s="19"/>
      <c r="C109" s="28"/>
      <c r="H109" s="8"/>
    </row>
    <row r="110" spans="1:8" ht="27" customHeight="1" x14ac:dyDescent="0.75">
      <c r="A110" s="19"/>
      <c r="C110" s="28"/>
      <c r="H110" s="8"/>
    </row>
    <row r="111" spans="1:8" ht="27" customHeight="1" x14ac:dyDescent="0.75">
      <c r="A111" s="19"/>
      <c r="C111" s="28"/>
      <c r="H111" s="8"/>
    </row>
    <row r="112" spans="1:8" ht="27" customHeight="1" x14ac:dyDescent="0.75">
      <c r="A112" s="19"/>
      <c r="C112" s="28"/>
      <c r="H112" s="8"/>
    </row>
    <row r="113" spans="1:8" ht="27" customHeight="1" x14ac:dyDescent="0.75">
      <c r="A113" s="19"/>
      <c r="C113" s="28"/>
      <c r="H113" s="8"/>
    </row>
    <row r="114" spans="1:8" ht="27" customHeight="1" x14ac:dyDescent="0.75">
      <c r="A114" s="19"/>
      <c r="C114" s="28"/>
      <c r="H114" s="8"/>
    </row>
    <row r="115" spans="1:8" ht="27" customHeight="1" x14ac:dyDescent="0.75">
      <c r="A115" s="19"/>
      <c r="C115" s="28"/>
      <c r="H115" s="8"/>
    </row>
    <row r="116" spans="1:8" ht="27" customHeight="1" x14ac:dyDescent="0.75">
      <c r="A116" s="19"/>
      <c r="C116" s="28"/>
      <c r="H116" s="8"/>
    </row>
    <row r="117" spans="1:8" ht="27" customHeight="1" x14ac:dyDescent="0.75">
      <c r="A117" s="19"/>
      <c r="C117" s="28"/>
      <c r="H117" s="8"/>
    </row>
    <row r="118" spans="1:8" ht="27" customHeight="1" x14ac:dyDescent="0.75">
      <c r="A118" s="19"/>
      <c r="C118" s="28"/>
      <c r="H118" s="8"/>
    </row>
    <row r="119" spans="1:8" ht="27" customHeight="1" x14ac:dyDescent="0.75">
      <c r="A119" s="19"/>
      <c r="C119" s="28"/>
      <c r="H119" s="8"/>
    </row>
    <row r="120" spans="1:8" ht="27" customHeight="1" x14ac:dyDescent="0.75">
      <c r="A120" s="19"/>
      <c r="C120" s="28"/>
      <c r="H120" s="8"/>
    </row>
    <row r="121" spans="1:8" ht="27" customHeight="1" x14ac:dyDescent="0.75">
      <c r="A121" s="19"/>
      <c r="C121" s="28"/>
      <c r="H121" s="8"/>
    </row>
    <row r="122" spans="1:8" ht="27" customHeight="1" x14ac:dyDescent="0.75">
      <c r="A122" s="19"/>
      <c r="C122" s="28"/>
      <c r="H122" s="8"/>
    </row>
    <row r="123" spans="1:8" ht="27" customHeight="1" x14ac:dyDescent="0.75">
      <c r="A123" s="19"/>
      <c r="C123" s="28"/>
      <c r="H123" s="8"/>
    </row>
    <row r="124" spans="1:8" ht="27" customHeight="1" x14ac:dyDescent="0.75">
      <c r="A124" s="19"/>
      <c r="C124" s="28"/>
      <c r="H124" s="8"/>
    </row>
    <row r="125" spans="1:8" ht="27" customHeight="1" x14ac:dyDescent="0.75">
      <c r="A125" s="19"/>
      <c r="C125" s="28"/>
      <c r="H125" s="8"/>
    </row>
    <row r="126" spans="1:8" ht="27" customHeight="1" x14ac:dyDescent="0.75">
      <c r="A126" s="19"/>
      <c r="C126" s="28"/>
      <c r="H126" s="8"/>
    </row>
    <row r="127" spans="1:8" ht="27" customHeight="1" x14ac:dyDescent="0.75">
      <c r="A127" s="19"/>
      <c r="C127" s="28"/>
      <c r="H127" s="8"/>
    </row>
    <row r="128" spans="1:8" ht="27" customHeight="1" x14ac:dyDescent="0.75">
      <c r="A128" s="19"/>
      <c r="C128" s="28"/>
      <c r="H128" s="8"/>
    </row>
    <row r="129" spans="1:8" ht="27" customHeight="1" x14ac:dyDescent="0.75">
      <c r="A129" s="19"/>
      <c r="C129" s="28"/>
      <c r="H129" s="8"/>
    </row>
    <row r="130" spans="1:8" ht="27" customHeight="1" x14ac:dyDescent="0.75">
      <c r="A130" s="19"/>
      <c r="C130" s="28"/>
      <c r="H130" s="8"/>
    </row>
    <row r="131" spans="1:8" ht="27" customHeight="1" x14ac:dyDescent="0.75">
      <c r="A131" s="19"/>
      <c r="C131" s="28"/>
      <c r="H131" s="8"/>
    </row>
    <row r="132" spans="1:8" ht="27" customHeight="1" x14ac:dyDescent="0.75">
      <c r="A132" s="19"/>
      <c r="C132" s="28"/>
      <c r="H132" s="8"/>
    </row>
    <row r="133" spans="1:8" ht="27" customHeight="1" x14ac:dyDescent="0.75">
      <c r="A133" s="19"/>
      <c r="C133" s="28"/>
      <c r="H133" s="8"/>
    </row>
    <row r="134" spans="1:8" ht="27" customHeight="1" x14ac:dyDescent="0.75">
      <c r="A134" s="19"/>
      <c r="C134" s="28"/>
      <c r="H134" s="8"/>
    </row>
    <row r="135" spans="1:8" ht="27" customHeight="1" x14ac:dyDescent="0.75">
      <c r="A135" s="19"/>
      <c r="C135" s="28"/>
      <c r="H135" s="8"/>
    </row>
    <row r="136" spans="1:8" ht="27" customHeight="1" x14ac:dyDescent="0.75">
      <c r="A136" s="19"/>
      <c r="C136" s="28"/>
      <c r="H136" s="8"/>
    </row>
    <row r="137" spans="1:8" ht="27" customHeight="1" x14ac:dyDescent="0.75">
      <c r="A137" s="19"/>
      <c r="C137" s="28"/>
      <c r="H137" s="8"/>
    </row>
    <row r="138" spans="1:8" ht="27" customHeight="1" x14ac:dyDescent="0.75">
      <c r="A138" s="19"/>
      <c r="C138" s="28"/>
      <c r="H138" s="8"/>
    </row>
    <row r="139" spans="1:8" ht="27" customHeight="1" x14ac:dyDescent="0.75">
      <c r="A139" s="19"/>
      <c r="C139" s="28"/>
      <c r="H139" s="8"/>
    </row>
    <row r="140" spans="1:8" ht="27" customHeight="1" x14ac:dyDescent="0.75">
      <c r="A140" s="19"/>
      <c r="C140" s="28"/>
      <c r="H140" s="8"/>
    </row>
    <row r="141" spans="1:8" ht="27" customHeight="1" x14ac:dyDescent="0.75">
      <c r="A141" s="19"/>
      <c r="C141" s="28"/>
      <c r="H141" s="8"/>
    </row>
    <row r="142" spans="1:8" ht="27" customHeight="1" x14ac:dyDescent="0.75">
      <c r="A142" s="19"/>
      <c r="C142" s="28"/>
      <c r="H142" s="8"/>
    </row>
    <row r="143" spans="1:8" ht="27" customHeight="1" x14ac:dyDescent="0.75">
      <c r="A143" s="19"/>
      <c r="C143" s="28"/>
      <c r="H143" s="8"/>
    </row>
    <row r="144" spans="1:8" ht="27" customHeight="1" x14ac:dyDescent="0.75">
      <c r="A144" s="19"/>
      <c r="C144" s="28"/>
      <c r="H144" s="8"/>
    </row>
    <row r="145" spans="1:8" ht="27" customHeight="1" x14ac:dyDescent="0.75">
      <c r="A145" s="19"/>
      <c r="C145" s="28"/>
      <c r="H145" s="8"/>
    </row>
    <row r="146" spans="1:8" ht="27" customHeight="1" x14ac:dyDescent="0.75">
      <c r="A146" s="19"/>
      <c r="C146" s="28"/>
      <c r="H146" s="8"/>
    </row>
    <row r="147" spans="1:8" ht="27" customHeight="1" x14ac:dyDescent="0.75">
      <c r="A147" s="19"/>
      <c r="C147" s="28"/>
      <c r="H147" s="8"/>
    </row>
    <row r="148" spans="1:8" ht="27" customHeight="1" x14ac:dyDescent="0.75">
      <c r="A148" s="19"/>
      <c r="C148" s="28"/>
      <c r="H148" s="8"/>
    </row>
    <row r="149" spans="1:8" ht="27" customHeight="1" x14ac:dyDescent="0.75">
      <c r="A149" s="19"/>
      <c r="C149" s="28"/>
      <c r="H149" s="8"/>
    </row>
    <row r="150" spans="1:8" ht="27" customHeight="1" x14ac:dyDescent="0.75">
      <c r="A150" s="19"/>
      <c r="C150" s="28"/>
      <c r="H150" s="8"/>
    </row>
    <row r="151" spans="1:8" ht="27" customHeight="1" x14ac:dyDescent="0.75">
      <c r="A151" s="19"/>
      <c r="C151" s="28"/>
      <c r="H151" s="8"/>
    </row>
    <row r="152" spans="1:8" ht="27" customHeight="1" x14ac:dyDescent="0.75">
      <c r="A152" s="19"/>
      <c r="C152" s="28"/>
      <c r="H152" s="8"/>
    </row>
    <row r="153" spans="1:8" ht="27" customHeight="1" x14ac:dyDescent="0.75">
      <c r="A153" s="19"/>
      <c r="C153" s="28"/>
      <c r="H153" s="8"/>
    </row>
    <row r="154" spans="1:8" ht="27" customHeight="1" x14ac:dyDescent="0.75">
      <c r="A154" s="19"/>
      <c r="C154" s="28"/>
      <c r="H154" s="8"/>
    </row>
    <row r="155" spans="1:8" ht="27" customHeight="1" x14ac:dyDescent="0.75">
      <c r="A155" s="19"/>
      <c r="C155" s="28"/>
      <c r="H155" s="8"/>
    </row>
    <row r="156" spans="1:8" ht="27" customHeight="1" x14ac:dyDescent="0.75">
      <c r="A156" s="19"/>
      <c r="C156" s="28"/>
      <c r="H156" s="8"/>
    </row>
    <row r="157" spans="1:8" ht="27" customHeight="1" x14ac:dyDescent="0.75">
      <c r="A157" s="19"/>
      <c r="C157" s="28"/>
      <c r="H157" s="8"/>
    </row>
    <row r="158" spans="1:8" ht="27" customHeight="1" x14ac:dyDescent="0.75">
      <c r="A158" s="19"/>
      <c r="C158" s="28"/>
      <c r="H158" s="8"/>
    </row>
    <row r="159" spans="1:8" ht="27" customHeight="1" x14ac:dyDescent="0.75">
      <c r="A159" s="19"/>
      <c r="C159" s="28"/>
      <c r="H159" s="8"/>
    </row>
    <row r="160" spans="1:8" ht="27" customHeight="1" x14ac:dyDescent="0.75">
      <c r="A160" s="19"/>
      <c r="C160" s="28"/>
      <c r="H160" s="8"/>
    </row>
    <row r="161" spans="1:8" ht="27" customHeight="1" x14ac:dyDescent="0.75">
      <c r="A161" s="19"/>
      <c r="C161" s="28"/>
      <c r="H161" s="8"/>
    </row>
    <row r="162" spans="1:8" ht="27" customHeight="1" x14ac:dyDescent="0.75">
      <c r="A162" s="19"/>
      <c r="C162" s="28"/>
      <c r="H162" s="8"/>
    </row>
    <row r="163" spans="1:8" ht="27" customHeight="1" x14ac:dyDescent="0.75">
      <c r="A163" s="19"/>
      <c r="C163" s="28"/>
      <c r="H163" s="8"/>
    </row>
    <row r="164" spans="1:8" ht="27" customHeight="1" x14ac:dyDescent="0.75">
      <c r="A164" s="19"/>
      <c r="C164" s="28"/>
      <c r="H164" s="8"/>
    </row>
    <row r="165" spans="1:8" ht="27" customHeight="1" x14ac:dyDescent="0.75">
      <c r="A165" s="19"/>
      <c r="C165" s="28"/>
      <c r="H165" s="8"/>
    </row>
    <row r="166" spans="1:8" ht="27" customHeight="1" x14ac:dyDescent="0.75">
      <c r="A166" s="19"/>
      <c r="C166" s="28"/>
      <c r="H166" s="8"/>
    </row>
    <row r="167" spans="1:8" ht="27" customHeight="1" x14ac:dyDescent="0.75">
      <c r="A167" s="19"/>
      <c r="C167" s="28"/>
      <c r="H167" s="8"/>
    </row>
    <row r="168" spans="1:8" ht="27" customHeight="1" x14ac:dyDescent="0.75">
      <c r="A168" s="19"/>
      <c r="C168" s="28"/>
      <c r="H168" s="8"/>
    </row>
    <row r="169" spans="1:8" ht="27" customHeight="1" x14ac:dyDescent="0.75">
      <c r="A169" s="19"/>
      <c r="C169" s="28"/>
      <c r="H169" s="8"/>
    </row>
    <row r="170" spans="1:8" ht="27" customHeight="1" x14ac:dyDescent="0.75">
      <c r="A170" s="19"/>
      <c r="C170" s="28"/>
      <c r="H170" s="8"/>
    </row>
    <row r="171" spans="1:8" ht="27" customHeight="1" x14ac:dyDescent="0.75">
      <c r="A171" s="19"/>
      <c r="C171" s="28"/>
      <c r="H171" s="8"/>
    </row>
    <row r="172" spans="1:8" ht="27" customHeight="1" x14ac:dyDescent="0.75">
      <c r="A172" s="19"/>
      <c r="C172" s="28"/>
      <c r="H172" s="8"/>
    </row>
    <row r="173" spans="1:8" ht="27" customHeight="1" x14ac:dyDescent="0.75">
      <c r="A173" s="19"/>
      <c r="C173" s="28"/>
      <c r="H173" s="8"/>
    </row>
    <row r="174" spans="1:8" ht="27" customHeight="1" x14ac:dyDescent="0.75">
      <c r="A174" s="19"/>
      <c r="C174" s="28"/>
      <c r="H174" s="8"/>
    </row>
    <row r="175" spans="1:8" ht="27" customHeight="1" x14ac:dyDescent="0.75">
      <c r="A175" s="19"/>
      <c r="C175" s="28"/>
      <c r="H175" s="8"/>
    </row>
    <row r="176" spans="1:8" ht="27" customHeight="1" x14ac:dyDescent="0.75">
      <c r="A176" s="19"/>
      <c r="C176" s="28"/>
      <c r="H176" s="8"/>
    </row>
    <row r="177" spans="1:8" ht="27" customHeight="1" x14ac:dyDescent="0.75">
      <c r="A177" s="19"/>
      <c r="C177" s="28"/>
      <c r="H177" s="8"/>
    </row>
    <row r="178" spans="1:8" ht="27" customHeight="1" x14ac:dyDescent="0.75">
      <c r="A178" s="19"/>
      <c r="C178" s="28"/>
      <c r="H178" s="8"/>
    </row>
    <row r="179" spans="1:8" ht="27" customHeight="1" x14ac:dyDescent="0.75">
      <c r="A179" s="19"/>
      <c r="C179" s="28"/>
      <c r="H179" s="8"/>
    </row>
    <row r="180" spans="1:8" ht="27" customHeight="1" x14ac:dyDescent="0.75">
      <c r="A180" s="19"/>
      <c r="C180" s="28"/>
      <c r="H180" s="8"/>
    </row>
    <row r="181" spans="1:8" ht="27" customHeight="1" x14ac:dyDescent="0.75">
      <c r="A181" s="19"/>
      <c r="C181" s="28"/>
      <c r="H181" s="8"/>
    </row>
    <row r="182" spans="1:8" ht="27" customHeight="1" x14ac:dyDescent="0.75">
      <c r="A182" s="19"/>
      <c r="C182" s="28"/>
      <c r="H182" s="8"/>
    </row>
    <row r="183" spans="1:8" ht="27" customHeight="1" x14ac:dyDescent="0.75">
      <c r="A183" s="19"/>
      <c r="C183" s="28"/>
      <c r="H183" s="8"/>
    </row>
    <row r="184" spans="1:8" ht="27" customHeight="1" x14ac:dyDescent="0.75">
      <c r="A184" s="19"/>
      <c r="C184" s="28"/>
      <c r="H184" s="8"/>
    </row>
    <row r="185" spans="1:8" ht="27" customHeight="1" x14ac:dyDescent="0.75">
      <c r="A185" s="19"/>
      <c r="C185" s="28"/>
      <c r="H185" s="8"/>
    </row>
    <row r="186" spans="1:8" ht="27" customHeight="1" x14ac:dyDescent="0.75">
      <c r="A186" s="19"/>
      <c r="C186" s="28"/>
      <c r="H186" s="8"/>
    </row>
    <row r="187" spans="1:8" ht="27" customHeight="1" x14ac:dyDescent="0.75">
      <c r="A187" s="19"/>
      <c r="C187" s="28"/>
      <c r="H187" s="8"/>
    </row>
    <row r="188" spans="1:8" ht="27" customHeight="1" x14ac:dyDescent="0.75">
      <c r="A188" s="19"/>
      <c r="C188" s="28"/>
      <c r="H188" s="8"/>
    </row>
    <row r="189" spans="1:8" ht="27" customHeight="1" x14ac:dyDescent="0.75">
      <c r="A189" s="19"/>
      <c r="C189" s="28"/>
      <c r="H189" s="8"/>
    </row>
    <row r="190" spans="1:8" ht="27" customHeight="1" x14ac:dyDescent="0.75">
      <c r="A190" s="19"/>
      <c r="C190" s="28"/>
      <c r="H190" s="8"/>
    </row>
    <row r="191" spans="1:8" ht="27" customHeight="1" x14ac:dyDescent="0.75">
      <c r="A191" s="19"/>
      <c r="C191" s="28"/>
      <c r="H191" s="8"/>
    </row>
    <row r="192" spans="1:8" ht="27" customHeight="1" x14ac:dyDescent="0.75">
      <c r="A192" s="19"/>
      <c r="C192" s="28"/>
      <c r="H192" s="8"/>
    </row>
    <row r="193" spans="1:8" ht="27" customHeight="1" x14ac:dyDescent="0.75">
      <c r="A193" s="19"/>
      <c r="C193" s="28"/>
      <c r="H193" s="8"/>
    </row>
    <row r="194" spans="1:8" ht="27" customHeight="1" x14ac:dyDescent="0.75">
      <c r="A194" s="19"/>
      <c r="C194" s="28"/>
      <c r="H194" s="8"/>
    </row>
    <row r="195" spans="1:8" ht="27" customHeight="1" x14ac:dyDescent="0.75">
      <c r="A195" s="19"/>
      <c r="C195" s="28"/>
      <c r="H195" s="8"/>
    </row>
    <row r="196" spans="1:8" ht="27" customHeight="1" x14ac:dyDescent="0.75">
      <c r="A196" s="19"/>
      <c r="C196" s="28"/>
      <c r="H196" s="8"/>
    </row>
    <row r="197" spans="1:8" ht="27" customHeight="1" x14ac:dyDescent="0.75">
      <c r="A197" s="19"/>
      <c r="C197" s="28"/>
      <c r="H197" s="8"/>
    </row>
    <row r="198" spans="1:8" ht="27" customHeight="1" x14ac:dyDescent="0.75">
      <c r="A198" s="19"/>
      <c r="C198" s="28"/>
      <c r="H198" s="8"/>
    </row>
    <row r="199" spans="1:8" ht="27" customHeight="1" x14ac:dyDescent="0.75">
      <c r="A199" s="19"/>
      <c r="C199" s="28"/>
      <c r="H199" s="8"/>
    </row>
    <row r="200" spans="1:8" ht="27" customHeight="1" x14ac:dyDescent="0.75">
      <c r="A200" s="19"/>
      <c r="C200" s="28"/>
      <c r="H200" s="8"/>
    </row>
    <row r="201" spans="1:8" ht="27" customHeight="1" x14ac:dyDescent="0.75">
      <c r="A201" s="19"/>
      <c r="C201" s="28"/>
      <c r="H201" s="8"/>
    </row>
    <row r="202" spans="1:8" ht="27" customHeight="1" x14ac:dyDescent="0.75">
      <c r="A202" s="19"/>
      <c r="C202" s="28"/>
      <c r="H202" s="8"/>
    </row>
    <row r="203" spans="1:8" ht="27" customHeight="1" x14ac:dyDescent="0.75">
      <c r="A203" s="19"/>
      <c r="C203" s="28"/>
      <c r="H203" s="8"/>
    </row>
    <row r="204" spans="1:8" ht="27" customHeight="1" x14ac:dyDescent="0.75">
      <c r="A204" s="19"/>
      <c r="C204" s="28"/>
      <c r="H204" s="8"/>
    </row>
    <row r="205" spans="1:8" ht="27" customHeight="1" x14ac:dyDescent="0.75">
      <c r="A205" s="19"/>
      <c r="C205" s="28"/>
      <c r="H205" s="8"/>
    </row>
    <row r="206" spans="1:8" ht="27" customHeight="1" x14ac:dyDescent="0.75">
      <c r="A206" s="19"/>
      <c r="C206" s="28"/>
      <c r="H206" s="8"/>
    </row>
    <row r="207" spans="1:8" ht="27" customHeight="1" x14ac:dyDescent="0.75">
      <c r="A207" s="19"/>
      <c r="C207" s="28"/>
      <c r="H207" s="8"/>
    </row>
    <row r="208" spans="1:8" ht="27" customHeight="1" x14ac:dyDescent="0.75">
      <c r="A208" s="19"/>
      <c r="C208" s="28"/>
      <c r="H208" s="8"/>
    </row>
    <row r="209" spans="1:8" ht="27" customHeight="1" x14ac:dyDescent="0.75">
      <c r="A209" s="19"/>
      <c r="C209" s="28"/>
      <c r="H209" s="8"/>
    </row>
    <row r="210" spans="1:8" ht="27" customHeight="1" x14ac:dyDescent="0.75">
      <c r="A210" s="19"/>
      <c r="C210" s="28"/>
      <c r="H210" s="8"/>
    </row>
    <row r="211" spans="1:8" ht="27" customHeight="1" x14ac:dyDescent="0.75">
      <c r="A211" s="19"/>
      <c r="C211" s="28"/>
      <c r="H211" s="8"/>
    </row>
    <row r="212" spans="1:8" ht="27" customHeight="1" x14ac:dyDescent="0.75">
      <c r="A212" s="19"/>
      <c r="C212" s="28"/>
      <c r="H212" s="8"/>
    </row>
    <row r="213" spans="1:8" ht="27" customHeight="1" x14ac:dyDescent="0.75">
      <c r="A213" s="19"/>
      <c r="C213" s="28"/>
      <c r="H213" s="8"/>
    </row>
    <row r="214" spans="1:8" ht="27" customHeight="1" x14ac:dyDescent="0.75">
      <c r="A214" s="19"/>
      <c r="C214" s="28"/>
      <c r="H214" s="8"/>
    </row>
    <row r="215" spans="1:8" ht="27" customHeight="1" x14ac:dyDescent="0.75">
      <c r="A215" s="19"/>
      <c r="C215" s="28"/>
      <c r="H215" s="8"/>
    </row>
    <row r="216" spans="1:8" ht="27" customHeight="1" x14ac:dyDescent="0.75">
      <c r="A216" s="19"/>
      <c r="C216" s="28"/>
      <c r="H216" s="8"/>
    </row>
    <row r="217" spans="1:8" ht="27" customHeight="1" x14ac:dyDescent="0.75">
      <c r="A217" s="19"/>
      <c r="C217" s="28"/>
      <c r="H217" s="8"/>
    </row>
    <row r="218" spans="1:8" ht="27" customHeight="1" x14ac:dyDescent="0.75">
      <c r="A218" s="19"/>
      <c r="C218" s="28"/>
      <c r="H218" s="8"/>
    </row>
    <row r="219" spans="1:8" ht="27" customHeight="1" x14ac:dyDescent="0.75">
      <c r="A219" s="19"/>
      <c r="C219" s="28"/>
      <c r="H219" s="8"/>
    </row>
    <row r="220" spans="1:8" ht="27" customHeight="1" x14ac:dyDescent="0.75">
      <c r="A220" s="19"/>
      <c r="C220" s="28"/>
      <c r="H220" s="8"/>
    </row>
    <row r="221" spans="1:8" ht="27" customHeight="1" x14ac:dyDescent="0.75">
      <c r="A221" s="19"/>
      <c r="C221" s="28"/>
      <c r="H221" s="8"/>
    </row>
    <row r="222" spans="1:8" ht="27" customHeight="1" x14ac:dyDescent="0.75">
      <c r="A222" s="19"/>
      <c r="C222" s="28"/>
      <c r="H222" s="8"/>
    </row>
    <row r="223" spans="1:8" ht="27" customHeight="1" x14ac:dyDescent="0.75">
      <c r="A223" s="19"/>
      <c r="C223" s="28"/>
      <c r="H223" s="8"/>
    </row>
    <row r="224" spans="1:8" ht="27" customHeight="1" x14ac:dyDescent="0.75">
      <c r="A224" s="19"/>
      <c r="C224" s="28"/>
      <c r="H224" s="8"/>
    </row>
    <row r="225" spans="1:8" ht="27" customHeight="1" x14ac:dyDescent="0.75">
      <c r="A225" s="19"/>
      <c r="C225" s="28"/>
      <c r="H225" s="8"/>
    </row>
    <row r="226" spans="1:8" ht="27" customHeight="1" x14ac:dyDescent="0.75">
      <c r="A226" s="19"/>
      <c r="C226" s="28"/>
      <c r="H226" s="8"/>
    </row>
    <row r="227" spans="1:8" ht="27" customHeight="1" x14ac:dyDescent="0.75">
      <c r="A227" s="19"/>
      <c r="C227" s="28"/>
      <c r="H227" s="8"/>
    </row>
    <row r="228" spans="1:8" ht="27" customHeight="1" x14ac:dyDescent="0.75">
      <c r="A228" s="19"/>
      <c r="C228" s="28"/>
      <c r="H228" s="8"/>
    </row>
    <row r="229" spans="1:8" ht="27" customHeight="1" x14ac:dyDescent="0.75">
      <c r="A229" s="19"/>
      <c r="C229" s="28"/>
      <c r="H229" s="8"/>
    </row>
    <row r="230" spans="1:8" ht="27" customHeight="1" x14ac:dyDescent="0.75">
      <c r="A230" s="19"/>
      <c r="C230" s="28"/>
      <c r="H230" s="8"/>
    </row>
    <row r="231" spans="1:8" ht="27" customHeight="1" x14ac:dyDescent="0.75">
      <c r="A231" s="19"/>
      <c r="C231" s="28"/>
      <c r="H231" s="8"/>
    </row>
    <row r="232" spans="1:8" ht="27" customHeight="1" x14ac:dyDescent="0.75">
      <c r="A232" s="19"/>
      <c r="C232" s="28"/>
      <c r="H232" s="8"/>
    </row>
    <row r="233" spans="1:8" ht="27" customHeight="1" x14ac:dyDescent="0.75">
      <c r="A233" s="19"/>
      <c r="C233" s="28"/>
      <c r="H233" s="8"/>
    </row>
    <row r="234" spans="1:8" ht="27" customHeight="1" x14ac:dyDescent="0.75">
      <c r="A234" s="19"/>
      <c r="C234" s="28"/>
      <c r="H234" s="8"/>
    </row>
    <row r="235" spans="1:8" ht="27" customHeight="1" x14ac:dyDescent="0.75">
      <c r="A235" s="19"/>
      <c r="C235" s="28"/>
      <c r="H235" s="8"/>
    </row>
    <row r="236" spans="1:8" ht="27" customHeight="1" x14ac:dyDescent="0.75">
      <c r="A236" s="19"/>
      <c r="C236" s="28"/>
      <c r="H236" s="8"/>
    </row>
    <row r="237" spans="1:8" ht="27" customHeight="1" x14ac:dyDescent="0.75">
      <c r="A237" s="19"/>
      <c r="C237" s="28"/>
      <c r="H237" s="8"/>
    </row>
    <row r="238" spans="1:8" ht="27" customHeight="1" x14ac:dyDescent="0.75">
      <c r="A238" s="19"/>
      <c r="C238" s="28"/>
      <c r="H238" s="8"/>
    </row>
    <row r="239" spans="1:8" ht="27" customHeight="1" x14ac:dyDescent="0.75">
      <c r="A239" s="19"/>
      <c r="C239" s="28"/>
      <c r="H239" s="8"/>
    </row>
    <row r="240" spans="1:8" ht="27" customHeight="1" x14ac:dyDescent="0.75">
      <c r="A240" s="19"/>
      <c r="C240" s="28"/>
      <c r="H240" s="8"/>
    </row>
    <row r="241" spans="1:8" ht="27" customHeight="1" x14ac:dyDescent="0.75">
      <c r="A241" s="19"/>
      <c r="C241" s="28"/>
      <c r="H241" s="8"/>
    </row>
    <row r="242" spans="1:8" ht="27" customHeight="1" x14ac:dyDescent="0.75">
      <c r="A242" s="19"/>
      <c r="C242" s="28"/>
      <c r="H242" s="8"/>
    </row>
    <row r="243" spans="1:8" ht="27" customHeight="1" x14ac:dyDescent="0.75">
      <c r="A243" s="19"/>
      <c r="C243" s="28"/>
      <c r="H243" s="8"/>
    </row>
    <row r="244" spans="1:8" ht="27" customHeight="1" x14ac:dyDescent="0.75">
      <c r="A244" s="19"/>
      <c r="C244" s="28"/>
      <c r="H244" s="8"/>
    </row>
    <row r="245" spans="1:8" ht="27" customHeight="1" x14ac:dyDescent="0.75">
      <c r="A245" s="19"/>
      <c r="C245" s="28"/>
      <c r="H245" s="8"/>
    </row>
    <row r="246" spans="1:8" ht="27" customHeight="1" x14ac:dyDescent="0.75">
      <c r="A246" s="19"/>
      <c r="C246" s="28"/>
      <c r="H246" s="8"/>
    </row>
    <row r="247" spans="1:8" ht="27" customHeight="1" x14ac:dyDescent="0.75">
      <c r="A247" s="19"/>
      <c r="C247" s="28"/>
      <c r="H247" s="8"/>
    </row>
    <row r="248" spans="1:8" ht="27" customHeight="1" x14ac:dyDescent="0.75">
      <c r="A248" s="19"/>
      <c r="C248" s="28"/>
      <c r="H248" s="8"/>
    </row>
    <row r="249" spans="1:8" ht="27" customHeight="1" x14ac:dyDescent="0.75">
      <c r="A249" s="19"/>
      <c r="C249" s="28"/>
      <c r="H249" s="8"/>
    </row>
    <row r="250" spans="1:8" ht="27" customHeight="1" x14ac:dyDescent="0.75">
      <c r="A250" s="19"/>
      <c r="C250" s="28"/>
      <c r="H250" s="8"/>
    </row>
    <row r="251" spans="1:8" ht="27" customHeight="1" x14ac:dyDescent="0.75">
      <c r="A251" s="19"/>
      <c r="C251" s="28"/>
      <c r="H251" s="8"/>
    </row>
    <row r="252" spans="1:8" ht="27" customHeight="1" x14ac:dyDescent="0.75">
      <c r="A252" s="19"/>
      <c r="C252" s="28"/>
      <c r="H252" s="8"/>
    </row>
    <row r="253" spans="1:8" ht="27" customHeight="1" x14ac:dyDescent="0.75">
      <c r="A253" s="19"/>
      <c r="C253" s="28"/>
      <c r="H253" s="8"/>
    </row>
    <row r="254" spans="1:8" ht="27" customHeight="1" x14ac:dyDescent="0.75">
      <c r="A254" s="19"/>
      <c r="C254" s="28"/>
      <c r="H254" s="8"/>
    </row>
    <row r="255" spans="1:8" ht="27" customHeight="1" x14ac:dyDescent="0.75">
      <c r="A255" s="19"/>
      <c r="C255" s="28"/>
      <c r="H255" s="8"/>
    </row>
    <row r="256" spans="1:8" ht="27" customHeight="1" x14ac:dyDescent="0.75">
      <c r="A256" s="19"/>
      <c r="C256" s="28"/>
      <c r="H256" s="8"/>
    </row>
    <row r="257" spans="1:8" ht="27" customHeight="1" x14ac:dyDescent="0.75">
      <c r="A257" s="19"/>
      <c r="C257" s="28"/>
      <c r="H257" s="8"/>
    </row>
    <row r="258" spans="1:8" ht="27" customHeight="1" x14ac:dyDescent="0.75">
      <c r="A258" s="19"/>
      <c r="C258" s="28"/>
      <c r="H258" s="8"/>
    </row>
    <row r="259" spans="1:8" ht="27" customHeight="1" x14ac:dyDescent="0.75">
      <c r="A259" s="19"/>
      <c r="C259" s="28"/>
      <c r="H259" s="8"/>
    </row>
    <row r="260" spans="1:8" ht="27" customHeight="1" x14ac:dyDescent="0.75">
      <c r="A260" s="19"/>
      <c r="C260" s="28"/>
      <c r="H260" s="8"/>
    </row>
    <row r="261" spans="1:8" ht="27" customHeight="1" x14ac:dyDescent="0.75">
      <c r="A261" s="19"/>
      <c r="C261" s="28"/>
      <c r="H261" s="8"/>
    </row>
    <row r="262" spans="1:8" ht="27" customHeight="1" x14ac:dyDescent="0.75">
      <c r="A262" s="19"/>
      <c r="C262" s="28"/>
      <c r="H262" s="8"/>
    </row>
    <row r="263" spans="1:8" ht="27" customHeight="1" x14ac:dyDescent="0.75">
      <c r="A263" s="19"/>
      <c r="C263" s="28"/>
      <c r="H263" s="8"/>
    </row>
    <row r="264" spans="1:8" ht="27" customHeight="1" x14ac:dyDescent="0.75">
      <c r="A264" s="19"/>
      <c r="C264" s="28"/>
      <c r="H264" s="8"/>
    </row>
    <row r="265" spans="1:8" ht="27" customHeight="1" x14ac:dyDescent="0.75">
      <c r="A265" s="19"/>
      <c r="C265" s="28"/>
      <c r="H265" s="8"/>
    </row>
    <row r="266" spans="1:8" ht="27" customHeight="1" x14ac:dyDescent="0.75">
      <c r="A266" s="19"/>
      <c r="C266" s="28"/>
      <c r="H266" s="8"/>
    </row>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sheetData>
  <mergeCells count="1">
    <mergeCell ref="A4:A15"/>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20"/>
  <sheetViews>
    <sheetView topLeftCell="B32" zoomScale="108" workbookViewId="0">
      <selection activeCell="C44" sqref="C44"/>
    </sheetView>
  </sheetViews>
  <sheetFormatPr defaultColWidth="14.5" defaultRowHeight="15" customHeight="1" x14ac:dyDescent="0.75"/>
  <cols>
    <col min="1" max="1" width="16.1796875" customWidth="1"/>
    <col min="2" max="2" width="63" customWidth="1"/>
    <col min="3" max="3" width="16.1796875" customWidth="1"/>
    <col min="4" max="4" width="24.5" customWidth="1"/>
    <col min="5" max="6" width="8.81640625" customWidth="1"/>
    <col min="7" max="7" width="15.31640625" customWidth="1"/>
    <col min="8" max="8" width="62.5" customWidth="1"/>
  </cols>
  <sheetData>
    <row r="1" spans="1:8" ht="27" customHeight="1" x14ac:dyDescent="0.75">
      <c r="A1" s="19"/>
      <c r="B1" s="1" t="s">
        <v>138</v>
      </c>
      <c r="C1" s="28"/>
      <c r="H1" s="8"/>
    </row>
    <row r="2" spans="1:8" ht="63" customHeight="1" x14ac:dyDescent="0.75">
      <c r="A2" s="248"/>
      <c r="B2" s="249" t="s">
        <v>139</v>
      </c>
      <c r="C2" s="250" t="s">
        <v>509</v>
      </c>
      <c r="D2" s="251"/>
      <c r="H2" s="8"/>
    </row>
    <row r="3" spans="1:8" ht="18.75" customHeight="1" x14ac:dyDescent="0.75">
      <c r="A3" s="252"/>
      <c r="B3" s="253" t="s">
        <v>0</v>
      </c>
      <c r="C3" s="254" t="s">
        <v>1</v>
      </c>
      <c r="D3" s="266" t="s">
        <v>510</v>
      </c>
      <c r="E3" s="10"/>
      <c r="F3" s="10"/>
      <c r="G3" s="10"/>
      <c r="H3" s="10" t="s">
        <v>6</v>
      </c>
    </row>
    <row r="4" spans="1:8" ht="40.5" customHeight="1" x14ac:dyDescent="0.75">
      <c r="A4" s="486" t="s">
        <v>511</v>
      </c>
      <c r="B4" s="171" t="s">
        <v>71</v>
      </c>
      <c r="C4" s="242">
        <v>0</v>
      </c>
      <c r="D4" s="214">
        <f t="shared" ref="D4:D15" si="0">IF($C$20&lt;&gt;0,C4/$C$20*(1-$C$18),0)</f>
        <v>0</v>
      </c>
      <c r="H4" s="11" t="s">
        <v>72</v>
      </c>
    </row>
    <row r="5" spans="1:8" ht="32.25" customHeight="1" x14ac:dyDescent="0.75">
      <c r="A5" s="487"/>
      <c r="B5" s="171" t="s">
        <v>73</v>
      </c>
      <c r="C5" s="241">
        <v>0</v>
      </c>
      <c r="D5" s="214">
        <f t="shared" si="0"/>
        <v>0</v>
      </c>
      <c r="H5" s="11"/>
    </row>
    <row r="6" spans="1:8" ht="33" customHeight="1" x14ac:dyDescent="0.75">
      <c r="A6" s="487"/>
      <c r="B6" s="171" t="s">
        <v>74</v>
      </c>
      <c r="C6" s="241">
        <v>0</v>
      </c>
      <c r="D6" s="214">
        <f t="shared" si="0"/>
        <v>0</v>
      </c>
      <c r="H6" s="11"/>
    </row>
    <row r="7" spans="1:8" ht="33" customHeight="1" x14ac:dyDescent="0.75">
      <c r="A7" s="487"/>
      <c r="B7" s="171" t="s">
        <v>75</v>
      </c>
      <c r="C7" s="241">
        <v>0</v>
      </c>
      <c r="D7" s="214">
        <f t="shared" si="0"/>
        <v>0</v>
      </c>
      <c r="H7" s="11"/>
    </row>
    <row r="8" spans="1:8" ht="33" customHeight="1" x14ac:dyDescent="0.75">
      <c r="A8" s="487"/>
      <c r="B8" s="172" t="s">
        <v>140</v>
      </c>
      <c r="C8" s="241">
        <v>0</v>
      </c>
      <c r="D8" s="214">
        <f t="shared" si="0"/>
        <v>0</v>
      </c>
      <c r="H8" s="11"/>
    </row>
    <row r="9" spans="1:8" ht="33" customHeight="1" x14ac:dyDescent="0.75">
      <c r="A9" s="487"/>
      <c r="B9" s="172" t="s">
        <v>500</v>
      </c>
      <c r="C9" s="241">
        <v>0</v>
      </c>
      <c r="D9" s="214">
        <f t="shared" si="0"/>
        <v>0</v>
      </c>
      <c r="H9" s="11"/>
    </row>
    <row r="10" spans="1:8" ht="53.25" customHeight="1" x14ac:dyDescent="0.75">
      <c r="A10" s="487"/>
      <c r="B10" s="172" t="s">
        <v>141</v>
      </c>
      <c r="C10" s="241">
        <v>0</v>
      </c>
      <c r="D10" s="214">
        <f t="shared" si="0"/>
        <v>0</v>
      </c>
      <c r="H10" s="11"/>
    </row>
    <row r="11" spans="1:8" ht="30" customHeight="1" x14ac:dyDescent="0.75">
      <c r="A11" s="487"/>
      <c r="B11" s="172" t="s">
        <v>142</v>
      </c>
      <c r="C11" s="241">
        <v>0</v>
      </c>
      <c r="D11" s="214">
        <f t="shared" si="0"/>
        <v>0</v>
      </c>
      <c r="H11" s="489"/>
    </row>
    <row r="12" spans="1:8" ht="30" customHeight="1" x14ac:dyDescent="0.75">
      <c r="A12" s="487"/>
      <c r="B12" s="172" t="s">
        <v>143</v>
      </c>
      <c r="C12" s="241">
        <v>0</v>
      </c>
      <c r="D12" s="214">
        <f t="shared" si="0"/>
        <v>0</v>
      </c>
      <c r="H12" s="490"/>
    </row>
    <row r="13" spans="1:8" ht="56.25" customHeight="1" x14ac:dyDescent="0.75">
      <c r="A13" s="487"/>
      <c r="B13" s="172" t="s">
        <v>144</v>
      </c>
      <c r="C13" s="241">
        <v>1</v>
      </c>
      <c r="D13" s="214">
        <f t="shared" si="0"/>
        <v>1</v>
      </c>
      <c r="E13" s="127" t="s">
        <v>494</v>
      </c>
      <c r="H13" s="156"/>
    </row>
    <row r="14" spans="1:8" ht="15.75" customHeight="1" x14ac:dyDescent="0.75">
      <c r="A14" s="487"/>
      <c r="B14" s="173" t="s">
        <v>571</v>
      </c>
      <c r="C14" s="241">
        <v>0</v>
      </c>
      <c r="D14" s="214">
        <f t="shared" si="0"/>
        <v>0</v>
      </c>
      <c r="E14" s="127"/>
      <c r="H14" s="156"/>
    </row>
    <row r="15" spans="1:8" ht="18.75" customHeight="1" x14ac:dyDescent="0.75">
      <c r="A15" s="488"/>
      <c r="B15" s="173" t="s">
        <v>145</v>
      </c>
      <c r="C15" s="241">
        <v>0</v>
      </c>
      <c r="D15" s="214">
        <f t="shared" si="0"/>
        <v>0</v>
      </c>
      <c r="F15" s="114"/>
      <c r="G15" s="114"/>
      <c r="H15" s="11"/>
    </row>
    <row r="16" spans="1:8" ht="18.75" customHeight="1" x14ac:dyDescent="0.75">
      <c r="A16" s="234"/>
      <c r="B16" s="165" t="s">
        <v>146</v>
      </c>
      <c r="C16" s="113">
        <v>1</v>
      </c>
      <c r="D16" s="243">
        <v>1</v>
      </c>
      <c r="E16" s="127" t="s">
        <v>495</v>
      </c>
      <c r="H16" s="11"/>
    </row>
    <row r="17" spans="1:8" ht="18.75" customHeight="1" x14ac:dyDescent="0.75">
      <c r="A17" s="234"/>
      <c r="B17" s="165" t="s">
        <v>147</v>
      </c>
      <c r="C17" s="113">
        <v>1</v>
      </c>
      <c r="D17" s="243">
        <v>1</v>
      </c>
      <c r="E17" s="127" t="s">
        <v>495</v>
      </c>
      <c r="H17" s="11"/>
    </row>
    <row r="18" spans="1:8" ht="27" customHeight="1" x14ac:dyDescent="0.75">
      <c r="A18" s="237"/>
      <c r="B18" s="238" t="s">
        <v>387</v>
      </c>
      <c r="C18" s="218">
        <v>0</v>
      </c>
      <c r="D18" s="224">
        <f>C18</f>
        <v>0</v>
      </c>
      <c r="H18" s="8"/>
    </row>
    <row r="19" spans="1:8" ht="16.5" customHeight="1" x14ac:dyDescent="0.75">
      <c r="A19" s="19"/>
      <c r="B19" s="11"/>
      <c r="C19" s="127" t="s">
        <v>518</v>
      </c>
      <c r="D19" s="8"/>
    </row>
    <row r="20" spans="1:8" ht="16.5" customHeight="1" x14ac:dyDescent="0.75">
      <c r="A20" s="19"/>
      <c r="B20" s="11" t="s">
        <v>389</v>
      </c>
      <c r="C20" s="112">
        <f>SUM(C4:C15)</f>
        <v>1</v>
      </c>
      <c r="D20" s="8"/>
    </row>
    <row r="21" spans="1:8" ht="16.5" customHeight="1" x14ac:dyDescent="0.75">
      <c r="A21" s="19"/>
      <c r="B21" s="11"/>
      <c r="C21" s="12"/>
      <c r="D21" s="8"/>
    </row>
    <row r="22" spans="1:8" ht="16.5" customHeight="1" x14ac:dyDescent="0.75">
      <c r="A22" s="19"/>
      <c r="B22" s="11"/>
      <c r="C22" s="12"/>
      <c r="D22" s="8"/>
    </row>
    <row r="23" spans="1:8" ht="16.5" customHeight="1" x14ac:dyDescent="0.75">
      <c r="A23" s="19"/>
      <c r="B23" s="11"/>
      <c r="C23" s="12"/>
      <c r="D23" s="8"/>
    </row>
    <row r="24" spans="1:8" ht="16.5" customHeight="1" x14ac:dyDescent="0.75">
      <c r="A24" s="19"/>
      <c r="B24" s="11"/>
      <c r="C24" s="12"/>
      <c r="D24" s="8"/>
    </row>
    <row r="25" spans="1:8" ht="16.5" customHeight="1" x14ac:dyDescent="0.75">
      <c r="A25" s="19"/>
      <c r="B25" s="11"/>
      <c r="C25" s="12"/>
      <c r="D25" s="8"/>
    </row>
    <row r="26" spans="1:8" ht="16.5" customHeight="1" x14ac:dyDescent="0.75">
      <c r="A26" s="19"/>
      <c r="B26" s="156" t="s">
        <v>521</v>
      </c>
      <c r="C26" s="12"/>
      <c r="D26" s="8"/>
    </row>
    <row r="27" spans="1:8" ht="16.5" customHeight="1" x14ac:dyDescent="0.75">
      <c r="A27" s="19"/>
      <c r="B27" s="378" t="s">
        <v>112</v>
      </c>
      <c r="C27" s="379" t="s">
        <v>148</v>
      </c>
      <c r="D27" s="380"/>
    </row>
    <row r="28" spans="1:8" ht="16.5" customHeight="1" x14ac:dyDescent="0.75">
      <c r="A28" s="19"/>
      <c r="B28" s="331" t="s">
        <v>30</v>
      </c>
      <c r="C28" s="365">
        <f>$C$47*$D$8</f>
        <v>0</v>
      </c>
      <c r="D28" s="381" t="s">
        <v>149</v>
      </c>
    </row>
    <row r="29" spans="1:8" ht="14.25" customHeight="1" x14ac:dyDescent="0.75">
      <c r="B29" s="331" t="s">
        <v>32</v>
      </c>
      <c r="C29" s="363">
        <v>0</v>
      </c>
      <c r="D29" s="332" t="s">
        <v>150</v>
      </c>
    </row>
    <row r="30" spans="1:8" ht="16.5" customHeight="1" x14ac:dyDescent="0.75">
      <c r="A30" s="19"/>
      <c r="B30" s="331" t="s">
        <v>34</v>
      </c>
      <c r="C30" s="365">
        <f>$C$47*$D$12</f>
        <v>0</v>
      </c>
      <c r="D30" s="381" t="s">
        <v>151</v>
      </c>
    </row>
    <row r="31" spans="1:8" ht="16.5" customHeight="1" x14ac:dyDescent="0.75">
      <c r="A31" s="19"/>
      <c r="B31" s="331" t="s">
        <v>36</v>
      </c>
      <c r="C31" s="365">
        <f>$C$47*D10</f>
        <v>0</v>
      </c>
      <c r="D31" s="381" t="s">
        <v>152</v>
      </c>
    </row>
    <row r="32" spans="1:8" ht="16.5" customHeight="1" x14ac:dyDescent="0.75">
      <c r="A32" s="19"/>
      <c r="B32" s="331" t="s">
        <v>38</v>
      </c>
      <c r="C32" s="365">
        <f>D4*$C$47*C17</f>
        <v>0</v>
      </c>
      <c r="D32" s="382" t="s">
        <v>89</v>
      </c>
    </row>
    <row r="33" spans="1:7" ht="16.5" customHeight="1" x14ac:dyDescent="0.75">
      <c r="A33" s="19"/>
      <c r="B33" s="331" t="s">
        <v>40</v>
      </c>
      <c r="C33" s="365">
        <f>D5*$C$47*C17</f>
        <v>0</v>
      </c>
      <c r="D33" s="382" t="s">
        <v>90</v>
      </c>
    </row>
    <row r="34" spans="1:7" ht="16.5" customHeight="1" x14ac:dyDescent="0.75">
      <c r="A34" s="19"/>
      <c r="B34" s="331" t="s">
        <v>41</v>
      </c>
      <c r="C34" s="365">
        <f>D6*$C$47*C17</f>
        <v>0</v>
      </c>
      <c r="D34" s="382" t="s">
        <v>91</v>
      </c>
    </row>
    <row r="35" spans="1:7" ht="16.5" customHeight="1" x14ac:dyDescent="0.75">
      <c r="A35" s="19"/>
      <c r="B35" s="331" t="s">
        <v>42</v>
      </c>
      <c r="C35" s="365">
        <f>D7*$C$47*C17</f>
        <v>0</v>
      </c>
      <c r="D35" s="382" t="s">
        <v>92</v>
      </c>
    </row>
    <row r="36" spans="1:7" ht="16.5" customHeight="1" x14ac:dyDescent="0.75">
      <c r="A36" s="19"/>
      <c r="B36" s="331" t="s">
        <v>43</v>
      </c>
      <c r="C36" s="365">
        <f>D18*C$47*C16</f>
        <v>0</v>
      </c>
      <c r="D36" s="382" t="s">
        <v>93</v>
      </c>
      <c r="G36" s="110">
        <f>SUM(Lodges!C30,Restaurants!C30,SUM(Households!C33:D33),NatParkPA!C30,Tourism!C29,ComRevSh!C28)/(1-C10-C8-C11-C12)</f>
        <v>36662.372114388367</v>
      </c>
    </row>
    <row r="37" spans="1:7" ht="16.5" customHeight="1" x14ac:dyDescent="0.75">
      <c r="A37" s="19"/>
      <c r="B37" s="331" t="s">
        <v>45</v>
      </c>
      <c r="C37" s="383">
        <v>0</v>
      </c>
      <c r="D37" s="382" t="s">
        <v>153</v>
      </c>
      <c r="G37" s="110">
        <f>SUM(Lodges!C30,Restaurants!C30,SUM(Households!C33:D33),NatParkPA!C30,Tourism!C29,ComRevSh!C28)</f>
        <v>36662.372114388367</v>
      </c>
    </row>
    <row r="38" spans="1:7" ht="16.5" customHeight="1" x14ac:dyDescent="0.75">
      <c r="A38" s="19"/>
      <c r="B38" s="331" t="s">
        <v>47</v>
      </c>
      <c r="C38" s="383">
        <v>0</v>
      </c>
      <c r="D38" s="382" t="s">
        <v>153</v>
      </c>
      <c r="G38" s="110"/>
    </row>
    <row r="39" spans="1:7" ht="16.5" customHeight="1" x14ac:dyDescent="0.75">
      <c r="A39" s="19"/>
      <c r="B39" s="331" t="s">
        <v>48</v>
      </c>
      <c r="C39" s="383">
        <v>0</v>
      </c>
      <c r="D39" s="382" t="s">
        <v>154</v>
      </c>
      <c r="G39" s="110"/>
    </row>
    <row r="40" spans="1:7" ht="16.5" customHeight="1" x14ac:dyDescent="0.75">
      <c r="A40" s="19"/>
      <c r="B40" s="331" t="s">
        <v>50</v>
      </c>
      <c r="C40" s="383">
        <v>0</v>
      </c>
      <c r="D40" s="382" t="s">
        <v>155</v>
      </c>
      <c r="G40" s="110"/>
    </row>
    <row r="41" spans="1:7" ht="16.5" customHeight="1" x14ac:dyDescent="0.75">
      <c r="A41" s="19"/>
      <c r="B41" s="331" t="s">
        <v>52</v>
      </c>
      <c r="C41" s="383">
        <v>0</v>
      </c>
      <c r="D41" s="382" t="s">
        <v>156</v>
      </c>
      <c r="G41" s="110"/>
    </row>
    <row r="42" spans="1:7" ht="16.5" customHeight="1" x14ac:dyDescent="0.75">
      <c r="A42" s="19"/>
      <c r="B42" s="331" t="s">
        <v>54</v>
      </c>
      <c r="C42" s="365">
        <v>0</v>
      </c>
      <c r="D42" s="382" t="s">
        <v>157</v>
      </c>
      <c r="G42" s="110"/>
    </row>
    <row r="43" spans="1:7" ht="16.5" customHeight="1" x14ac:dyDescent="0.75">
      <c r="A43" s="19"/>
      <c r="B43" s="329" t="s">
        <v>568</v>
      </c>
      <c r="C43" s="480">
        <f>$D$14*$C$47</f>
        <v>0</v>
      </c>
      <c r="D43" s="346" t="s">
        <v>569</v>
      </c>
      <c r="G43" s="110"/>
    </row>
    <row r="44" spans="1:7" ht="16.5" customHeight="1" x14ac:dyDescent="0.75">
      <c r="A44" s="19"/>
      <c r="B44" s="329" t="s">
        <v>57</v>
      </c>
      <c r="C44" s="480">
        <f>$D$15*$C$47</f>
        <v>0</v>
      </c>
      <c r="D44" s="354" t="s">
        <v>570</v>
      </c>
      <c r="G44" s="110"/>
    </row>
    <row r="45" spans="1:7" ht="16.5" customHeight="1" x14ac:dyDescent="0.75">
      <c r="A45" s="19"/>
      <c r="B45" s="384" t="s">
        <v>59</v>
      </c>
      <c r="C45" s="365">
        <f>$C$47*$D$13 + C47*SUM(D4:D7)*(1-D17) + C47*D18*(1-D16)</f>
        <v>36662.372114388367</v>
      </c>
      <c r="D45" s="382" t="s">
        <v>158</v>
      </c>
      <c r="G45" s="110"/>
    </row>
    <row r="46" spans="1:7" ht="16.5" customHeight="1" x14ac:dyDescent="0.75">
      <c r="A46" s="19"/>
      <c r="B46" s="331" t="s">
        <v>61</v>
      </c>
      <c r="C46" s="385">
        <f>SUM(C28:C45)</f>
        <v>36662.372114388367</v>
      </c>
      <c r="D46" s="382" t="s">
        <v>62</v>
      </c>
      <c r="G46" s="110"/>
    </row>
    <row r="47" spans="1:7" ht="47.25" customHeight="1" x14ac:dyDescent="0.75">
      <c r="A47" s="19"/>
      <c r="B47" s="331" t="s">
        <v>63</v>
      </c>
      <c r="C47" s="383">
        <f>SUM(Lodges!C30,Restaurants!C30,SUM(Households!C33:D33),NatParkPA!C30,Tourism!C29,ComRevSh!C28)/(1-SUM(D8:D12))</f>
        <v>36662.372114388367</v>
      </c>
      <c r="D47" s="382" t="s">
        <v>159</v>
      </c>
      <c r="F47" s="127" t="s">
        <v>385</v>
      </c>
    </row>
    <row r="48" spans="1:7" ht="16.5" customHeight="1" x14ac:dyDescent="0.75">
      <c r="A48" s="19"/>
      <c r="B48" s="331" t="s">
        <v>65</v>
      </c>
      <c r="C48" s="383">
        <f>C47-C46</f>
        <v>0</v>
      </c>
      <c r="D48" s="382" t="s">
        <v>102</v>
      </c>
    </row>
    <row r="49" spans="1:8" ht="16.5" customHeight="1" x14ac:dyDescent="0.75">
      <c r="A49" s="19"/>
      <c r="B49" s="386" t="s">
        <v>67</v>
      </c>
      <c r="C49" s="387">
        <f>C48/C47</f>
        <v>0</v>
      </c>
      <c r="D49" s="388" t="s">
        <v>103</v>
      </c>
    </row>
    <row r="50" spans="1:8" ht="15.75" customHeight="1" x14ac:dyDescent="0.75">
      <c r="A50" s="19"/>
      <c r="C50" s="28"/>
      <c r="H50" s="8"/>
    </row>
    <row r="51" spans="1:8" ht="15.75" customHeight="1" x14ac:dyDescent="0.75">
      <c r="A51" s="19"/>
      <c r="C51" s="28"/>
      <c r="H51" s="8"/>
    </row>
    <row r="52" spans="1:8" ht="15.75" customHeight="1" x14ac:dyDescent="0.75">
      <c r="A52" s="19"/>
      <c r="C52" s="28"/>
      <c r="H52" s="8"/>
    </row>
    <row r="53" spans="1:8" ht="15.75" customHeight="1" x14ac:dyDescent="0.75">
      <c r="A53" s="19"/>
      <c r="C53" s="28"/>
      <c r="H53" s="8"/>
    </row>
    <row r="54" spans="1:8" ht="15.75" customHeight="1" x14ac:dyDescent="0.75">
      <c r="A54" s="19"/>
      <c r="B54" s="23" t="s">
        <v>506</v>
      </c>
      <c r="H54" s="8"/>
    </row>
    <row r="55" spans="1:8" ht="15.75" customHeight="1" x14ac:dyDescent="0.75">
      <c r="A55" s="19"/>
      <c r="B55" s="33" t="s">
        <v>0</v>
      </c>
      <c r="C55" s="34" t="s">
        <v>1</v>
      </c>
      <c r="D55" s="35" t="s">
        <v>2</v>
      </c>
      <c r="E55" s="35" t="s">
        <v>3</v>
      </c>
      <c r="F55" s="35" t="s">
        <v>4</v>
      </c>
      <c r="G55" s="35" t="s">
        <v>5</v>
      </c>
      <c r="H55" s="8"/>
    </row>
    <row r="56" spans="1:8" ht="15.75" customHeight="1" x14ac:dyDescent="0.75">
      <c r="A56" s="19"/>
      <c r="B56" s="198" t="s">
        <v>71</v>
      </c>
      <c r="C56" s="199">
        <f t="shared" ref="C56:C65" si="1">C4*100</f>
        <v>0</v>
      </c>
      <c r="D56" s="181" t="s">
        <v>426</v>
      </c>
      <c r="E56" s="181">
        <v>0</v>
      </c>
      <c r="F56" s="181">
        <v>100</v>
      </c>
      <c r="G56" s="181">
        <v>0.01</v>
      </c>
      <c r="H56" s="8"/>
    </row>
    <row r="57" spans="1:8" ht="15.75" customHeight="1" x14ac:dyDescent="0.75">
      <c r="A57" s="19"/>
      <c r="B57" s="198" t="s">
        <v>73</v>
      </c>
      <c r="C57" s="199">
        <f t="shared" si="1"/>
        <v>0</v>
      </c>
      <c r="D57" s="181" t="s">
        <v>427</v>
      </c>
      <c r="E57" s="181">
        <v>0</v>
      </c>
      <c r="F57" s="181">
        <v>100</v>
      </c>
      <c r="G57" s="181">
        <v>0.01</v>
      </c>
      <c r="H57" s="8"/>
    </row>
    <row r="58" spans="1:8" ht="15.75" customHeight="1" x14ac:dyDescent="0.75">
      <c r="A58" s="19"/>
      <c r="B58" s="198" t="s">
        <v>74</v>
      </c>
      <c r="C58" s="199">
        <f t="shared" si="1"/>
        <v>0</v>
      </c>
      <c r="D58" s="181" t="s">
        <v>428</v>
      </c>
      <c r="E58" s="181">
        <v>0</v>
      </c>
      <c r="F58" s="181">
        <v>100</v>
      </c>
      <c r="G58" s="181">
        <v>0.01</v>
      </c>
      <c r="H58" s="8"/>
    </row>
    <row r="59" spans="1:8" ht="15.75" customHeight="1" x14ac:dyDescent="0.75">
      <c r="A59" s="19"/>
      <c r="B59" s="198" t="s">
        <v>75</v>
      </c>
      <c r="C59" s="199">
        <f t="shared" si="1"/>
        <v>0</v>
      </c>
      <c r="D59" s="181" t="s">
        <v>429</v>
      </c>
      <c r="E59" s="181">
        <v>0</v>
      </c>
      <c r="F59" s="181">
        <v>100</v>
      </c>
      <c r="G59" s="181">
        <v>0.01</v>
      </c>
      <c r="H59" s="8"/>
    </row>
    <row r="60" spans="1:8" ht="15.75" customHeight="1" x14ac:dyDescent="0.75">
      <c r="A60" s="19"/>
      <c r="B60" s="198" t="s">
        <v>140</v>
      </c>
      <c r="C60" s="199">
        <f t="shared" si="1"/>
        <v>0</v>
      </c>
      <c r="D60" s="181" t="s">
        <v>430</v>
      </c>
      <c r="E60" s="181">
        <v>0</v>
      </c>
      <c r="F60" s="181">
        <v>100</v>
      </c>
      <c r="G60" s="181">
        <v>0.01</v>
      </c>
      <c r="H60" s="8"/>
    </row>
    <row r="61" spans="1:8" ht="15.75" customHeight="1" x14ac:dyDescent="0.75">
      <c r="A61" s="19"/>
      <c r="B61" s="204" t="s">
        <v>496</v>
      </c>
      <c r="C61" s="199">
        <f t="shared" si="1"/>
        <v>0</v>
      </c>
      <c r="D61" s="181" t="s">
        <v>431</v>
      </c>
      <c r="E61" s="181">
        <v>0</v>
      </c>
      <c r="F61" s="181">
        <v>100</v>
      </c>
      <c r="G61" s="181">
        <v>0.01</v>
      </c>
      <c r="H61" s="8"/>
    </row>
    <row r="62" spans="1:8" ht="15.75" customHeight="1" x14ac:dyDescent="0.75">
      <c r="A62" s="19"/>
      <c r="B62" s="198" t="s">
        <v>141</v>
      </c>
      <c r="C62" s="199">
        <f t="shared" si="1"/>
        <v>0</v>
      </c>
      <c r="D62" s="181" t="s">
        <v>432</v>
      </c>
      <c r="E62" s="181">
        <v>0</v>
      </c>
      <c r="F62" s="181">
        <v>100</v>
      </c>
      <c r="G62" s="181">
        <v>0.01</v>
      </c>
      <c r="H62" s="8"/>
    </row>
    <row r="63" spans="1:8" ht="15.75" customHeight="1" x14ac:dyDescent="0.75">
      <c r="A63" s="19"/>
      <c r="B63" s="198" t="s">
        <v>142</v>
      </c>
      <c r="C63" s="199">
        <f t="shared" si="1"/>
        <v>0</v>
      </c>
      <c r="D63" s="181" t="s">
        <v>433</v>
      </c>
      <c r="E63" s="181">
        <v>0</v>
      </c>
      <c r="F63" s="181">
        <v>100</v>
      </c>
      <c r="G63" s="181">
        <v>0.01</v>
      </c>
      <c r="H63" s="8"/>
    </row>
    <row r="64" spans="1:8" ht="15.75" customHeight="1" x14ac:dyDescent="0.75">
      <c r="A64" s="19"/>
      <c r="B64" s="198" t="s">
        <v>143</v>
      </c>
      <c r="C64" s="199">
        <f t="shared" si="1"/>
        <v>0</v>
      </c>
      <c r="D64" s="181" t="s">
        <v>434</v>
      </c>
      <c r="E64" s="181">
        <v>0</v>
      </c>
      <c r="F64" s="181">
        <v>100</v>
      </c>
      <c r="G64" s="181">
        <v>0.01</v>
      </c>
      <c r="H64" s="8"/>
    </row>
    <row r="65" spans="1:8" ht="15.75" customHeight="1" x14ac:dyDescent="0.75">
      <c r="A65" s="19"/>
      <c r="B65" s="198" t="s">
        <v>144</v>
      </c>
      <c r="C65" s="199">
        <f t="shared" si="1"/>
        <v>100</v>
      </c>
      <c r="D65" s="181" t="s">
        <v>435</v>
      </c>
      <c r="E65" s="181">
        <v>0</v>
      </c>
      <c r="F65" s="181">
        <v>100</v>
      </c>
      <c r="G65" s="181">
        <v>0.01</v>
      </c>
      <c r="H65" s="8"/>
    </row>
    <row r="66" spans="1:8" ht="15.75" customHeight="1" x14ac:dyDescent="0.75">
      <c r="A66" s="19"/>
      <c r="B66" s="205" t="s">
        <v>145</v>
      </c>
      <c r="C66" s="199">
        <f>C15*100</f>
        <v>0</v>
      </c>
      <c r="D66" s="181" t="s">
        <v>459</v>
      </c>
      <c r="E66" s="181">
        <v>0</v>
      </c>
      <c r="F66" s="181">
        <v>100</v>
      </c>
      <c r="G66" s="181">
        <v>0.01</v>
      </c>
      <c r="H66" s="8"/>
    </row>
    <row r="67" spans="1:8" ht="15.75" customHeight="1" x14ac:dyDescent="0.75">
      <c r="A67" s="19"/>
      <c r="B67" s="205" t="s">
        <v>146</v>
      </c>
      <c r="C67" s="199">
        <f t="shared" ref="C67:C68" si="2">D16*100</f>
        <v>100</v>
      </c>
      <c r="D67" s="181" t="s">
        <v>503</v>
      </c>
      <c r="E67" s="181">
        <v>0</v>
      </c>
      <c r="F67" s="181">
        <v>100</v>
      </c>
      <c r="G67" s="181">
        <v>0.01</v>
      </c>
      <c r="H67" s="8"/>
    </row>
    <row r="68" spans="1:8" ht="15.75" customHeight="1" x14ac:dyDescent="0.75">
      <c r="A68" s="19"/>
      <c r="B68" s="205" t="s">
        <v>147</v>
      </c>
      <c r="C68" s="199">
        <f t="shared" si="2"/>
        <v>100</v>
      </c>
      <c r="D68" s="181" t="s">
        <v>160</v>
      </c>
      <c r="E68" s="181">
        <v>0</v>
      </c>
      <c r="F68" s="181">
        <v>100</v>
      </c>
      <c r="G68" s="181">
        <v>0.01</v>
      </c>
      <c r="H68" s="8"/>
    </row>
    <row r="69" spans="1:8" ht="15.75" customHeight="1" x14ac:dyDescent="0.75">
      <c r="A69" s="19"/>
      <c r="B69" s="207" t="s">
        <v>387</v>
      </c>
      <c r="C69" s="208">
        <f>C18*100</f>
        <v>0</v>
      </c>
      <c r="D69" s="181" t="s">
        <v>392</v>
      </c>
      <c r="E69" s="189">
        <v>0</v>
      </c>
      <c r="F69" s="189">
        <v>100</v>
      </c>
      <c r="G69" s="206">
        <v>0.01</v>
      </c>
      <c r="H69" s="8"/>
    </row>
    <row r="70" spans="1:8" ht="15.75" customHeight="1" x14ac:dyDescent="0.75">
      <c r="A70" s="19"/>
      <c r="C70" s="28"/>
      <c r="H70" s="8"/>
    </row>
    <row r="71" spans="1:8" ht="15.75" customHeight="1" x14ac:dyDescent="0.75">
      <c r="A71" s="19"/>
      <c r="C71" s="28"/>
      <c r="H71" s="8"/>
    </row>
    <row r="72" spans="1:8" ht="15.75" customHeight="1" x14ac:dyDescent="0.75">
      <c r="A72" s="19"/>
      <c r="C72" s="28"/>
      <c r="H72" s="8"/>
    </row>
    <row r="73" spans="1:8" ht="15.75" customHeight="1" x14ac:dyDescent="0.75">
      <c r="A73" s="19"/>
      <c r="C73" s="28"/>
      <c r="H73" s="8"/>
    </row>
    <row r="74" spans="1:8" ht="15.75" customHeight="1" x14ac:dyDescent="0.75">
      <c r="A74" s="19"/>
      <c r="C74" s="28"/>
      <c r="H74" s="8"/>
    </row>
    <row r="75" spans="1:8" ht="15.75" customHeight="1" x14ac:dyDescent="0.75">
      <c r="A75" s="19"/>
      <c r="C75" s="28"/>
      <c r="H75" s="8"/>
    </row>
    <row r="76" spans="1:8" ht="15.75" customHeight="1" x14ac:dyDescent="0.75">
      <c r="A76" s="19"/>
      <c r="C76" s="28"/>
      <c r="H76" s="8"/>
    </row>
    <row r="77" spans="1:8" ht="15.75" customHeight="1" x14ac:dyDescent="0.75">
      <c r="A77" s="19"/>
      <c r="C77" s="28"/>
      <c r="H77" s="8"/>
    </row>
    <row r="78" spans="1:8" ht="15.75" customHeight="1" x14ac:dyDescent="0.75">
      <c r="A78" s="19"/>
      <c r="C78" s="28"/>
      <c r="H78" s="8"/>
    </row>
    <row r="79" spans="1:8" ht="15.75" customHeight="1" x14ac:dyDescent="0.75">
      <c r="A79" s="19"/>
      <c r="C79" s="28"/>
      <c r="H79" s="8"/>
    </row>
    <row r="80" spans="1:8" ht="15.75" customHeight="1" x14ac:dyDescent="0.75">
      <c r="A80" s="19"/>
      <c r="C80" s="28"/>
      <c r="H80" s="8"/>
    </row>
    <row r="81" spans="1:8" ht="15.75" customHeight="1" x14ac:dyDescent="0.75">
      <c r="A81" s="19"/>
      <c r="C81" s="28"/>
      <c r="H81" s="8"/>
    </row>
    <row r="82" spans="1:8" ht="15.75" customHeight="1" x14ac:dyDescent="0.75">
      <c r="A82" s="19"/>
      <c r="C82" s="28"/>
      <c r="H82" s="8"/>
    </row>
    <row r="83" spans="1:8" ht="15.75" customHeight="1" x14ac:dyDescent="0.75">
      <c r="A83" s="19"/>
      <c r="C83" s="28"/>
      <c r="H83" s="8"/>
    </row>
    <row r="84" spans="1:8" ht="15.75" customHeight="1" x14ac:dyDescent="0.75">
      <c r="A84" s="19"/>
      <c r="C84" s="28"/>
      <c r="H84" s="8"/>
    </row>
    <row r="85" spans="1:8" ht="15.75" customHeight="1" x14ac:dyDescent="0.75">
      <c r="A85" s="19"/>
      <c r="C85" s="28"/>
      <c r="H85" s="8"/>
    </row>
    <row r="86" spans="1:8" ht="15.75" customHeight="1" x14ac:dyDescent="0.75">
      <c r="A86" s="19"/>
      <c r="C86" s="28"/>
      <c r="H86" s="8"/>
    </row>
    <row r="87" spans="1:8" ht="15.75" customHeight="1" x14ac:dyDescent="0.75">
      <c r="A87" s="19"/>
      <c r="C87" s="28"/>
      <c r="H87" s="8"/>
    </row>
    <row r="88" spans="1:8" ht="15.75" customHeight="1" x14ac:dyDescent="0.75">
      <c r="A88" s="19"/>
      <c r="C88" s="28"/>
      <c r="H88" s="8"/>
    </row>
    <row r="89" spans="1:8" ht="15.75" customHeight="1" x14ac:dyDescent="0.75">
      <c r="A89" s="19"/>
      <c r="C89" s="28"/>
      <c r="H89" s="8"/>
    </row>
    <row r="90" spans="1:8" ht="15.75" customHeight="1" x14ac:dyDescent="0.75">
      <c r="A90" s="19"/>
      <c r="C90" s="28"/>
      <c r="H90" s="8"/>
    </row>
    <row r="91" spans="1:8" ht="15.75" customHeight="1" x14ac:dyDescent="0.75">
      <c r="A91" s="19"/>
      <c r="C91" s="28"/>
      <c r="H91" s="8"/>
    </row>
    <row r="92" spans="1:8" ht="15.75" customHeight="1" x14ac:dyDescent="0.75">
      <c r="A92" s="19"/>
      <c r="C92" s="28"/>
      <c r="H92" s="8"/>
    </row>
    <row r="93" spans="1:8" ht="15.75" customHeight="1" x14ac:dyDescent="0.75">
      <c r="A93" s="19"/>
      <c r="C93" s="28"/>
      <c r="H93" s="8"/>
    </row>
    <row r="94" spans="1:8" ht="15.75" customHeight="1" x14ac:dyDescent="0.75">
      <c r="A94" s="19"/>
      <c r="C94" s="28"/>
      <c r="H94" s="8"/>
    </row>
    <row r="95" spans="1:8" ht="15.75" customHeight="1" x14ac:dyDescent="0.75">
      <c r="A95" s="19"/>
      <c r="C95" s="28"/>
      <c r="H95" s="8"/>
    </row>
    <row r="96" spans="1:8" ht="15.75" customHeight="1" x14ac:dyDescent="0.75">
      <c r="A96" s="19"/>
      <c r="C96" s="28"/>
      <c r="H96" s="8"/>
    </row>
    <row r="97" spans="1:8" ht="15.75" customHeight="1" x14ac:dyDescent="0.75">
      <c r="A97" s="19"/>
      <c r="C97" s="28"/>
      <c r="H97" s="8"/>
    </row>
    <row r="98" spans="1:8" ht="15.75" customHeight="1" x14ac:dyDescent="0.75">
      <c r="A98" s="19"/>
      <c r="C98" s="28"/>
      <c r="H98" s="8"/>
    </row>
    <row r="99" spans="1:8" ht="15.75" customHeight="1" x14ac:dyDescent="0.75">
      <c r="A99" s="19"/>
      <c r="C99" s="28"/>
      <c r="H99" s="8"/>
    </row>
    <row r="100" spans="1:8" ht="15.75" customHeight="1" x14ac:dyDescent="0.75">
      <c r="A100" s="19"/>
      <c r="C100" s="28"/>
      <c r="H100" s="8"/>
    </row>
    <row r="101" spans="1:8" ht="15.75" customHeight="1" x14ac:dyDescent="0.75">
      <c r="A101" s="19"/>
      <c r="C101" s="28"/>
      <c r="H101" s="8"/>
    </row>
    <row r="102" spans="1:8" ht="15.75" customHeight="1" x14ac:dyDescent="0.75">
      <c r="A102" s="19"/>
      <c r="C102" s="28"/>
      <c r="H102" s="8"/>
    </row>
    <row r="103" spans="1:8" ht="15.75" customHeight="1" x14ac:dyDescent="0.75">
      <c r="A103" s="19"/>
      <c r="C103" s="28"/>
      <c r="H103" s="8"/>
    </row>
    <row r="104" spans="1:8" ht="15.75" customHeight="1" x14ac:dyDescent="0.75">
      <c r="A104" s="19"/>
      <c r="C104" s="28"/>
      <c r="H104" s="8"/>
    </row>
    <row r="105" spans="1:8" ht="15.75" customHeight="1" x14ac:dyDescent="0.75">
      <c r="A105" s="19"/>
      <c r="C105" s="28"/>
      <c r="H105" s="8"/>
    </row>
    <row r="106" spans="1:8" ht="15.75" customHeight="1" x14ac:dyDescent="0.75">
      <c r="A106" s="19"/>
      <c r="C106" s="28"/>
      <c r="H106" s="8"/>
    </row>
    <row r="107" spans="1:8" ht="15.75" customHeight="1" x14ac:dyDescent="0.75">
      <c r="A107" s="19"/>
      <c r="C107" s="28"/>
      <c r="H107" s="8"/>
    </row>
    <row r="108" spans="1:8" ht="15.75" customHeight="1" x14ac:dyDescent="0.75">
      <c r="A108" s="19"/>
      <c r="C108" s="28"/>
      <c r="H108" s="8"/>
    </row>
    <row r="109" spans="1:8" ht="15.75" customHeight="1" x14ac:dyDescent="0.75">
      <c r="A109" s="19"/>
      <c r="C109" s="28"/>
      <c r="H109" s="8"/>
    </row>
    <row r="110" spans="1:8" ht="15.75" customHeight="1" x14ac:dyDescent="0.75">
      <c r="A110" s="19"/>
      <c r="C110" s="28"/>
      <c r="H110" s="8"/>
    </row>
    <row r="111" spans="1:8" ht="15.75" customHeight="1" x14ac:dyDescent="0.75">
      <c r="A111" s="19"/>
      <c r="C111" s="28"/>
      <c r="H111" s="8"/>
    </row>
    <row r="112" spans="1:8" ht="15.75" customHeight="1" x14ac:dyDescent="0.75">
      <c r="A112" s="19"/>
      <c r="C112" s="28"/>
      <c r="H112" s="8"/>
    </row>
    <row r="113" spans="1:8" ht="15.75" customHeight="1" x14ac:dyDescent="0.75">
      <c r="A113" s="19"/>
      <c r="C113" s="28"/>
      <c r="H113" s="8"/>
    </row>
    <row r="114" spans="1:8" ht="15.75" customHeight="1" x14ac:dyDescent="0.75">
      <c r="A114" s="19"/>
      <c r="C114" s="28"/>
      <c r="H114" s="8"/>
    </row>
    <row r="115" spans="1:8" ht="15.75" customHeight="1" x14ac:dyDescent="0.75">
      <c r="A115" s="19"/>
      <c r="C115" s="28"/>
      <c r="H115" s="8"/>
    </row>
    <row r="116" spans="1:8" ht="15.75" customHeight="1" x14ac:dyDescent="0.75">
      <c r="A116" s="19"/>
      <c r="C116" s="28"/>
      <c r="H116" s="8"/>
    </row>
    <row r="117" spans="1:8" ht="15.75" customHeight="1" x14ac:dyDescent="0.75">
      <c r="A117" s="19"/>
      <c r="C117" s="28"/>
      <c r="H117" s="8"/>
    </row>
    <row r="118" spans="1:8" ht="15.75" customHeight="1" x14ac:dyDescent="0.75">
      <c r="A118" s="19"/>
      <c r="C118" s="28"/>
      <c r="H118" s="8"/>
    </row>
    <row r="119" spans="1:8" ht="15.75" customHeight="1" x14ac:dyDescent="0.75">
      <c r="A119" s="19"/>
      <c r="C119" s="28"/>
      <c r="H119" s="8"/>
    </row>
    <row r="120" spans="1:8" ht="15.75" customHeight="1" x14ac:dyDescent="0.75">
      <c r="A120" s="19"/>
      <c r="C120" s="28"/>
      <c r="H120" s="8"/>
    </row>
    <row r="121" spans="1:8" ht="15.75" customHeight="1" x14ac:dyDescent="0.75">
      <c r="A121" s="19"/>
      <c r="C121" s="28"/>
      <c r="H121" s="8"/>
    </row>
    <row r="122" spans="1:8" ht="15.75" customHeight="1" x14ac:dyDescent="0.75">
      <c r="A122" s="19"/>
      <c r="C122" s="28"/>
      <c r="H122" s="8"/>
    </row>
    <row r="123" spans="1:8" ht="15.75" customHeight="1" x14ac:dyDescent="0.75">
      <c r="A123" s="19"/>
      <c r="C123" s="28"/>
      <c r="H123" s="8"/>
    </row>
    <row r="124" spans="1:8" ht="15.75" customHeight="1" x14ac:dyDescent="0.75">
      <c r="A124" s="19"/>
      <c r="C124" s="28"/>
      <c r="H124" s="8"/>
    </row>
    <row r="125" spans="1:8" ht="15.75" customHeight="1" x14ac:dyDescent="0.75">
      <c r="A125" s="19"/>
      <c r="C125" s="28"/>
      <c r="H125" s="8"/>
    </row>
    <row r="126" spans="1:8" ht="15.75" customHeight="1" x14ac:dyDescent="0.75">
      <c r="A126" s="19"/>
      <c r="C126" s="28"/>
      <c r="H126" s="8"/>
    </row>
    <row r="127" spans="1:8" ht="15.75" customHeight="1" x14ac:dyDescent="0.75">
      <c r="A127" s="19"/>
      <c r="C127" s="28"/>
      <c r="H127" s="8"/>
    </row>
    <row r="128" spans="1:8" ht="15.75" customHeight="1" x14ac:dyDescent="0.75">
      <c r="A128" s="19"/>
      <c r="C128" s="28"/>
      <c r="H128" s="8"/>
    </row>
    <row r="129" spans="1:8" ht="15.75" customHeight="1" x14ac:dyDescent="0.75">
      <c r="A129" s="19"/>
      <c r="C129" s="28"/>
      <c r="H129" s="8"/>
    </row>
    <row r="130" spans="1:8" ht="15.75" customHeight="1" x14ac:dyDescent="0.75">
      <c r="A130" s="19"/>
      <c r="C130" s="28"/>
      <c r="H130" s="8"/>
    </row>
    <row r="131" spans="1:8" ht="15.75" customHeight="1" x14ac:dyDescent="0.75">
      <c r="A131" s="19"/>
      <c r="C131" s="28"/>
      <c r="H131" s="8"/>
    </row>
    <row r="132" spans="1:8" ht="15.75" customHeight="1" x14ac:dyDescent="0.75">
      <c r="A132" s="19"/>
      <c r="C132" s="28"/>
      <c r="H132" s="8"/>
    </row>
    <row r="133" spans="1:8" ht="15.75" customHeight="1" x14ac:dyDescent="0.75">
      <c r="A133" s="19"/>
      <c r="C133" s="28"/>
      <c r="H133" s="8"/>
    </row>
    <row r="134" spans="1:8" ht="15.75" customHeight="1" x14ac:dyDescent="0.75">
      <c r="A134" s="19"/>
      <c r="C134" s="28"/>
      <c r="H134" s="8"/>
    </row>
    <row r="135" spans="1:8" ht="15.75" customHeight="1" x14ac:dyDescent="0.75">
      <c r="A135" s="19"/>
      <c r="C135" s="28"/>
      <c r="H135" s="8"/>
    </row>
    <row r="136" spans="1:8" ht="15.75" customHeight="1" x14ac:dyDescent="0.75">
      <c r="A136" s="19"/>
      <c r="C136" s="28"/>
      <c r="H136" s="8"/>
    </row>
    <row r="137" spans="1:8" ht="15.75" customHeight="1" x14ac:dyDescent="0.75">
      <c r="A137" s="19"/>
      <c r="C137" s="28"/>
      <c r="H137" s="8"/>
    </row>
    <row r="138" spans="1:8" ht="15.75" customHeight="1" x14ac:dyDescent="0.75">
      <c r="A138" s="19"/>
      <c r="C138" s="28"/>
      <c r="H138" s="8"/>
    </row>
    <row r="139" spans="1:8" ht="15.75" customHeight="1" x14ac:dyDescent="0.75">
      <c r="A139" s="19"/>
      <c r="C139" s="28"/>
      <c r="H139" s="8"/>
    </row>
    <row r="140" spans="1:8" ht="15.75" customHeight="1" x14ac:dyDescent="0.75">
      <c r="A140" s="19"/>
      <c r="C140" s="28"/>
      <c r="H140" s="8"/>
    </row>
    <row r="141" spans="1:8" ht="15.75" customHeight="1" x14ac:dyDescent="0.75">
      <c r="A141" s="19"/>
      <c r="C141" s="28"/>
      <c r="H141" s="8"/>
    </row>
    <row r="142" spans="1:8" ht="15.75" customHeight="1" x14ac:dyDescent="0.75">
      <c r="A142" s="19"/>
      <c r="C142" s="28"/>
      <c r="H142" s="8"/>
    </row>
    <row r="143" spans="1:8" ht="15.75" customHeight="1" x14ac:dyDescent="0.75">
      <c r="A143" s="19"/>
      <c r="C143" s="28"/>
      <c r="H143" s="8"/>
    </row>
    <row r="144" spans="1:8" ht="15.75" customHeight="1" x14ac:dyDescent="0.75">
      <c r="A144" s="19"/>
      <c r="C144" s="28"/>
      <c r="H144" s="8"/>
    </row>
    <row r="145" spans="1:8" ht="15.75" customHeight="1" x14ac:dyDescent="0.75">
      <c r="A145" s="19"/>
      <c r="C145" s="28"/>
      <c r="H145" s="8"/>
    </row>
    <row r="146" spans="1:8" ht="15.75" customHeight="1" x14ac:dyDescent="0.75">
      <c r="A146" s="19"/>
      <c r="C146" s="28"/>
      <c r="H146" s="8"/>
    </row>
    <row r="147" spans="1:8" ht="15.75" customHeight="1" x14ac:dyDescent="0.75">
      <c r="A147" s="19"/>
      <c r="C147" s="28"/>
      <c r="H147" s="8"/>
    </row>
    <row r="148" spans="1:8" ht="15.75" customHeight="1" x14ac:dyDescent="0.75">
      <c r="A148" s="19"/>
      <c r="C148" s="28"/>
      <c r="H148" s="8"/>
    </row>
    <row r="149" spans="1:8" ht="15.75" customHeight="1" x14ac:dyDescent="0.75">
      <c r="A149" s="19"/>
      <c r="C149" s="28"/>
      <c r="H149" s="8"/>
    </row>
    <row r="150" spans="1:8" ht="15.75" customHeight="1" x14ac:dyDescent="0.75">
      <c r="A150" s="19"/>
      <c r="C150" s="28"/>
      <c r="H150" s="8"/>
    </row>
    <row r="151" spans="1:8" ht="15.75" customHeight="1" x14ac:dyDescent="0.75">
      <c r="A151" s="19"/>
      <c r="C151" s="28"/>
      <c r="H151" s="8"/>
    </row>
    <row r="152" spans="1:8" ht="15.75" customHeight="1" x14ac:dyDescent="0.75">
      <c r="A152" s="19"/>
      <c r="C152" s="28"/>
      <c r="H152" s="8"/>
    </row>
    <row r="153" spans="1:8" ht="15.75" customHeight="1" x14ac:dyDescent="0.75">
      <c r="A153" s="19"/>
      <c r="C153" s="28"/>
      <c r="H153" s="8"/>
    </row>
    <row r="154" spans="1:8" ht="15.75" customHeight="1" x14ac:dyDescent="0.75">
      <c r="A154" s="19"/>
      <c r="C154" s="28"/>
      <c r="H154" s="8"/>
    </row>
    <row r="155" spans="1:8" ht="15.75" customHeight="1" x14ac:dyDescent="0.75">
      <c r="A155" s="19"/>
      <c r="C155" s="28"/>
      <c r="H155" s="8"/>
    </row>
    <row r="156" spans="1:8" ht="15.75" customHeight="1" x14ac:dyDescent="0.75">
      <c r="A156" s="19"/>
      <c r="C156" s="28"/>
      <c r="H156" s="8"/>
    </row>
    <row r="157" spans="1:8" ht="15.75" customHeight="1" x14ac:dyDescent="0.75">
      <c r="A157" s="19"/>
      <c r="C157" s="28"/>
      <c r="H157" s="8"/>
    </row>
    <row r="158" spans="1:8" ht="15.75" customHeight="1" x14ac:dyDescent="0.75">
      <c r="A158" s="19"/>
      <c r="C158" s="28"/>
      <c r="H158" s="8"/>
    </row>
    <row r="159" spans="1:8" ht="15.75" customHeight="1" x14ac:dyDescent="0.75">
      <c r="A159" s="19"/>
      <c r="C159" s="28"/>
      <c r="H159" s="8"/>
    </row>
    <row r="160" spans="1:8" ht="15.75" customHeight="1" x14ac:dyDescent="0.75">
      <c r="A160" s="19"/>
      <c r="C160" s="28"/>
      <c r="H160" s="8"/>
    </row>
    <row r="161" spans="1:8" ht="15.75" customHeight="1" x14ac:dyDescent="0.75">
      <c r="A161" s="19"/>
      <c r="C161" s="28"/>
      <c r="H161" s="8"/>
    </row>
    <row r="162" spans="1:8" ht="15.75" customHeight="1" x14ac:dyDescent="0.75">
      <c r="A162" s="19"/>
      <c r="C162" s="28"/>
      <c r="H162" s="8"/>
    </row>
    <row r="163" spans="1:8" ht="15.75" customHeight="1" x14ac:dyDescent="0.75">
      <c r="A163" s="19"/>
      <c r="C163" s="28"/>
      <c r="H163" s="8"/>
    </row>
    <row r="164" spans="1:8" ht="15.75" customHeight="1" x14ac:dyDescent="0.75">
      <c r="A164" s="19"/>
      <c r="C164" s="28"/>
      <c r="H164" s="8"/>
    </row>
    <row r="165" spans="1:8" ht="15.75" customHeight="1" x14ac:dyDescent="0.75">
      <c r="A165" s="19"/>
      <c r="C165" s="28"/>
      <c r="H165" s="8"/>
    </row>
    <row r="166" spans="1:8" ht="15.75" customHeight="1" x14ac:dyDescent="0.75">
      <c r="A166" s="19"/>
      <c r="C166" s="28"/>
      <c r="H166" s="8"/>
    </row>
    <row r="167" spans="1:8" ht="15.75" customHeight="1" x14ac:dyDescent="0.75">
      <c r="A167" s="19"/>
      <c r="C167" s="28"/>
      <c r="H167" s="8"/>
    </row>
    <row r="168" spans="1:8" ht="15.75" customHeight="1" x14ac:dyDescent="0.75">
      <c r="A168" s="19"/>
      <c r="C168" s="28"/>
      <c r="H168" s="8"/>
    </row>
    <row r="169" spans="1:8" ht="15.75" customHeight="1" x14ac:dyDescent="0.75">
      <c r="A169" s="19"/>
      <c r="C169" s="28"/>
      <c r="H169" s="8"/>
    </row>
    <row r="170" spans="1:8" ht="15.75" customHeight="1" x14ac:dyDescent="0.75">
      <c r="A170" s="19"/>
      <c r="C170" s="28"/>
      <c r="H170" s="8"/>
    </row>
    <row r="171" spans="1:8" ht="15.75" customHeight="1" x14ac:dyDescent="0.75">
      <c r="A171" s="19"/>
      <c r="C171" s="28"/>
      <c r="H171" s="8"/>
    </row>
    <row r="172" spans="1:8" ht="15.75" customHeight="1" x14ac:dyDescent="0.75">
      <c r="A172" s="19"/>
      <c r="C172" s="28"/>
      <c r="H172" s="8"/>
    </row>
    <row r="173" spans="1:8" ht="15.75" customHeight="1" x14ac:dyDescent="0.75">
      <c r="A173" s="19"/>
      <c r="C173" s="28"/>
      <c r="H173" s="8"/>
    </row>
    <row r="174" spans="1:8" ht="15.75" customHeight="1" x14ac:dyDescent="0.75">
      <c r="A174" s="19"/>
      <c r="C174" s="28"/>
      <c r="H174" s="8"/>
    </row>
    <row r="175" spans="1:8" ht="15.75" customHeight="1" x14ac:dyDescent="0.75">
      <c r="A175" s="19"/>
      <c r="C175" s="28"/>
      <c r="H175" s="8"/>
    </row>
    <row r="176" spans="1:8" ht="15.75" customHeight="1" x14ac:dyDescent="0.75">
      <c r="A176" s="19"/>
      <c r="C176" s="28"/>
      <c r="H176" s="8"/>
    </row>
    <row r="177" spans="1:8" ht="15.75" customHeight="1" x14ac:dyDescent="0.75">
      <c r="A177" s="19"/>
      <c r="C177" s="28"/>
      <c r="H177" s="8"/>
    </row>
    <row r="178" spans="1:8" ht="15.75" customHeight="1" x14ac:dyDescent="0.75">
      <c r="A178" s="19"/>
      <c r="C178" s="28"/>
      <c r="H178" s="8"/>
    </row>
    <row r="179" spans="1:8" ht="15.75" customHeight="1" x14ac:dyDescent="0.75">
      <c r="A179" s="19"/>
      <c r="C179" s="28"/>
      <c r="H179" s="8"/>
    </row>
    <row r="180" spans="1:8" ht="15.75" customHeight="1" x14ac:dyDescent="0.75">
      <c r="A180" s="19"/>
      <c r="C180" s="28"/>
      <c r="H180" s="8"/>
    </row>
    <row r="181" spans="1:8" ht="15.75" customHeight="1" x14ac:dyDescent="0.75">
      <c r="A181" s="19"/>
      <c r="C181" s="28"/>
      <c r="H181" s="8"/>
    </row>
    <row r="182" spans="1:8" ht="15.75" customHeight="1" x14ac:dyDescent="0.75">
      <c r="A182" s="19"/>
      <c r="C182" s="28"/>
      <c r="H182" s="8"/>
    </row>
    <row r="183" spans="1:8" ht="15.75" customHeight="1" x14ac:dyDescent="0.75">
      <c r="A183" s="19"/>
      <c r="C183" s="28"/>
      <c r="H183" s="8"/>
    </row>
    <row r="184" spans="1:8" ht="15.75" customHeight="1" x14ac:dyDescent="0.75">
      <c r="A184" s="19"/>
      <c r="C184" s="28"/>
      <c r="H184" s="8"/>
    </row>
    <row r="185" spans="1:8" ht="15.75" customHeight="1" x14ac:dyDescent="0.75">
      <c r="A185" s="19"/>
      <c r="C185" s="28"/>
      <c r="H185" s="8"/>
    </row>
    <row r="186" spans="1:8" ht="15.75" customHeight="1" x14ac:dyDescent="0.75">
      <c r="A186" s="19"/>
      <c r="C186" s="28"/>
      <c r="H186" s="8"/>
    </row>
    <row r="187" spans="1:8" ht="15.75" customHeight="1" x14ac:dyDescent="0.75">
      <c r="A187" s="19"/>
      <c r="C187" s="28"/>
      <c r="H187" s="8"/>
    </row>
    <row r="188" spans="1:8" ht="15.75" customHeight="1" x14ac:dyDescent="0.75">
      <c r="A188" s="19"/>
      <c r="C188" s="28"/>
      <c r="H188" s="8"/>
    </row>
    <row r="189" spans="1:8" ht="15.75" customHeight="1" x14ac:dyDescent="0.75">
      <c r="A189" s="19"/>
      <c r="C189" s="28"/>
      <c r="H189" s="8"/>
    </row>
    <row r="190" spans="1:8" ht="15.75" customHeight="1" x14ac:dyDescent="0.75">
      <c r="A190" s="19"/>
      <c r="C190" s="28"/>
      <c r="H190" s="8"/>
    </row>
    <row r="191" spans="1:8" ht="15.75" customHeight="1" x14ac:dyDescent="0.75">
      <c r="A191" s="19"/>
      <c r="C191" s="28"/>
      <c r="H191" s="8"/>
    </row>
    <row r="192" spans="1:8" ht="15.75" customHeight="1" x14ac:dyDescent="0.75">
      <c r="A192" s="19"/>
      <c r="C192" s="28"/>
      <c r="H192" s="8"/>
    </row>
    <row r="193" spans="1:8" ht="15.75" customHeight="1" x14ac:dyDescent="0.75">
      <c r="A193" s="19"/>
      <c r="C193" s="28"/>
      <c r="H193" s="8"/>
    </row>
    <row r="194" spans="1:8" ht="15.75" customHeight="1" x14ac:dyDescent="0.75">
      <c r="A194" s="19"/>
      <c r="C194" s="28"/>
      <c r="H194" s="8"/>
    </row>
    <row r="195" spans="1:8" ht="15.75" customHeight="1" x14ac:dyDescent="0.75">
      <c r="A195" s="19"/>
      <c r="C195" s="28"/>
      <c r="H195" s="8"/>
    </row>
    <row r="196" spans="1:8" ht="15.75" customHeight="1" x14ac:dyDescent="0.75">
      <c r="A196" s="19"/>
      <c r="C196" s="28"/>
      <c r="H196" s="8"/>
    </row>
    <row r="197" spans="1:8" ht="15.75" customHeight="1" x14ac:dyDescent="0.75">
      <c r="A197" s="19"/>
      <c r="C197" s="28"/>
      <c r="H197" s="8"/>
    </row>
    <row r="198" spans="1:8" ht="15.75" customHeight="1" x14ac:dyDescent="0.75">
      <c r="A198" s="19"/>
      <c r="C198" s="28"/>
      <c r="H198" s="8"/>
    </row>
    <row r="199" spans="1:8" ht="15.75" customHeight="1" x14ac:dyDescent="0.75">
      <c r="A199" s="19"/>
      <c r="C199" s="28"/>
      <c r="H199" s="8"/>
    </row>
    <row r="200" spans="1:8" ht="15.75" customHeight="1" x14ac:dyDescent="0.75">
      <c r="A200" s="19"/>
      <c r="C200" s="28"/>
      <c r="H200" s="8"/>
    </row>
    <row r="201" spans="1:8" ht="15.75" customHeight="1" x14ac:dyDescent="0.75">
      <c r="A201" s="19"/>
      <c r="C201" s="28"/>
      <c r="H201" s="8"/>
    </row>
    <row r="202" spans="1:8" ht="15.75" customHeight="1" x14ac:dyDescent="0.75">
      <c r="A202" s="19"/>
      <c r="C202" s="28"/>
      <c r="H202" s="8"/>
    </row>
    <row r="203" spans="1:8" ht="15.75" customHeight="1" x14ac:dyDescent="0.75">
      <c r="A203" s="19"/>
      <c r="C203" s="28"/>
      <c r="H203" s="8"/>
    </row>
    <row r="204" spans="1:8" ht="15.75" customHeight="1" x14ac:dyDescent="0.75">
      <c r="A204" s="19"/>
      <c r="C204" s="28"/>
      <c r="H204" s="8"/>
    </row>
    <row r="205" spans="1:8" ht="15.75" customHeight="1" x14ac:dyDescent="0.75">
      <c r="A205" s="19"/>
      <c r="C205" s="28"/>
      <c r="H205" s="8"/>
    </row>
    <row r="206" spans="1:8" ht="15.75" customHeight="1" x14ac:dyDescent="0.75">
      <c r="A206" s="19"/>
      <c r="C206" s="28"/>
      <c r="H206" s="8"/>
    </row>
    <row r="207" spans="1:8" ht="15.75" customHeight="1" x14ac:dyDescent="0.75">
      <c r="A207" s="19"/>
      <c r="C207" s="28"/>
      <c r="H207" s="8"/>
    </row>
    <row r="208" spans="1:8" ht="15.75" customHeight="1" x14ac:dyDescent="0.75">
      <c r="A208" s="19"/>
      <c r="C208" s="28"/>
      <c r="H208" s="8"/>
    </row>
    <row r="209" spans="1:8" ht="15.75" customHeight="1" x14ac:dyDescent="0.75">
      <c r="A209" s="19"/>
      <c r="C209" s="28"/>
      <c r="H209" s="8"/>
    </row>
    <row r="210" spans="1:8" ht="15.75" customHeight="1" x14ac:dyDescent="0.75">
      <c r="A210" s="19"/>
      <c r="C210" s="28"/>
      <c r="H210" s="8"/>
    </row>
    <row r="211" spans="1:8" ht="15.75" customHeight="1" x14ac:dyDescent="0.75">
      <c r="A211" s="19"/>
      <c r="C211" s="28"/>
      <c r="H211" s="8"/>
    </row>
    <row r="212" spans="1:8" ht="15.75" customHeight="1" x14ac:dyDescent="0.75">
      <c r="A212" s="19"/>
      <c r="C212" s="28"/>
      <c r="H212" s="8"/>
    </row>
    <row r="213" spans="1:8" ht="15.75" customHeight="1" x14ac:dyDescent="0.75">
      <c r="A213" s="19"/>
      <c r="C213" s="28"/>
      <c r="H213" s="8"/>
    </row>
    <row r="214" spans="1:8" ht="15.75" customHeight="1" x14ac:dyDescent="0.75">
      <c r="A214" s="19"/>
      <c r="C214" s="28"/>
      <c r="H214" s="8"/>
    </row>
    <row r="215" spans="1:8" ht="15.75" customHeight="1" x14ac:dyDescent="0.75">
      <c r="A215" s="19"/>
      <c r="C215" s="28"/>
      <c r="H215" s="8"/>
    </row>
    <row r="216" spans="1:8" ht="15.75" customHeight="1" x14ac:dyDescent="0.75">
      <c r="A216" s="19"/>
      <c r="C216" s="28"/>
      <c r="H216" s="8"/>
    </row>
    <row r="217" spans="1:8" ht="15.75" customHeight="1" x14ac:dyDescent="0.75">
      <c r="A217" s="19"/>
      <c r="C217" s="28"/>
      <c r="H217" s="8"/>
    </row>
    <row r="218" spans="1:8" ht="15.75" customHeight="1" x14ac:dyDescent="0.75">
      <c r="A218" s="19"/>
      <c r="C218" s="28"/>
      <c r="H218" s="8"/>
    </row>
    <row r="219" spans="1:8" ht="15.75" customHeight="1" x14ac:dyDescent="0.75">
      <c r="A219" s="19"/>
      <c r="C219" s="28"/>
      <c r="H219" s="8"/>
    </row>
    <row r="220" spans="1:8" ht="15.75" customHeight="1" x14ac:dyDescent="0.75">
      <c r="A220" s="19"/>
      <c r="C220" s="28"/>
      <c r="H220" s="8"/>
    </row>
    <row r="221" spans="1:8" ht="15.75" customHeight="1" x14ac:dyDescent="0.75">
      <c r="A221" s="19"/>
      <c r="C221" s="28"/>
      <c r="H221" s="8"/>
    </row>
    <row r="222" spans="1:8" ht="15.75" customHeight="1" x14ac:dyDescent="0.75">
      <c r="A222" s="19"/>
      <c r="C222" s="28"/>
      <c r="H222" s="8"/>
    </row>
    <row r="223" spans="1:8" ht="15.75" customHeight="1" x14ac:dyDescent="0.75">
      <c r="A223" s="19"/>
      <c r="C223" s="28"/>
      <c r="H223" s="8"/>
    </row>
    <row r="224" spans="1:8" ht="15.75" customHeight="1" x14ac:dyDescent="0.75">
      <c r="A224" s="19"/>
      <c r="C224" s="28"/>
      <c r="H224" s="8"/>
    </row>
    <row r="225" spans="1:8" ht="15.75" customHeight="1" x14ac:dyDescent="0.75">
      <c r="A225" s="19"/>
      <c r="C225" s="28"/>
      <c r="H225" s="8"/>
    </row>
    <row r="226" spans="1:8" ht="15.75" customHeight="1" x14ac:dyDescent="0.75">
      <c r="A226" s="19"/>
      <c r="C226" s="28"/>
      <c r="H226" s="8"/>
    </row>
    <row r="227" spans="1:8" ht="15.75" customHeight="1" x14ac:dyDescent="0.75">
      <c r="A227" s="19"/>
      <c r="C227" s="28"/>
      <c r="H227" s="8"/>
    </row>
    <row r="228" spans="1:8" ht="15.75" customHeight="1" x14ac:dyDescent="0.75">
      <c r="A228" s="19"/>
      <c r="C228" s="28"/>
      <c r="H228" s="8"/>
    </row>
    <row r="229" spans="1:8" ht="15.75" customHeight="1" x14ac:dyDescent="0.75">
      <c r="A229" s="19"/>
      <c r="C229" s="28"/>
      <c r="H229" s="8"/>
    </row>
    <row r="230" spans="1:8" ht="15.75" customHeight="1" x14ac:dyDescent="0.75">
      <c r="A230" s="19"/>
      <c r="C230" s="28"/>
      <c r="H230" s="8"/>
    </row>
    <row r="231" spans="1:8" ht="15.75" customHeight="1" x14ac:dyDescent="0.75">
      <c r="A231" s="19"/>
      <c r="C231" s="28"/>
      <c r="H231" s="8"/>
    </row>
    <row r="232" spans="1:8" ht="15.75" customHeight="1" x14ac:dyDescent="0.75">
      <c r="A232" s="19"/>
      <c r="C232" s="28"/>
      <c r="H232" s="8"/>
    </row>
    <row r="233" spans="1:8" ht="15.75" customHeight="1" x14ac:dyDescent="0.75">
      <c r="A233" s="19"/>
      <c r="C233" s="28"/>
      <c r="H233" s="8"/>
    </row>
    <row r="234" spans="1:8" ht="15.75" customHeight="1" x14ac:dyDescent="0.75">
      <c r="A234" s="19"/>
      <c r="C234" s="28"/>
      <c r="H234" s="8"/>
    </row>
    <row r="235" spans="1:8" ht="15.75" customHeight="1" x14ac:dyDescent="0.75">
      <c r="A235" s="19"/>
      <c r="C235" s="28"/>
      <c r="H235" s="8"/>
    </row>
    <row r="236" spans="1:8" ht="15.75" customHeight="1" x14ac:dyDescent="0.75">
      <c r="A236" s="19"/>
      <c r="C236" s="28"/>
      <c r="H236" s="8"/>
    </row>
    <row r="237" spans="1:8" ht="15.75" customHeight="1" x14ac:dyDescent="0.75">
      <c r="A237" s="19"/>
      <c r="C237" s="28"/>
      <c r="H237" s="8"/>
    </row>
    <row r="238" spans="1:8" ht="15.75" customHeight="1" x14ac:dyDescent="0.75">
      <c r="A238" s="19"/>
      <c r="C238" s="28"/>
      <c r="H238" s="8"/>
    </row>
    <row r="239" spans="1:8" ht="15.75" customHeight="1" x14ac:dyDescent="0.75">
      <c r="A239" s="19"/>
      <c r="C239" s="28"/>
      <c r="H239" s="8"/>
    </row>
    <row r="240" spans="1:8" ht="15.75" customHeight="1" x14ac:dyDescent="0.75">
      <c r="A240" s="19"/>
      <c r="C240" s="28"/>
      <c r="H240" s="8"/>
    </row>
    <row r="241" spans="1:8" ht="15.75" customHeight="1" x14ac:dyDescent="0.75">
      <c r="A241" s="19"/>
      <c r="C241" s="28"/>
      <c r="H241" s="8"/>
    </row>
    <row r="242" spans="1:8" ht="15.75" customHeight="1" x14ac:dyDescent="0.75">
      <c r="A242" s="19"/>
      <c r="C242" s="28"/>
      <c r="H242" s="8"/>
    </row>
    <row r="243" spans="1:8" ht="15.75" customHeight="1" x14ac:dyDescent="0.75">
      <c r="A243" s="19"/>
      <c r="C243" s="28"/>
      <c r="H243" s="8"/>
    </row>
    <row r="244" spans="1:8" ht="15.75" customHeight="1" x14ac:dyDescent="0.75">
      <c r="A244" s="19"/>
      <c r="C244" s="28"/>
      <c r="H244" s="8"/>
    </row>
    <row r="245" spans="1:8" ht="15.75" customHeight="1" x14ac:dyDescent="0.75">
      <c r="A245" s="19"/>
      <c r="C245" s="28"/>
      <c r="H245" s="8"/>
    </row>
    <row r="246" spans="1:8" ht="15.75" customHeight="1" x14ac:dyDescent="0.75">
      <c r="A246" s="19"/>
      <c r="C246" s="28"/>
      <c r="H246" s="8"/>
    </row>
    <row r="247" spans="1:8" ht="15.75" customHeight="1" x14ac:dyDescent="0.75">
      <c r="A247" s="19"/>
      <c r="C247" s="28"/>
      <c r="H247" s="8"/>
    </row>
    <row r="248" spans="1:8" ht="15.75" customHeight="1" x14ac:dyDescent="0.75">
      <c r="A248" s="19"/>
      <c r="C248" s="28"/>
      <c r="H248" s="8"/>
    </row>
    <row r="249" spans="1:8" ht="15.75" customHeight="1" x14ac:dyDescent="0.75">
      <c r="A249" s="19"/>
      <c r="C249" s="28"/>
      <c r="H249" s="8"/>
    </row>
    <row r="250" spans="1:8" ht="15.75" customHeight="1" x14ac:dyDescent="0.75">
      <c r="A250" s="19"/>
      <c r="C250" s="28"/>
      <c r="H250" s="8"/>
    </row>
    <row r="251" spans="1:8" ht="15.75" customHeight="1" x14ac:dyDescent="0.75">
      <c r="A251" s="19"/>
      <c r="C251" s="28"/>
      <c r="H251" s="8"/>
    </row>
    <row r="252" spans="1:8" ht="15.75" customHeight="1" x14ac:dyDescent="0.75">
      <c r="A252" s="19"/>
      <c r="C252" s="28"/>
      <c r="H252" s="8"/>
    </row>
    <row r="253" spans="1:8" ht="15.75" customHeight="1" x14ac:dyDescent="0.75">
      <c r="A253" s="19"/>
      <c r="C253" s="28"/>
      <c r="H253" s="8"/>
    </row>
    <row r="254" spans="1:8" ht="15.75" customHeight="1" x14ac:dyDescent="0.75">
      <c r="A254" s="19"/>
      <c r="C254" s="28"/>
      <c r="H254" s="8"/>
    </row>
    <row r="255" spans="1:8" ht="15.75" customHeight="1" x14ac:dyDescent="0.75">
      <c r="A255" s="19"/>
      <c r="C255" s="28"/>
      <c r="H255" s="8"/>
    </row>
    <row r="256" spans="1:8" ht="15.75" customHeight="1" x14ac:dyDescent="0.75">
      <c r="A256" s="19"/>
      <c r="C256" s="28"/>
      <c r="H256" s="8"/>
    </row>
    <row r="257" spans="1:8" ht="15.75" customHeight="1" x14ac:dyDescent="0.75">
      <c r="A257" s="19"/>
      <c r="C257" s="28"/>
      <c r="H257" s="8"/>
    </row>
    <row r="258" spans="1:8" ht="15.75" customHeight="1" x14ac:dyDescent="0.75">
      <c r="A258" s="19"/>
      <c r="C258" s="28"/>
      <c r="H258" s="8"/>
    </row>
    <row r="259" spans="1:8" ht="15.75" customHeight="1" x14ac:dyDescent="0.75">
      <c r="A259" s="19"/>
      <c r="C259" s="28"/>
      <c r="H259" s="8"/>
    </row>
    <row r="260" spans="1:8" ht="15.75" customHeight="1" x14ac:dyDescent="0.75">
      <c r="A260" s="19"/>
      <c r="C260" s="28"/>
      <c r="H260" s="8"/>
    </row>
    <row r="261" spans="1:8" ht="15.75" customHeight="1" x14ac:dyDescent="0.75">
      <c r="A261" s="19"/>
      <c r="C261" s="28"/>
      <c r="H261" s="8"/>
    </row>
    <row r="262" spans="1:8" ht="15.75" customHeight="1" x14ac:dyDescent="0.75">
      <c r="A262" s="19"/>
      <c r="C262" s="28"/>
      <c r="H262" s="8"/>
    </row>
    <row r="263" spans="1:8" ht="15.75" customHeight="1" x14ac:dyDescent="0.75">
      <c r="A263" s="19"/>
      <c r="C263" s="28"/>
      <c r="H263" s="8"/>
    </row>
    <row r="264" spans="1:8" ht="15.75" customHeight="1" x14ac:dyDescent="0.75">
      <c r="A264" s="19"/>
      <c r="C264" s="28"/>
      <c r="H264" s="8"/>
    </row>
    <row r="265" spans="1:8" ht="15.75" customHeight="1" x14ac:dyDescent="0.75">
      <c r="A265" s="19"/>
      <c r="C265" s="28"/>
      <c r="H265" s="8"/>
    </row>
    <row r="266" spans="1:8" ht="15.75" customHeight="1" x14ac:dyDescent="0.75">
      <c r="A266" s="19"/>
      <c r="C266" s="28"/>
      <c r="H266" s="8"/>
    </row>
    <row r="267" spans="1:8" ht="15.75" customHeight="1" x14ac:dyDescent="0.75">
      <c r="A267" s="19"/>
      <c r="C267" s="28"/>
      <c r="H267" s="8"/>
    </row>
    <row r="268" spans="1:8" ht="15.75" customHeight="1" x14ac:dyDescent="0.75">
      <c r="A268" s="19"/>
      <c r="C268" s="28"/>
      <c r="H268" s="8"/>
    </row>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row r="1019" ht="15.75" customHeight="1" x14ac:dyDescent="0.75"/>
    <row r="1020" ht="15.75" customHeight="1" x14ac:dyDescent="0.75"/>
  </sheetData>
  <mergeCells count="2">
    <mergeCell ref="H11:H12"/>
    <mergeCell ref="A4:A1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9"/>
  <sheetViews>
    <sheetView topLeftCell="A29" workbookViewId="0">
      <selection activeCell="B42" sqref="B42:D43"/>
    </sheetView>
  </sheetViews>
  <sheetFormatPr defaultColWidth="14.5" defaultRowHeight="15" customHeight="1" x14ac:dyDescent="0.75"/>
  <cols>
    <col min="1" max="1" width="19.1796875" customWidth="1"/>
    <col min="2" max="2" width="85.31640625" customWidth="1"/>
    <col min="3" max="3" width="11.81640625" customWidth="1"/>
    <col min="4" max="4" width="36" customWidth="1"/>
    <col min="5" max="5" width="28.1796875" customWidth="1"/>
    <col min="6" max="7" width="8.81640625" customWidth="1"/>
    <col min="8" max="8" width="42.81640625" customWidth="1"/>
    <col min="9" max="9" width="59.5" customWidth="1"/>
  </cols>
  <sheetData>
    <row r="1" spans="1:8" ht="26.25" customHeight="1" x14ac:dyDescent="0.75">
      <c r="B1" s="1" t="s">
        <v>161</v>
      </c>
    </row>
    <row r="2" spans="1:8" ht="47.25" customHeight="1" x14ac:dyDescent="0.75">
      <c r="A2" s="245"/>
      <c r="B2" s="270" t="s">
        <v>162</v>
      </c>
      <c r="C2" s="271" t="s">
        <v>70</v>
      </c>
      <c r="D2" s="251"/>
    </row>
    <row r="3" spans="1:8" ht="26.25" customHeight="1" x14ac:dyDescent="0.75">
      <c r="A3" s="269"/>
      <c r="B3" s="259" t="s">
        <v>0</v>
      </c>
      <c r="C3" s="254" t="s">
        <v>1</v>
      </c>
      <c r="D3" s="272" t="s">
        <v>510</v>
      </c>
      <c r="E3" s="10"/>
      <c r="F3" s="10"/>
      <c r="G3" s="10"/>
      <c r="H3" s="10" t="s">
        <v>6</v>
      </c>
    </row>
    <row r="4" spans="1:8" ht="30.75" customHeight="1" x14ac:dyDescent="0.75">
      <c r="A4" s="486" t="s">
        <v>511</v>
      </c>
      <c r="B4" s="174" t="s">
        <v>71</v>
      </c>
      <c r="C4" s="210">
        <v>5.2999999999999999E-2</v>
      </c>
      <c r="D4" s="244">
        <f t="shared" ref="D4:D15" si="0">C4/$C$20*(1-$C$18)</f>
        <v>3.9750000000000001E-2</v>
      </c>
      <c r="E4" s="1"/>
      <c r="F4" s="1"/>
      <c r="G4" s="1"/>
      <c r="H4" s="37" t="s">
        <v>72</v>
      </c>
    </row>
    <row r="5" spans="1:8" ht="30.75" customHeight="1" x14ac:dyDescent="0.75">
      <c r="A5" s="487"/>
      <c r="B5" s="171" t="s">
        <v>73</v>
      </c>
      <c r="C5" s="211">
        <v>0</v>
      </c>
      <c r="D5" s="244">
        <f t="shared" si="0"/>
        <v>0</v>
      </c>
      <c r="E5" s="1"/>
      <c r="F5" s="1"/>
      <c r="G5" s="1"/>
      <c r="H5" s="11"/>
    </row>
    <row r="6" spans="1:8" ht="30.75" customHeight="1" x14ac:dyDescent="0.75">
      <c r="A6" s="487"/>
      <c r="B6" s="171" t="s">
        <v>74</v>
      </c>
      <c r="C6" s="211">
        <v>4.2999999999999997E-2</v>
      </c>
      <c r="D6" s="244">
        <f t="shared" si="0"/>
        <v>3.2250000000000001E-2</v>
      </c>
      <c r="E6" s="1"/>
      <c r="F6" s="1"/>
      <c r="G6" s="1"/>
      <c r="H6" s="11"/>
    </row>
    <row r="7" spans="1:8" ht="30.75" customHeight="1" x14ac:dyDescent="0.75">
      <c r="A7" s="487"/>
      <c r="B7" s="171" t="s">
        <v>75</v>
      </c>
      <c r="C7" s="211">
        <v>6.9999999999999993E-3</v>
      </c>
      <c r="D7" s="244">
        <f t="shared" si="0"/>
        <v>5.2499999999999995E-3</v>
      </c>
      <c r="E7" s="1"/>
      <c r="F7" s="1"/>
      <c r="G7" s="1"/>
      <c r="H7" s="11"/>
    </row>
    <row r="8" spans="1:8" ht="39" customHeight="1" x14ac:dyDescent="0.75">
      <c r="A8" s="487"/>
      <c r="B8" s="172" t="s">
        <v>163</v>
      </c>
      <c r="C8" s="211">
        <v>1.1000000000000001E-2</v>
      </c>
      <c r="D8" s="244">
        <f t="shared" si="0"/>
        <v>8.2500000000000004E-3</v>
      </c>
      <c r="E8" s="1"/>
      <c r="F8" s="1"/>
      <c r="G8" s="1"/>
      <c r="H8" s="37" t="s">
        <v>79</v>
      </c>
    </row>
    <row r="9" spans="1:8" ht="39" customHeight="1" x14ac:dyDescent="0.75">
      <c r="A9" s="487"/>
      <c r="B9" s="172" t="s">
        <v>500</v>
      </c>
      <c r="C9" s="211">
        <v>0</v>
      </c>
      <c r="D9" s="244">
        <f t="shared" si="0"/>
        <v>0</v>
      </c>
      <c r="E9" s="1"/>
      <c r="F9" s="1"/>
      <c r="G9" s="1"/>
      <c r="H9" s="37"/>
    </row>
    <row r="10" spans="1:8" ht="26.25" customHeight="1" x14ac:dyDescent="0.75">
      <c r="A10" s="487"/>
      <c r="B10" s="172" t="s">
        <v>108</v>
      </c>
      <c r="C10" s="211">
        <v>0</v>
      </c>
      <c r="D10" s="244">
        <f t="shared" si="0"/>
        <v>0</v>
      </c>
      <c r="E10" s="1"/>
      <c r="F10" s="1"/>
      <c r="G10" s="1"/>
      <c r="H10" s="11"/>
    </row>
    <row r="11" spans="1:8" ht="26.25" customHeight="1" x14ac:dyDescent="0.75">
      <c r="A11" s="487"/>
      <c r="B11" s="172" t="s">
        <v>164</v>
      </c>
      <c r="C11" s="211">
        <v>0.11299999999999999</v>
      </c>
      <c r="D11" s="244">
        <f t="shared" si="0"/>
        <v>8.4749999999999992E-2</v>
      </c>
      <c r="E11" s="1"/>
      <c r="F11" s="1"/>
      <c r="G11" s="1"/>
      <c r="H11" s="11"/>
    </row>
    <row r="12" spans="1:8" ht="26.25" customHeight="1" x14ac:dyDescent="0.75">
      <c r="A12" s="487"/>
      <c r="B12" s="172" t="s">
        <v>109</v>
      </c>
      <c r="C12" s="211">
        <v>0.30399999999999999</v>
      </c>
      <c r="D12" s="244">
        <f t="shared" si="0"/>
        <v>0.22799999999999998</v>
      </c>
      <c r="E12" s="1"/>
      <c r="F12" s="1"/>
      <c r="G12" s="1"/>
      <c r="H12" s="11"/>
    </row>
    <row r="13" spans="1:8" ht="26.25" customHeight="1" x14ac:dyDescent="0.75">
      <c r="A13" s="487"/>
      <c r="B13" s="172" t="s">
        <v>165</v>
      </c>
      <c r="C13" s="211">
        <v>0.39899999999999997</v>
      </c>
      <c r="D13" s="244">
        <f t="shared" si="0"/>
        <v>0.29924999999999996</v>
      </c>
      <c r="E13" s="1"/>
      <c r="F13" s="1"/>
      <c r="G13" s="1"/>
      <c r="H13" s="32">
        <f>SUM(C4:C15)</f>
        <v>1</v>
      </c>
    </row>
    <row r="14" spans="1:8" ht="26.25" customHeight="1" x14ac:dyDescent="0.75">
      <c r="A14" s="487"/>
      <c r="B14" s="475" t="s">
        <v>558</v>
      </c>
      <c r="C14" s="473">
        <v>2.4E-2</v>
      </c>
      <c r="D14" s="477">
        <f t="shared" si="0"/>
        <v>1.8000000000000002E-2</v>
      </c>
      <c r="E14" s="1"/>
      <c r="F14" s="1"/>
      <c r="G14" s="1"/>
      <c r="H14" s="11"/>
    </row>
    <row r="15" spans="1:8" ht="26.25" customHeight="1" x14ac:dyDescent="0.75">
      <c r="A15" s="488"/>
      <c r="B15" s="172" t="s">
        <v>166</v>
      </c>
      <c r="C15" s="211">
        <v>4.5999999999999999E-2</v>
      </c>
      <c r="D15" s="244">
        <f t="shared" si="0"/>
        <v>3.4500000000000003E-2</v>
      </c>
      <c r="E15" s="1"/>
      <c r="F15" s="1"/>
      <c r="G15" s="1"/>
      <c r="H15" s="11"/>
    </row>
    <row r="16" spans="1:8" ht="26.25" customHeight="1" x14ac:dyDescent="0.75">
      <c r="A16" s="245"/>
      <c r="B16" s="165" t="s">
        <v>167</v>
      </c>
      <c r="C16" s="113">
        <v>1</v>
      </c>
      <c r="D16" s="240">
        <f>C16</f>
        <v>1</v>
      </c>
      <c r="E16" s="1"/>
      <c r="F16" s="1"/>
      <c r="G16" s="1"/>
      <c r="H16" s="11"/>
    </row>
    <row r="17" spans="1:9" ht="26.25" customHeight="1" x14ac:dyDescent="0.75">
      <c r="A17" s="273"/>
      <c r="B17" s="239" t="s">
        <v>84</v>
      </c>
      <c r="C17" s="113">
        <v>0.8</v>
      </c>
      <c r="D17" s="274">
        <f>C17</f>
        <v>0.8</v>
      </c>
      <c r="E17" s="1"/>
      <c r="F17" s="1"/>
      <c r="G17" s="1"/>
      <c r="H17" s="11"/>
    </row>
    <row r="18" spans="1:9" ht="26.25" customHeight="1" x14ac:dyDescent="0.75">
      <c r="A18" s="257"/>
      <c r="B18" s="227" t="s">
        <v>387</v>
      </c>
      <c r="C18" s="111">
        <v>0.25</v>
      </c>
      <c r="D18" s="275">
        <f>C18</f>
        <v>0.25</v>
      </c>
      <c r="I18" s="11"/>
    </row>
    <row r="19" spans="1:9" ht="15.75" customHeight="1" x14ac:dyDescent="0.75">
      <c r="B19" s="11"/>
      <c r="C19" s="127" t="s">
        <v>518</v>
      </c>
    </row>
    <row r="20" spans="1:9" ht="15.75" customHeight="1" x14ac:dyDescent="0.75">
      <c r="B20" s="11" t="s">
        <v>389</v>
      </c>
      <c r="C20" s="112">
        <f>SUM(C4:C15)</f>
        <v>1</v>
      </c>
    </row>
    <row r="21" spans="1:9" ht="15.75" customHeight="1" x14ac:dyDescent="0.75">
      <c r="B21" s="11"/>
      <c r="C21" s="37"/>
    </row>
    <row r="22" spans="1:9" ht="15.75" customHeight="1" x14ac:dyDescent="0.75">
      <c r="B22" s="11"/>
      <c r="C22" s="37"/>
    </row>
    <row r="23" spans="1:9" ht="15.75" customHeight="1" x14ac:dyDescent="0.75">
      <c r="B23" s="11"/>
      <c r="C23" s="37"/>
    </row>
    <row r="24" spans="1:9" ht="15.75" customHeight="1" x14ac:dyDescent="0.75">
      <c r="B24" s="11"/>
      <c r="C24" s="37"/>
    </row>
    <row r="25" spans="1:9" ht="15.75" customHeight="1" x14ac:dyDescent="0.75">
      <c r="B25" s="156" t="s">
        <v>521</v>
      </c>
      <c r="C25" s="37"/>
    </row>
    <row r="26" spans="1:9" ht="15.75" customHeight="1" x14ac:dyDescent="0.75">
      <c r="B26" s="357" t="s">
        <v>168</v>
      </c>
      <c r="C26" s="358" t="s">
        <v>48</v>
      </c>
      <c r="D26" s="359"/>
    </row>
    <row r="27" spans="1:9" ht="15.75" customHeight="1" x14ac:dyDescent="0.75">
      <c r="B27" s="360" t="s">
        <v>30</v>
      </c>
      <c r="C27" s="336">
        <f>$D8*$C$46</f>
        <v>937.91432678942351</v>
      </c>
      <c r="D27" s="361" t="s">
        <v>169</v>
      </c>
    </row>
    <row r="28" spans="1:9" ht="14.25" customHeight="1" x14ac:dyDescent="0.75">
      <c r="B28" s="362" t="s">
        <v>32</v>
      </c>
      <c r="C28" s="363">
        <v>0</v>
      </c>
      <c r="D28" s="364" t="s">
        <v>170</v>
      </c>
    </row>
    <row r="29" spans="1:9" ht="15.75" customHeight="1" x14ac:dyDescent="0.75">
      <c r="B29" s="360" t="s">
        <v>34</v>
      </c>
      <c r="C29" s="336">
        <f>($D11+$D$12)*$C$46</f>
        <v>35555.47947919905</v>
      </c>
      <c r="D29" s="361" t="s">
        <v>171</v>
      </c>
    </row>
    <row r="30" spans="1:9" ht="15.75" customHeight="1" x14ac:dyDescent="0.75">
      <c r="B30" s="360" t="s">
        <v>36</v>
      </c>
      <c r="C30" s="336">
        <f>$D10*$C$46</f>
        <v>0</v>
      </c>
      <c r="D30" s="361" t="s">
        <v>172</v>
      </c>
    </row>
    <row r="31" spans="1:9" ht="15.75" customHeight="1" x14ac:dyDescent="0.75">
      <c r="B31" s="362" t="s">
        <v>38</v>
      </c>
      <c r="C31" s="365">
        <f>D4*$C$46*C17</f>
        <v>3615.2334050792324</v>
      </c>
      <c r="D31" s="366" t="s">
        <v>89</v>
      </c>
    </row>
    <row r="32" spans="1:9" ht="15.75" customHeight="1" x14ac:dyDescent="0.75">
      <c r="B32" s="362" t="s">
        <v>40</v>
      </c>
      <c r="C32" s="365">
        <f>D5*$C$46*C17</f>
        <v>0</v>
      </c>
      <c r="D32" s="366" t="s">
        <v>90</v>
      </c>
    </row>
    <row r="33" spans="2:5" ht="15.75" customHeight="1" x14ac:dyDescent="0.75">
      <c r="B33" s="362" t="s">
        <v>41</v>
      </c>
      <c r="C33" s="365">
        <f>D6*$C$46*C17</f>
        <v>2933.1138946869246</v>
      </c>
      <c r="D33" s="366" t="s">
        <v>91</v>
      </c>
    </row>
    <row r="34" spans="2:5" ht="15.75" customHeight="1" x14ac:dyDescent="0.75">
      <c r="B34" s="362" t="s">
        <v>42</v>
      </c>
      <c r="C34" s="365">
        <f>D7*$C$46*C17</f>
        <v>477.48365727461555</v>
      </c>
      <c r="D34" s="366" t="s">
        <v>92</v>
      </c>
    </row>
    <row r="35" spans="2:5" ht="15.75" customHeight="1" x14ac:dyDescent="0.75">
      <c r="B35" s="360" t="s">
        <v>43</v>
      </c>
      <c r="C35" s="336">
        <f>D18*C46*C16</f>
        <v>28421.646266346164</v>
      </c>
      <c r="D35" s="366" t="s">
        <v>93</v>
      </c>
    </row>
    <row r="36" spans="2:5" ht="15.75" customHeight="1" x14ac:dyDescent="0.75">
      <c r="B36" s="360" t="s">
        <v>45</v>
      </c>
      <c r="C36" s="367">
        <v>0</v>
      </c>
      <c r="D36" s="366" t="s">
        <v>173</v>
      </c>
    </row>
    <row r="37" spans="2:5" ht="15.75" customHeight="1" x14ac:dyDescent="0.75">
      <c r="B37" s="360" t="s">
        <v>47</v>
      </c>
      <c r="C37" s="367">
        <v>0</v>
      </c>
      <c r="D37" s="366" t="s">
        <v>173</v>
      </c>
    </row>
    <row r="38" spans="2:5" ht="15.75" customHeight="1" x14ac:dyDescent="0.75">
      <c r="B38" s="360" t="s">
        <v>48</v>
      </c>
      <c r="C38" s="368">
        <v>0</v>
      </c>
      <c r="D38" s="366" t="s">
        <v>174</v>
      </c>
    </row>
    <row r="39" spans="2:5" ht="15.75" customHeight="1" x14ac:dyDescent="0.75">
      <c r="B39" s="360" t="s">
        <v>50</v>
      </c>
      <c r="C39" s="368">
        <v>0</v>
      </c>
      <c r="D39" s="366" t="s">
        <v>175</v>
      </c>
    </row>
    <row r="40" spans="2:5" ht="15.75" customHeight="1" x14ac:dyDescent="0.75">
      <c r="B40" s="360" t="s">
        <v>52</v>
      </c>
      <c r="C40" s="368">
        <v>0</v>
      </c>
      <c r="D40" s="366" t="s">
        <v>176</v>
      </c>
    </row>
    <row r="41" spans="2:5" ht="15.75" customHeight="1" x14ac:dyDescent="0.75">
      <c r="B41" s="360" t="s">
        <v>54</v>
      </c>
      <c r="C41" s="368">
        <v>0</v>
      </c>
      <c r="D41" s="366" t="s">
        <v>177</v>
      </c>
    </row>
    <row r="42" spans="2:5" ht="15.75" customHeight="1" x14ac:dyDescent="0.75">
      <c r="B42" s="329" t="s">
        <v>568</v>
      </c>
      <c r="C42" s="350">
        <f>$D$14*$C$46</f>
        <v>2046.3585311769241</v>
      </c>
      <c r="D42" s="346" t="s">
        <v>569</v>
      </c>
    </row>
    <row r="43" spans="2:5" ht="15.75" customHeight="1" x14ac:dyDescent="0.75">
      <c r="B43" s="329" t="s">
        <v>57</v>
      </c>
      <c r="C43" s="350">
        <f>$D$15*$C$46</f>
        <v>3922.1871847557709</v>
      </c>
      <c r="D43" s="354" t="s">
        <v>570</v>
      </c>
    </row>
    <row r="44" spans="2:5" ht="15.75" customHeight="1" x14ac:dyDescent="0.75">
      <c r="B44" s="370" t="s">
        <v>59</v>
      </c>
      <c r="C44" s="336">
        <f>D13*C46 + C46*SUM(D4:D7)*(1-C17) + C46*D18*(1-C16)</f>
        <v>35777.168320076547</v>
      </c>
      <c r="D44" s="371" t="s">
        <v>178</v>
      </c>
    </row>
    <row r="45" spans="2:5" ht="15.75" customHeight="1" x14ac:dyDescent="0.75">
      <c r="B45" s="360" t="s">
        <v>61</v>
      </c>
      <c r="C45" s="336">
        <f>SUM(C27:C44)</f>
        <v>113686.58506538466</v>
      </c>
      <c r="D45" s="369" t="s">
        <v>179</v>
      </c>
    </row>
    <row r="46" spans="2:5" ht="15.75" customHeight="1" x14ac:dyDescent="0.75">
      <c r="B46" s="360" t="s">
        <v>63</v>
      </c>
      <c r="C46" s="336">
        <f>Tourists!$C$36+SUM(Households!C41:D41) + Ag!C37 + Tourism!C37 + Nonag!C37 + Fishing!C39 + Lodges!C38 + ComRevSh!C36 + NatParkPA!C38</f>
        <v>113686.58506538466</v>
      </c>
      <c r="D46" s="369" t="s">
        <v>180</v>
      </c>
      <c r="E46" s="42" t="s">
        <v>386</v>
      </c>
    </row>
    <row r="47" spans="2:5" ht="15.75" customHeight="1" x14ac:dyDescent="0.75">
      <c r="B47" s="360" t="s">
        <v>65</v>
      </c>
      <c r="C47" s="367">
        <f>C46-C45</f>
        <v>0</v>
      </c>
      <c r="D47" s="372"/>
    </row>
    <row r="48" spans="2:5" ht="15.75" customHeight="1" x14ac:dyDescent="0.75">
      <c r="B48" s="360" t="s">
        <v>67</v>
      </c>
      <c r="C48" s="373">
        <f>C47/C46</f>
        <v>0</v>
      </c>
      <c r="D48" s="372"/>
    </row>
    <row r="49" spans="2:7" ht="15.75" customHeight="1" x14ac:dyDescent="0.75">
      <c r="B49" s="370" t="s">
        <v>59</v>
      </c>
      <c r="C49" s="374"/>
      <c r="D49" s="372"/>
    </row>
    <row r="50" spans="2:7" ht="15.75" customHeight="1" x14ac:dyDescent="0.75">
      <c r="B50" s="375" t="s">
        <v>181</v>
      </c>
      <c r="C50" s="376"/>
      <c r="D50" s="377"/>
    </row>
    <row r="51" spans="2:7" ht="15.75" customHeight="1" x14ac:dyDescent="0.75"/>
    <row r="52" spans="2:7" ht="15.75" customHeight="1" x14ac:dyDescent="0.75"/>
    <row r="53" spans="2:7" ht="15.75" customHeight="1" x14ac:dyDescent="0.75">
      <c r="B53" s="23" t="s">
        <v>506</v>
      </c>
    </row>
    <row r="54" spans="2:7" ht="15.75" customHeight="1" x14ac:dyDescent="0.75">
      <c r="B54" s="33" t="s">
        <v>0</v>
      </c>
      <c r="C54" s="34" t="s">
        <v>1</v>
      </c>
      <c r="D54" s="35" t="s">
        <v>2</v>
      </c>
      <c r="E54" s="35" t="s">
        <v>3</v>
      </c>
      <c r="F54" s="35" t="s">
        <v>4</v>
      </c>
      <c r="G54" s="35" t="s">
        <v>5</v>
      </c>
    </row>
    <row r="55" spans="2:7" ht="15" customHeight="1" x14ac:dyDescent="0.75">
      <c r="B55" s="198" t="s">
        <v>71</v>
      </c>
      <c r="C55" s="199">
        <f t="shared" ref="C55:C64" si="1">C4*100</f>
        <v>5.3</v>
      </c>
      <c r="D55" s="181" t="s">
        <v>436</v>
      </c>
      <c r="E55" s="181">
        <v>0</v>
      </c>
      <c r="F55" s="181">
        <v>100</v>
      </c>
      <c r="G55" s="181">
        <v>0.01</v>
      </c>
    </row>
    <row r="56" spans="2:7" ht="15" customHeight="1" x14ac:dyDescent="0.75">
      <c r="B56" s="198" t="s">
        <v>73</v>
      </c>
      <c r="C56" s="199">
        <f t="shared" si="1"/>
        <v>0</v>
      </c>
      <c r="D56" s="181" t="s">
        <v>437</v>
      </c>
      <c r="E56" s="181">
        <v>0</v>
      </c>
      <c r="F56" s="181">
        <v>100</v>
      </c>
      <c r="G56" s="181">
        <v>0.01</v>
      </c>
    </row>
    <row r="57" spans="2:7" ht="15" customHeight="1" x14ac:dyDescent="0.75">
      <c r="B57" s="198" t="s">
        <v>74</v>
      </c>
      <c r="C57" s="199">
        <f t="shared" si="1"/>
        <v>4.3</v>
      </c>
      <c r="D57" s="181" t="s">
        <v>438</v>
      </c>
      <c r="E57" s="181">
        <v>0</v>
      </c>
      <c r="F57" s="181">
        <v>100</v>
      </c>
      <c r="G57" s="181">
        <v>0.01</v>
      </c>
    </row>
    <row r="58" spans="2:7" ht="15" customHeight="1" x14ac:dyDescent="0.75">
      <c r="B58" s="198" t="s">
        <v>75</v>
      </c>
      <c r="C58" s="199">
        <f t="shared" si="1"/>
        <v>0.7</v>
      </c>
      <c r="D58" s="181" t="s">
        <v>439</v>
      </c>
      <c r="E58" s="181">
        <v>0</v>
      </c>
      <c r="F58" s="181">
        <v>100</v>
      </c>
      <c r="G58" s="181">
        <v>0.01</v>
      </c>
    </row>
    <row r="59" spans="2:7" ht="15" customHeight="1" x14ac:dyDescent="0.75">
      <c r="B59" s="198" t="s">
        <v>163</v>
      </c>
      <c r="C59" s="199">
        <f t="shared" si="1"/>
        <v>1.1000000000000001</v>
      </c>
      <c r="D59" s="181" t="s">
        <v>440</v>
      </c>
      <c r="E59" s="181">
        <v>0</v>
      </c>
      <c r="F59" s="181">
        <v>100</v>
      </c>
      <c r="G59" s="181">
        <v>0.01</v>
      </c>
    </row>
    <row r="60" spans="2:7" ht="15" customHeight="1" x14ac:dyDescent="0.75">
      <c r="B60" s="198" t="s">
        <v>496</v>
      </c>
      <c r="C60" s="199">
        <f t="shared" si="1"/>
        <v>0</v>
      </c>
      <c r="D60" s="181" t="s">
        <v>441</v>
      </c>
      <c r="E60" s="181">
        <v>0</v>
      </c>
      <c r="F60" s="181">
        <v>100</v>
      </c>
      <c r="G60" s="181">
        <v>0.01</v>
      </c>
    </row>
    <row r="61" spans="2:7" ht="15" customHeight="1" x14ac:dyDescent="0.75">
      <c r="B61" s="198" t="s">
        <v>108</v>
      </c>
      <c r="C61" s="199">
        <f t="shared" si="1"/>
        <v>0</v>
      </c>
      <c r="D61" s="181" t="s">
        <v>442</v>
      </c>
      <c r="E61" s="181">
        <v>0</v>
      </c>
      <c r="F61" s="181">
        <v>100</v>
      </c>
      <c r="G61" s="181">
        <v>0.01</v>
      </c>
    </row>
    <row r="62" spans="2:7" ht="15" customHeight="1" x14ac:dyDescent="0.75">
      <c r="B62" s="198" t="s">
        <v>164</v>
      </c>
      <c r="C62" s="199">
        <f t="shared" si="1"/>
        <v>11.299999999999999</v>
      </c>
      <c r="D62" s="181" t="s">
        <v>443</v>
      </c>
      <c r="E62" s="181">
        <v>0</v>
      </c>
      <c r="F62" s="181">
        <v>100</v>
      </c>
      <c r="G62" s="181">
        <v>0.01</v>
      </c>
    </row>
    <row r="63" spans="2:7" ht="15" customHeight="1" x14ac:dyDescent="0.75">
      <c r="B63" s="198" t="s">
        <v>109</v>
      </c>
      <c r="C63" s="199">
        <f t="shared" si="1"/>
        <v>30.4</v>
      </c>
      <c r="D63" s="181" t="s">
        <v>444</v>
      </c>
      <c r="E63" s="181">
        <v>0</v>
      </c>
      <c r="F63" s="181">
        <v>100</v>
      </c>
      <c r="G63" s="181">
        <v>0.01</v>
      </c>
    </row>
    <row r="64" spans="2:7" ht="15" customHeight="1" x14ac:dyDescent="0.75">
      <c r="B64" s="198" t="s">
        <v>165</v>
      </c>
      <c r="C64" s="199">
        <f t="shared" si="1"/>
        <v>39.9</v>
      </c>
      <c r="D64" s="181" t="s">
        <v>445</v>
      </c>
      <c r="E64" s="181">
        <v>0</v>
      </c>
      <c r="F64" s="181">
        <v>100</v>
      </c>
      <c r="G64" s="181">
        <v>0.01</v>
      </c>
    </row>
    <row r="65" spans="2:7" ht="15" customHeight="1" x14ac:dyDescent="0.75">
      <c r="B65" s="198" t="s">
        <v>166</v>
      </c>
      <c r="C65" s="199">
        <f t="shared" ref="C65" si="2">C15*100</f>
        <v>4.5999999999999996</v>
      </c>
      <c r="D65" s="181" t="s">
        <v>460</v>
      </c>
      <c r="E65" s="181">
        <v>0</v>
      </c>
      <c r="F65" s="181">
        <v>100</v>
      </c>
      <c r="G65" s="181">
        <v>0.01</v>
      </c>
    </row>
    <row r="66" spans="2:7" ht="15" customHeight="1" x14ac:dyDescent="0.75">
      <c r="B66" s="205" t="s">
        <v>167</v>
      </c>
      <c r="C66" s="199">
        <f t="shared" ref="C66:C67" si="3">D16*100</f>
        <v>100</v>
      </c>
      <c r="D66" s="181" t="s">
        <v>502</v>
      </c>
      <c r="E66" s="181">
        <v>0</v>
      </c>
      <c r="F66" s="181">
        <v>100</v>
      </c>
      <c r="G66" s="181">
        <v>0.01</v>
      </c>
    </row>
    <row r="67" spans="2:7" ht="15" customHeight="1" x14ac:dyDescent="0.75">
      <c r="B67" s="205" t="s">
        <v>84</v>
      </c>
      <c r="C67" s="199">
        <f t="shared" si="3"/>
        <v>80</v>
      </c>
      <c r="D67" s="181" t="s">
        <v>182</v>
      </c>
      <c r="E67" s="181">
        <v>0</v>
      </c>
      <c r="F67" s="181">
        <v>100</v>
      </c>
      <c r="G67" s="181">
        <v>0.01</v>
      </c>
    </row>
    <row r="68" spans="2:7" ht="15" customHeight="1" x14ac:dyDescent="0.75">
      <c r="B68" s="207" t="s">
        <v>387</v>
      </c>
      <c r="C68" s="208">
        <f>C18*100</f>
        <v>25</v>
      </c>
      <c r="D68" s="181" t="s">
        <v>394</v>
      </c>
      <c r="E68" s="189">
        <v>0</v>
      </c>
      <c r="F68" s="189">
        <v>100</v>
      </c>
      <c r="G68" s="206">
        <v>0.01</v>
      </c>
    </row>
    <row r="69" spans="2:7" ht="26.25" customHeight="1" x14ac:dyDescent="0.75"/>
    <row r="70" spans="2:7" ht="26.25" customHeight="1" x14ac:dyDescent="0.75"/>
    <row r="71" spans="2:7" ht="26.25" customHeight="1" x14ac:dyDescent="0.75"/>
    <row r="72" spans="2:7" ht="26.25" customHeight="1" x14ac:dyDescent="0.75"/>
    <row r="73" spans="2:7" ht="26.25" customHeight="1" x14ac:dyDescent="0.75"/>
    <row r="74" spans="2:7" ht="26.25" customHeight="1" x14ac:dyDescent="0.75"/>
    <row r="75" spans="2:7" ht="26.25" customHeight="1" x14ac:dyDescent="0.75"/>
    <row r="76" spans="2:7" ht="26.25" customHeight="1" x14ac:dyDescent="0.75"/>
    <row r="77" spans="2:7" ht="26.25" customHeight="1" x14ac:dyDescent="0.75"/>
    <row r="78" spans="2:7" ht="26.25" customHeight="1" x14ac:dyDescent="0.75"/>
    <row r="79" spans="2:7" ht="26.25" customHeight="1" x14ac:dyDescent="0.75"/>
    <row r="80" spans="2:7"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row r="1019" ht="15.75" customHeight="1" x14ac:dyDescent="0.75"/>
  </sheetData>
  <mergeCells count="1">
    <mergeCell ref="A4:A15"/>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8"/>
  <sheetViews>
    <sheetView topLeftCell="A37" zoomScale="125" workbookViewId="0">
      <selection activeCell="B42" sqref="B42:D43"/>
    </sheetView>
  </sheetViews>
  <sheetFormatPr defaultColWidth="14.5" defaultRowHeight="15" customHeight="1" x14ac:dyDescent="0.75"/>
  <cols>
    <col min="1" max="1" width="20.81640625" customWidth="1"/>
    <col min="2" max="2" width="63.179687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75">
      <c r="B1" s="11" t="s">
        <v>183</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75">
      <c r="A2" s="245"/>
      <c r="B2" s="246" t="s">
        <v>184</v>
      </c>
      <c r="C2" s="247" t="s">
        <v>70</v>
      </c>
      <c r="D2" s="276"/>
      <c r="E2" s="37"/>
      <c r="F2" s="37"/>
      <c r="G2" s="37"/>
      <c r="H2" s="11" t="s">
        <v>185</v>
      </c>
      <c r="J2" s="37"/>
      <c r="K2" s="37"/>
      <c r="L2" s="37"/>
      <c r="M2" s="37"/>
      <c r="N2" s="37"/>
      <c r="O2" s="37"/>
      <c r="P2" s="37"/>
      <c r="Q2" s="37"/>
      <c r="R2" s="37"/>
      <c r="S2" s="37"/>
      <c r="T2" s="37"/>
      <c r="U2" s="37"/>
      <c r="V2" s="37"/>
      <c r="W2" s="37"/>
      <c r="X2" s="37"/>
      <c r="Y2" s="37"/>
      <c r="Z2" s="37"/>
    </row>
    <row r="3" spans="1:26" ht="20.25" customHeight="1" x14ac:dyDescent="0.75">
      <c r="A3" s="245"/>
      <c r="B3" s="164" t="s">
        <v>0</v>
      </c>
      <c r="C3" s="168" t="s">
        <v>1</v>
      </c>
      <c r="D3" s="166" t="s">
        <v>388</v>
      </c>
      <c r="E3" s="10"/>
      <c r="F3" s="10"/>
      <c r="G3" s="10"/>
      <c r="H3" s="10" t="s">
        <v>6</v>
      </c>
      <c r="J3" s="37"/>
      <c r="K3" s="37"/>
      <c r="L3" s="37"/>
      <c r="M3" s="37"/>
      <c r="N3" s="37"/>
      <c r="O3" s="37"/>
      <c r="P3" s="37"/>
      <c r="Q3" s="37"/>
      <c r="R3" s="37"/>
      <c r="S3" s="37"/>
      <c r="T3" s="37"/>
      <c r="U3" s="37"/>
      <c r="V3" s="37"/>
      <c r="W3" s="37"/>
      <c r="X3" s="37"/>
      <c r="Y3" s="37"/>
      <c r="Z3" s="37"/>
    </row>
    <row r="4" spans="1:26" ht="30" customHeight="1" x14ac:dyDescent="0.75">
      <c r="A4" s="486" t="s">
        <v>511</v>
      </c>
      <c r="B4" s="171" t="s">
        <v>71</v>
      </c>
      <c r="C4" s="278">
        <v>9.7571428571428587E-2</v>
      </c>
      <c r="D4" s="170">
        <f t="shared" ref="D4:D15" si="0">C4/$C$20*(1-$C$18)</f>
        <v>7.4322583522297841E-2</v>
      </c>
      <c r="E4" s="37"/>
      <c r="F4" s="37"/>
      <c r="G4" s="37"/>
      <c r="H4" s="36" t="s">
        <v>72</v>
      </c>
      <c r="J4" s="37"/>
      <c r="K4" s="37"/>
      <c r="L4" s="37"/>
      <c r="M4" s="37"/>
      <c r="N4" s="37"/>
      <c r="O4" s="37"/>
      <c r="P4" s="37"/>
      <c r="Q4" s="37"/>
      <c r="R4" s="37"/>
      <c r="S4" s="37"/>
      <c r="T4" s="37"/>
      <c r="U4" s="37"/>
      <c r="V4" s="37"/>
      <c r="W4" s="37"/>
      <c r="X4" s="37"/>
      <c r="Y4" s="37"/>
      <c r="Z4" s="37"/>
    </row>
    <row r="5" spans="1:26" ht="30" customHeight="1" x14ac:dyDescent="0.75">
      <c r="A5" s="487"/>
      <c r="B5" s="171" t="s">
        <v>73</v>
      </c>
      <c r="C5" s="279">
        <v>3.0809523809523807E-2</v>
      </c>
      <c r="D5" s="170">
        <f t="shared" si="0"/>
        <v>2.3468380448475691E-2</v>
      </c>
      <c r="E5" s="37"/>
      <c r="F5" s="37"/>
      <c r="G5" s="37"/>
      <c r="H5" s="36"/>
      <c r="J5" s="37"/>
      <c r="K5" s="37"/>
      <c r="L5" s="37"/>
      <c r="M5" s="37"/>
      <c r="N5" s="37"/>
      <c r="O5" s="37"/>
      <c r="P5" s="37"/>
      <c r="Q5" s="37"/>
      <c r="R5" s="37"/>
      <c r="S5" s="37"/>
      <c r="T5" s="37"/>
      <c r="U5" s="37"/>
      <c r="V5" s="37"/>
      <c r="W5" s="37"/>
      <c r="X5" s="37"/>
      <c r="Y5" s="37"/>
      <c r="Z5" s="37"/>
    </row>
    <row r="6" spans="1:26" ht="30" customHeight="1" x14ac:dyDescent="0.75">
      <c r="A6" s="487"/>
      <c r="B6" s="171" t="s">
        <v>74</v>
      </c>
      <c r="C6" s="279">
        <v>9.0687830687830678E-2</v>
      </c>
      <c r="D6" s="170">
        <f t="shared" si="0"/>
        <v>6.9079175834943038E-2</v>
      </c>
      <c r="E6" s="37"/>
      <c r="F6" s="37"/>
      <c r="G6" s="37"/>
      <c r="H6" s="36"/>
      <c r="J6" s="37"/>
      <c r="K6" s="37"/>
      <c r="L6" s="37"/>
      <c r="M6" s="37"/>
      <c r="N6" s="37"/>
      <c r="O6" s="37"/>
      <c r="P6" s="37"/>
      <c r="Q6" s="37"/>
      <c r="R6" s="37"/>
      <c r="S6" s="37"/>
      <c r="T6" s="37"/>
      <c r="U6" s="37"/>
      <c r="V6" s="37"/>
      <c r="W6" s="37"/>
      <c r="X6" s="37"/>
      <c r="Y6" s="37"/>
      <c r="Z6" s="37"/>
    </row>
    <row r="7" spans="1:26" ht="30" customHeight="1" x14ac:dyDescent="0.75">
      <c r="A7" s="487"/>
      <c r="B7" s="171" t="s">
        <v>75</v>
      </c>
      <c r="C7" s="279">
        <v>4.4269841269841265E-2</v>
      </c>
      <c r="D7" s="170">
        <f t="shared" si="0"/>
        <v>3.3721438985470739E-2</v>
      </c>
      <c r="E7" s="37"/>
      <c r="F7" s="37"/>
      <c r="G7" s="37"/>
      <c r="H7" s="36"/>
      <c r="J7" s="37"/>
      <c r="K7" s="37"/>
      <c r="L7" s="37"/>
      <c r="M7" s="37"/>
      <c r="N7" s="37"/>
      <c r="O7" s="37"/>
      <c r="P7" s="37"/>
      <c r="Q7" s="37"/>
      <c r="R7" s="37"/>
      <c r="S7" s="37"/>
      <c r="T7" s="37"/>
      <c r="U7" s="37"/>
      <c r="V7" s="37"/>
      <c r="W7" s="37"/>
      <c r="X7" s="37"/>
      <c r="Y7" s="37"/>
      <c r="Z7" s="37"/>
    </row>
    <row r="8" spans="1:26" ht="14.25" customHeight="1" x14ac:dyDescent="0.75">
      <c r="A8" s="487"/>
      <c r="B8" s="172" t="s">
        <v>186</v>
      </c>
      <c r="C8" s="279">
        <v>2.7708994708994711E-2</v>
      </c>
      <c r="D8" s="170">
        <f t="shared" si="0"/>
        <v>2.1106630329498062E-2</v>
      </c>
      <c r="E8" s="37"/>
      <c r="F8" s="37"/>
      <c r="G8" s="37"/>
      <c r="H8" s="36" t="s">
        <v>187</v>
      </c>
      <c r="J8" s="37"/>
      <c r="K8" s="37"/>
      <c r="L8" s="37"/>
      <c r="M8" s="37"/>
      <c r="N8" s="37"/>
      <c r="O8" s="37"/>
      <c r="P8" s="37"/>
      <c r="Q8" s="37"/>
      <c r="R8" s="37"/>
      <c r="S8" s="37"/>
      <c r="T8" s="37"/>
      <c r="U8" s="37"/>
      <c r="V8" s="37"/>
      <c r="W8" s="37"/>
      <c r="X8" s="37"/>
      <c r="Y8" s="37"/>
      <c r="Z8" s="37"/>
    </row>
    <row r="9" spans="1:26" ht="14.25" customHeight="1" x14ac:dyDescent="0.75">
      <c r="A9" s="487"/>
      <c r="B9" s="172" t="s">
        <v>481</v>
      </c>
      <c r="C9" s="279">
        <v>1.8148148148148149E-3</v>
      </c>
      <c r="D9" s="170">
        <f t="shared" si="0"/>
        <v>1.3823895747599455E-3</v>
      </c>
      <c r="E9" s="37"/>
      <c r="F9" s="37"/>
      <c r="G9" s="37"/>
      <c r="H9" s="36"/>
      <c r="J9" s="37"/>
      <c r="K9" s="37"/>
      <c r="L9" s="37"/>
      <c r="M9" s="37"/>
      <c r="N9" s="37"/>
      <c r="O9" s="37"/>
      <c r="P9" s="37"/>
      <c r="Q9" s="37"/>
      <c r="R9" s="37"/>
      <c r="S9" s="37"/>
      <c r="T9" s="37"/>
      <c r="U9" s="37"/>
      <c r="V9" s="37"/>
      <c r="W9" s="37"/>
      <c r="X9" s="37"/>
      <c r="Y9" s="37"/>
      <c r="Z9" s="37"/>
    </row>
    <row r="10" spans="1:26" ht="14.25" customHeight="1" x14ac:dyDescent="0.75">
      <c r="A10" s="487"/>
      <c r="B10" s="172" t="s">
        <v>482</v>
      </c>
      <c r="C10" s="279">
        <v>0</v>
      </c>
      <c r="D10" s="170">
        <f t="shared" si="0"/>
        <v>0</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75">
      <c r="A11" s="487"/>
      <c r="B11" s="172" t="s">
        <v>188</v>
      </c>
      <c r="C11" s="279">
        <v>8.2285714285714268E-2</v>
      </c>
      <c r="D11" s="170">
        <f t="shared" si="0"/>
        <v>6.2679074829931972E-2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75">
      <c r="A12" s="487"/>
      <c r="B12" s="172" t="s">
        <v>109</v>
      </c>
      <c r="C12" s="279">
        <v>0.13216402116402118</v>
      </c>
      <c r="D12" s="170">
        <f t="shared" si="0"/>
        <v>0.10067262153915069</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75">
      <c r="A13" s="487"/>
      <c r="B13" s="172" t="s">
        <v>189</v>
      </c>
      <c r="C13" s="279">
        <v>0.37382010582010583</v>
      </c>
      <c r="D13" s="170">
        <f t="shared" si="0"/>
        <v>0.28474807065871627</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75">
      <c r="A14" s="487"/>
      <c r="B14" s="475" t="s">
        <v>559</v>
      </c>
      <c r="C14" s="478">
        <v>4.8814814814814811E-2</v>
      </c>
      <c r="D14" s="479">
        <f t="shared" si="0"/>
        <v>3.7183458357828734E-2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75">
      <c r="A15" s="488"/>
      <c r="B15" s="172" t="s">
        <v>560</v>
      </c>
      <c r="C15" s="279">
        <v>7.0052910052910061E-2</v>
      </c>
      <c r="D15" s="170">
        <f t="shared" si="0"/>
        <v>5.3361043643794986E-2</v>
      </c>
      <c r="E15" s="37"/>
      <c r="F15" s="37"/>
      <c r="G15" s="37"/>
      <c r="H15" s="36"/>
      <c r="J15" s="37"/>
      <c r="K15" s="37"/>
      <c r="L15" s="37"/>
      <c r="M15" s="37"/>
      <c r="N15" s="37"/>
      <c r="O15" s="37"/>
      <c r="P15" s="37"/>
      <c r="Q15" s="37"/>
      <c r="R15" s="37"/>
      <c r="S15" s="37"/>
      <c r="T15" s="37"/>
      <c r="U15" s="37"/>
      <c r="V15" s="37"/>
      <c r="W15" s="37"/>
      <c r="X15" s="37"/>
      <c r="Y15" s="37"/>
      <c r="Z15" s="37"/>
    </row>
    <row r="16" spans="1:26" ht="14.25" customHeight="1" x14ac:dyDescent="0.75">
      <c r="A16" s="245"/>
      <c r="B16" s="165" t="s">
        <v>191</v>
      </c>
      <c r="C16" s="279">
        <v>0.65820105820105823</v>
      </c>
      <c r="D16" s="277">
        <f>C16</f>
        <v>0.65820105820105823</v>
      </c>
      <c r="E16" s="37"/>
      <c r="F16" s="462"/>
      <c r="G16" s="37"/>
      <c r="H16" s="40">
        <f>SUM(C4:C15)</f>
        <v>0.99999999999999989</v>
      </c>
      <c r="J16" s="37"/>
      <c r="K16" s="37"/>
      <c r="L16" s="37"/>
      <c r="M16" s="37"/>
      <c r="N16" s="37"/>
      <c r="O16" s="37"/>
      <c r="P16" s="37"/>
      <c r="Q16" s="37"/>
      <c r="R16" s="37"/>
      <c r="S16" s="37"/>
      <c r="T16" s="37"/>
      <c r="U16" s="37"/>
      <c r="V16" s="37"/>
      <c r="W16" s="37"/>
      <c r="X16" s="37"/>
      <c r="Y16" s="37"/>
      <c r="Z16" s="37"/>
    </row>
    <row r="17" spans="1:26" ht="14.25" customHeight="1" x14ac:dyDescent="0.75">
      <c r="A17" s="273"/>
      <c r="B17" s="239" t="s">
        <v>84</v>
      </c>
      <c r="C17" s="280">
        <v>0.81044973544973531</v>
      </c>
      <c r="D17" s="281">
        <f>C17</f>
        <v>0.81044973544973531</v>
      </c>
      <c r="E17" s="37"/>
      <c r="F17" s="37"/>
      <c r="G17" s="37"/>
      <c r="H17" s="36"/>
      <c r="J17" s="37"/>
      <c r="K17" s="37"/>
      <c r="L17" s="37"/>
      <c r="M17" s="37"/>
      <c r="N17" s="37"/>
      <c r="O17" s="37"/>
      <c r="P17" s="37"/>
      <c r="Q17" s="37"/>
      <c r="R17" s="37"/>
      <c r="S17" s="37"/>
      <c r="T17" s="37"/>
      <c r="U17" s="37"/>
      <c r="V17" s="37"/>
      <c r="W17" s="37"/>
      <c r="X17" s="37"/>
      <c r="Y17" s="37"/>
      <c r="Z17" s="37"/>
    </row>
    <row r="18" spans="1:26" ht="14.25" customHeight="1" x14ac:dyDescent="0.75">
      <c r="A18" s="257"/>
      <c r="B18" s="227" t="s">
        <v>387</v>
      </c>
      <c r="C18" s="122">
        <v>0.23827513227513222</v>
      </c>
      <c r="D18" s="229">
        <f>C18</f>
        <v>0.23827513227513222</v>
      </c>
      <c r="E18" s="37"/>
      <c r="F18" s="37"/>
      <c r="G18" s="37"/>
      <c r="H18" s="37"/>
      <c r="I18" s="36"/>
      <c r="J18" s="37"/>
      <c r="K18" s="37"/>
      <c r="L18" s="37"/>
      <c r="M18" s="37"/>
      <c r="N18" s="37"/>
      <c r="O18" s="37"/>
      <c r="P18" s="37"/>
      <c r="Q18" s="37"/>
      <c r="R18" s="37"/>
      <c r="S18" s="37"/>
      <c r="T18" s="37"/>
      <c r="U18" s="37"/>
      <c r="V18" s="37"/>
      <c r="W18" s="37"/>
      <c r="X18" s="37"/>
      <c r="Y18" s="37"/>
      <c r="Z18" s="37"/>
    </row>
    <row r="19" spans="1:26" ht="14.25" customHeight="1" x14ac:dyDescent="0.75">
      <c r="B19" s="11"/>
      <c r="C19" s="127" t="s">
        <v>518</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75">
      <c r="B20" s="11" t="s">
        <v>389</v>
      </c>
      <c r="C20" s="112">
        <f>SUM(C4:C15)</f>
        <v>0.99999999999999989</v>
      </c>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75">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75">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75">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75">
      <c r="B24" s="11"/>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75">
      <c r="B25" s="156" t="s">
        <v>521</v>
      </c>
      <c r="C25" s="37"/>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75">
      <c r="B26" s="340" t="s">
        <v>168</v>
      </c>
      <c r="C26" s="341" t="s">
        <v>50</v>
      </c>
      <c r="D26" s="342"/>
      <c r="E26" s="37"/>
      <c r="F26" s="37"/>
      <c r="G26" s="37"/>
      <c r="H26" s="37"/>
      <c r="I26" s="11"/>
      <c r="J26" s="37"/>
      <c r="K26" s="37"/>
      <c r="L26" s="37"/>
      <c r="M26" s="37"/>
      <c r="N26" s="37"/>
      <c r="O26" s="37"/>
      <c r="P26" s="37"/>
      <c r="Q26" s="37"/>
      <c r="R26" s="37"/>
      <c r="S26" s="37"/>
      <c r="T26" s="37"/>
      <c r="U26" s="37"/>
      <c r="V26" s="37"/>
      <c r="W26" s="37"/>
      <c r="X26" s="37"/>
      <c r="Y26" s="37"/>
      <c r="Z26" s="37"/>
    </row>
    <row r="27" spans="1:26" ht="14.25" customHeight="1" x14ac:dyDescent="0.75">
      <c r="B27" s="329" t="s">
        <v>30</v>
      </c>
      <c r="C27" s="343">
        <f>$D$8*$C$46</f>
        <v>524.96501343809587</v>
      </c>
      <c r="D27" s="354" t="s">
        <v>192</v>
      </c>
      <c r="E27" s="37"/>
      <c r="F27" s="37"/>
      <c r="G27" s="37"/>
      <c r="H27" s="37"/>
      <c r="J27" s="37"/>
      <c r="K27" s="37"/>
      <c r="L27" s="37"/>
      <c r="M27" s="37"/>
      <c r="N27" s="37"/>
      <c r="O27" s="37"/>
      <c r="P27" s="37"/>
      <c r="Q27" s="37"/>
      <c r="R27" s="37"/>
      <c r="S27" s="37"/>
      <c r="T27" s="37"/>
      <c r="U27" s="37"/>
      <c r="V27" s="37"/>
      <c r="W27" s="37"/>
      <c r="X27" s="37"/>
      <c r="Y27" s="37"/>
      <c r="Z27" s="37"/>
    </row>
    <row r="28" spans="1:26" ht="14.25" customHeight="1" x14ac:dyDescent="0.75">
      <c r="B28" s="331" t="s">
        <v>32</v>
      </c>
      <c r="C28" s="345">
        <v>0</v>
      </c>
      <c r="D28" s="346" t="s">
        <v>193</v>
      </c>
    </row>
    <row r="29" spans="1:26" ht="14.25" customHeight="1" x14ac:dyDescent="0.75">
      <c r="B29" s="329" t="s">
        <v>34</v>
      </c>
      <c r="C29" s="343">
        <f>(D11+D12)*C46</f>
        <v>4062.8903875614774</v>
      </c>
      <c r="D29" s="354" t="s">
        <v>194</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75">
      <c r="B30" s="329" t="s">
        <v>36</v>
      </c>
      <c r="C30" s="343">
        <f>D9*C46</f>
        <v>34.382852703698077</v>
      </c>
      <c r="D30" s="354" t="s">
        <v>195</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75">
      <c r="B31" s="463" t="s">
        <v>38</v>
      </c>
      <c r="C31" s="464">
        <f>D4*$C$46*C17</f>
        <v>1498.1604894432135</v>
      </c>
      <c r="D31" s="465" t="s">
        <v>89</v>
      </c>
      <c r="E31" s="466" t="s">
        <v>552</v>
      </c>
      <c r="F31" s="37"/>
      <c r="G31" s="37"/>
      <c r="H31" s="37"/>
      <c r="J31" s="37"/>
      <c r="K31" s="37"/>
      <c r="L31" s="37"/>
      <c r="M31" s="37"/>
      <c r="N31" s="37"/>
      <c r="O31" s="37"/>
      <c r="P31" s="37"/>
      <c r="Q31" s="37"/>
      <c r="R31" s="37"/>
      <c r="S31" s="37"/>
      <c r="T31" s="37"/>
      <c r="U31" s="37"/>
      <c r="V31" s="37"/>
      <c r="W31" s="37"/>
      <c r="X31" s="37"/>
      <c r="Y31" s="37"/>
      <c r="Z31" s="37"/>
    </row>
    <row r="32" spans="1:26" ht="14.25" customHeight="1" x14ac:dyDescent="0.75">
      <c r="B32" s="463" t="s">
        <v>40</v>
      </c>
      <c r="C32" s="464">
        <f>D5*$C$46*C17</f>
        <v>473.06482999988225</v>
      </c>
      <c r="D32" s="465" t="s">
        <v>90</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75">
      <c r="B33" s="463" t="s">
        <v>41</v>
      </c>
      <c r="C33" s="464">
        <f>D6*$C$46*C17</f>
        <v>1392.4662864842833</v>
      </c>
      <c r="D33" s="465" t="s">
        <v>91</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75">
      <c r="B34" s="463" t="s">
        <v>42</v>
      </c>
      <c r="C34" s="464">
        <f>D7*$C$46*C17</f>
        <v>679.74127298798135</v>
      </c>
      <c r="D34" s="465" t="s">
        <v>92</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75">
      <c r="B35" s="329" t="s">
        <v>43</v>
      </c>
      <c r="C35" s="343">
        <f>D18*C46*C16</f>
        <v>3900.7557046105544</v>
      </c>
      <c r="D35" s="354" t="s">
        <v>196</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75">
      <c r="B36" s="329" t="s">
        <v>45</v>
      </c>
      <c r="C36" s="349">
        <v>0</v>
      </c>
      <c r="D36" s="346" t="s">
        <v>197</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75">
      <c r="B37" s="329" t="s">
        <v>47</v>
      </c>
      <c r="C37" s="349">
        <v>0</v>
      </c>
      <c r="D37" s="346" t="s">
        <v>197</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75">
      <c r="B38" s="329" t="s">
        <v>48</v>
      </c>
      <c r="C38" s="350">
        <v>0</v>
      </c>
      <c r="D38" s="346" t="s">
        <v>198</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75">
      <c r="B39" s="329" t="s">
        <v>50</v>
      </c>
      <c r="C39" s="350">
        <v>0</v>
      </c>
      <c r="D39" s="346" t="s">
        <v>199</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75">
      <c r="B40" s="329" t="s">
        <v>52</v>
      </c>
      <c r="C40" s="350">
        <v>0</v>
      </c>
      <c r="D40" s="346" t="s">
        <v>200</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75">
      <c r="B41" s="329" t="s">
        <v>54</v>
      </c>
      <c r="C41" s="350">
        <v>0</v>
      </c>
      <c r="D41" s="346" t="s">
        <v>201</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75">
      <c r="B42" s="329" t="s">
        <v>568</v>
      </c>
      <c r="C42" s="350">
        <f>$D$14*$C$46</f>
        <v>924.82856864232792</v>
      </c>
      <c r="D42" s="346" t="s">
        <v>569</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75">
      <c r="B43" s="329" t="s">
        <v>57</v>
      </c>
      <c r="C43" s="350">
        <f>$D$15*$C$46</f>
        <v>1327.1981626733605</v>
      </c>
      <c r="D43" s="354" t="s">
        <v>570</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75">
      <c r="B44" s="333" t="s">
        <v>59</v>
      </c>
      <c r="C44" s="343">
        <f>D13*C46 + C46*SUM(D4:D7)*(1-C17) + C46*D18*(1-D16)</f>
        <v>10053.589256046545</v>
      </c>
      <c r="D44" s="355" t="s">
        <v>202</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75">
      <c r="B45" s="329" t="s">
        <v>61</v>
      </c>
      <c r="C45" s="343">
        <f>SUM(C27:C44)</f>
        <v>24872.042824591415</v>
      </c>
      <c r="D45" s="354" t="s">
        <v>179</v>
      </c>
      <c r="E45" s="37"/>
      <c r="F45" s="37"/>
      <c r="G45" s="37"/>
      <c r="H45" s="37"/>
      <c r="J45" s="37"/>
      <c r="K45" s="37"/>
      <c r="L45" s="37"/>
      <c r="M45" s="37"/>
      <c r="N45" s="37"/>
      <c r="O45" s="37"/>
      <c r="P45" s="37"/>
      <c r="Q45" s="37"/>
      <c r="R45" s="37"/>
      <c r="S45" s="37"/>
      <c r="T45" s="37"/>
      <c r="U45" s="37"/>
      <c r="V45" s="37"/>
      <c r="W45" s="37"/>
      <c r="X45" s="37"/>
      <c r="Y45" s="37"/>
      <c r="Z45" s="37"/>
    </row>
    <row r="46" spans="2:26" ht="14.25" customHeight="1" x14ac:dyDescent="0.75">
      <c r="B46" s="329" t="s">
        <v>63</v>
      </c>
      <c r="C46" s="343">
        <f>Tourists!C37</f>
        <v>24872.042824591415</v>
      </c>
      <c r="D46" s="354" t="s">
        <v>203</v>
      </c>
      <c r="E46" s="37"/>
      <c r="F46" s="37"/>
      <c r="G46" s="37"/>
      <c r="H46" s="37"/>
      <c r="J46" s="37"/>
      <c r="K46" s="37"/>
      <c r="L46" s="37"/>
      <c r="M46" s="37"/>
      <c r="N46" s="37"/>
      <c r="O46" s="37"/>
      <c r="P46" s="37"/>
      <c r="Q46" s="37"/>
      <c r="R46" s="37"/>
      <c r="S46" s="37"/>
      <c r="T46" s="37"/>
      <c r="U46" s="37"/>
      <c r="V46" s="37"/>
      <c r="W46" s="37"/>
      <c r="X46" s="37"/>
      <c r="Y46" s="37"/>
      <c r="Z46" s="37"/>
    </row>
    <row r="47" spans="2:26" ht="14.25" customHeight="1" x14ac:dyDescent="0.75">
      <c r="B47" s="329" t="s">
        <v>65</v>
      </c>
      <c r="C47" s="349">
        <f>C46-C45</f>
        <v>0</v>
      </c>
      <c r="D47" s="342"/>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75">
      <c r="B48" s="337" t="s">
        <v>67</v>
      </c>
      <c r="C48" s="339">
        <f>C47/C46</f>
        <v>0</v>
      </c>
      <c r="D48" s="356"/>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75">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75">
      <c r="B50" s="11"/>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75">
      <c r="B51" s="11"/>
      <c r="C51" s="37"/>
      <c r="E51" s="37"/>
      <c r="F51" s="37"/>
      <c r="G51" s="37"/>
      <c r="H51" s="37"/>
      <c r="I51" s="11"/>
      <c r="J51" s="37"/>
      <c r="K51" s="37"/>
      <c r="L51" s="37"/>
      <c r="M51" s="37"/>
      <c r="N51" s="37"/>
      <c r="O51" s="37"/>
      <c r="P51" s="37"/>
      <c r="Q51" s="37"/>
      <c r="R51" s="37"/>
      <c r="S51" s="37"/>
      <c r="T51" s="37"/>
      <c r="U51" s="37"/>
      <c r="V51" s="37"/>
      <c r="W51" s="37"/>
      <c r="X51" s="37"/>
      <c r="Y51" s="37"/>
      <c r="Z51" s="37"/>
    </row>
    <row r="52" spans="2:26" ht="14.25" customHeight="1" x14ac:dyDescent="0.75">
      <c r="B52" s="23" t="s">
        <v>506</v>
      </c>
      <c r="C52" s="37"/>
      <c r="E52" s="37"/>
      <c r="F52" s="37"/>
      <c r="G52" s="37"/>
      <c r="H52" s="37"/>
      <c r="I52" s="11"/>
      <c r="J52" s="37"/>
      <c r="K52" s="37"/>
      <c r="L52" s="37"/>
      <c r="M52" s="37"/>
      <c r="N52" s="37"/>
      <c r="O52" s="37"/>
      <c r="P52" s="37"/>
      <c r="Q52" s="37"/>
      <c r="R52" s="37"/>
      <c r="S52" s="37"/>
      <c r="T52" s="37"/>
      <c r="U52" s="37"/>
      <c r="V52" s="37"/>
      <c r="W52" s="37"/>
      <c r="X52" s="37"/>
      <c r="Y52" s="37"/>
      <c r="Z52" s="37"/>
    </row>
    <row r="53" spans="2:26" ht="14.25" customHeight="1" x14ac:dyDescent="0.75">
      <c r="B53" s="33" t="s">
        <v>0</v>
      </c>
      <c r="C53" s="34" t="s">
        <v>1</v>
      </c>
      <c r="D53" s="35" t="s">
        <v>2</v>
      </c>
      <c r="E53" s="35" t="s">
        <v>3</v>
      </c>
      <c r="F53" s="35" t="s">
        <v>4</v>
      </c>
      <c r="G53" s="35" t="s">
        <v>5</v>
      </c>
      <c r="H53" s="37"/>
      <c r="I53" s="11"/>
      <c r="J53" s="37"/>
      <c r="K53" s="37"/>
      <c r="L53" s="37"/>
      <c r="M53" s="37"/>
      <c r="N53" s="37"/>
      <c r="O53" s="37"/>
      <c r="P53" s="37"/>
      <c r="Q53" s="37"/>
      <c r="R53" s="37"/>
      <c r="S53" s="37"/>
      <c r="T53" s="37"/>
      <c r="U53" s="37"/>
      <c r="V53" s="37"/>
      <c r="W53" s="37"/>
      <c r="X53" s="37"/>
      <c r="Y53" s="37"/>
      <c r="Z53" s="37"/>
    </row>
    <row r="54" spans="2:26" ht="14.25" customHeight="1" x14ac:dyDescent="0.75">
      <c r="B54" s="198" t="s">
        <v>71</v>
      </c>
      <c r="C54" s="310">
        <f t="shared" ref="C54:C63" si="1">C4*100</f>
        <v>9.757142857142858</v>
      </c>
      <c r="D54" s="311" t="s">
        <v>446</v>
      </c>
      <c r="E54" s="311">
        <v>0</v>
      </c>
      <c r="F54" s="311">
        <v>100</v>
      </c>
      <c r="G54" s="311">
        <v>0.01</v>
      </c>
      <c r="H54" s="37"/>
      <c r="I54" s="11"/>
      <c r="J54" s="37"/>
      <c r="K54" s="37"/>
      <c r="L54" s="37"/>
      <c r="M54" s="37"/>
      <c r="N54" s="37"/>
      <c r="O54" s="37"/>
      <c r="P54" s="37"/>
      <c r="Q54" s="37"/>
      <c r="R54" s="37"/>
      <c r="S54" s="37"/>
      <c r="T54" s="37"/>
      <c r="U54" s="37"/>
      <c r="V54" s="37"/>
      <c r="W54" s="37"/>
      <c r="X54" s="37"/>
      <c r="Y54" s="37"/>
      <c r="Z54" s="37"/>
    </row>
    <row r="55" spans="2:26" ht="14.25" customHeight="1" x14ac:dyDescent="0.75">
      <c r="B55" s="198" t="s">
        <v>73</v>
      </c>
      <c r="C55" s="310">
        <f t="shared" si="1"/>
        <v>3.0809523809523807</v>
      </c>
      <c r="D55" s="311" t="s">
        <v>447</v>
      </c>
      <c r="E55" s="311">
        <v>0</v>
      </c>
      <c r="F55" s="311">
        <v>100</v>
      </c>
      <c r="G55" s="311">
        <v>0.01</v>
      </c>
      <c r="H55" s="37"/>
      <c r="I55" s="11"/>
      <c r="J55" s="37"/>
      <c r="K55" s="37"/>
      <c r="L55" s="37"/>
      <c r="M55" s="37"/>
      <c r="N55" s="37"/>
      <c r="O55" s="37"/>
      <c r="P55" s="37"/>
      <c r="Q55" s="37"/>
      <c r="R55" s="37"/>
      <c r="S55" s="37"/>
      <c r="T55" s="37"/>
      <c r="U55" s="37"/>
      <c r="V55" s="37"/>
      <c r="W55" s="37"/>
      <c r="X55" s="37"/>
      <c r="Y55" s="37"/>
      <c r="Z55" s="37"/>
    </row>
    <row r="56" spans="2:26" ht="14.25" customHeight="1" x14ac:dyDescent="0.75">
      <c r="B56" s="198" t="s">
        <v>74</v>
      </c>
      <c r="C56" s="310">
        <f t="shared" si="1"/>
        <v>9.0687830687830679</v>
      </c>
      <c r="D56" s="311" t="s">
        <v>448</v>
      </c>
      <c r="E56" s="311">
        <v>0</v>
      </c>
      <c r="F56" s="311">
        <v>100</v>
      </c>
      <c r="G56" s="311">
        <v>0.01</v>
      </c>
      <c r="H56" s="37"/>
      <c r="I56" s="11"/>
      <c r="J56" s="37"/>
      <c r="K56" s="37"/>
      <c r="L56" s="37"/>
      <c r="M56" s="37"/>
      <c r="N56" s="37"/>
      <c r="O56" s="37"/>
      <c r="P56" s="37"/>
      <c r="Q56" s="37"/>
      <c r="R56" s="37"/>
      <c r="S56" s="37"/>
      <c r="T56" s="37"/>
      <c r="U56" s="37"/>
      <c r="V56" s="37"/>
      <c r="W56" s="37"/>
      <c r="X56" s="37"/>
      <c r="Y56" s="37"/>
      <c r="Z56" s="37"/>
    </row>
    <row r="57" spans="2:26" ht="14.25" customHeight="1" x14ac:dyDescent="0.75">
      <c r="B57" s="198" t="s">
        <v>75</v>
      </c>
      <c r="C57" s="310">
        <f t="shared" si="1"/>
        <v>4.4269841269841264</v>
      </c>
      <c r="D57" s="311" t="s">
        <v>449</v>
      </c>
      <c r="E57" s="311">
        <v>0</v>
      </c>
      <c r="F57" s="311">
        <v>100</v>
      </c>
      <c r="G57" s="311">
        <v>0.01</v>
      </c>
      <c r="H57" s="37"/>
      <c r="I57" s="11"/>
      <c r="J57" s="37"/>
      <c r="K57" s="37"/>
      <c r="L57" s="37"/>
      <c r="M57" s="37"/>
      <c r="N57" s="37"/>
      <c r="O57" s="37"/>
      <c r="P57" s="37"/>
      <c r="Q57" s="37"/>
      <c r="R57" s="37"/>
      <c r="S57" s="37"/>
      <c r="T57" s="37"/>
      <c r="U57" s="37"/>
      <c r="V57" s="37"/>
      <c r="W57" s="37"/>
      <c r="X57" s="37"/>
      <c r="Y57" s="37"/>
      <c r="Z57" s="37"/>
    </row>
    <row r="58" spans="2:26" ht="14.25" customHeight="1" x14ac:dyDescent="0.75">
      <c r="B58" s="198" t="s">
        <v>186</v>
      </c>
      <c r="C58" s="310">
        <f t="shared" si="1"/>
        <v>2.770899470899471</v>
      </c>
      <c r="D58" s="311" t="s">
        <v>450</v>
      </c>
      <c r="E58" s="311">
        <v>0</v>
      </c>
      <c r="F58" s="311">
        <v>100</v>
      </c>
      <c r="G58" s="311">
        <v>0.01</v>
      </c>
      <c r="H58" s="37"/>
      <c r="I58" s="11"/>
      <c r="J58" s="37"/>
      <c r="K58" s="37"/>
      <c r="L58" s="37"/>
      <c r="M58" s="37"/>
      <c r="N58" s="37"/>
      <c r="O58" s="37"/>
      <c r="P58" s="37"/>
      <c r="Q58" s="37"/>
      <c r="R58" s="37"/>
      <c r="S58" s="37"/>
      <c r="T58" s="37"/>
      <c r="U58" s="37"/>
      <c r="V58" s="37"/>
      <c r="W58" s="37"/>
      <c r="X58" s="37"/>
      <c r="Y58" s="37"/>
      <c r="Z58" s="37"/>
    </row>
    <row r="59" spans="2:26" ht="14.25" customHeight="1" x14ac:dyDescent="0.75">
      <c r="B59" s="198" t="s">
        <v>497</v>
      </c>
      <c r="C59" s="310">
        <f t="shared" si="1"/>
        <v>0.18148148148148149</v>
      </c>
      <c r="D59" s="181" t="s">
        <v>451</v>
      </c>
      <c r="E59" s="181">
        <v>0</v>
      </c>
      <c r="F59" s="311">
        <v>100</v>
      </c>
      <c r="G59" s="181">
        <v>0.01</v>
      </c>
      <c r="H59" s="37"/>
      <c r="I59" s="11"/>
      <c r="J59" s="37"/>
      <c r="K59" s="37"/>
      <c r="L59" s="37"/>
      <c r="M59" s="37"/>
      <c r="N59" s="37"/>
      <c r="O59" s="37"/>
      <c r="P59" s="37"/>
      <c r="Q59" s="37"/>
      <c r="R59" s="37"/>
      <c r="S59" s="37"/>
      <c r="T59" s="37"/>
      <c r="U59" s="37"/>
      <c r="V59" s="37"/>
      <c r="W59" s="37"/>
      <c r="X59" s="37"/>
      <c r="Y59" s="37"/>
      <c r="Z59" s="37"/>
    </row>
    <row r="60" spans="2:26" ht="14.25" customHeight="1" x14ac:dyDescent="0.75">
      <c r="B60" s="198" t="s">
        <v>108</v>
      </c>
      <c r="C60" s="310">
        <f t="shared" si="1"/>
        <v>0</v>
      </c>
      <c r="D60" s="311" t="s">
        <v>452</v>
      </c>
      <c r="E60" s="311">
        <v>0</v>
      </c>
      <c r="F60" s="311">
        <v>100</v>
      </c>
      <c r="G60" s="311">
        <v>0.01</v>
      </c>
      <c r="H60" s="37"/>
      <c r="I60" s="11"/>
      <c r="J60" s="37"/>
      <c r="K60" s="37"/>
      <c r="L60" s="37"/>
      <c r="M60" s="37"/>
      <c r="N60" s="37"/>
      <c r="O60" s="37"/>
      <c r="P60" s="37"/>
      <c r="Q60" s="37"/>
      <c r="R60" s="37"/>
      <c r="S60" s="37"/>
      <c r="T60" s="37"/>
      <c r="U60" s="37"/>
      <c r="V60" s="37"/>
      <c r="W60" s="37"/>
      <c r="X60" s="37"/>
      <c r="Y60" s="37"/>
      <c r="Z60" s="37"/>
    </row>
    <row r="61" spans="2:26" ht="14.25" customHeight="1" x14ac:dyDescent="0.75">
      <c r="B61" s="198" t="s">
        <v>188</v>
      </c>
      <c r="C61" s="310">
        <f t="shared" si="1"/>
        <v>8.228571428571426</v>
      </c>
      <c r="D61" s="311" t="s">
        <v>453</v>
      </c>
      <c r="E61" s="311">
        <v>0</v>
      </c>
      <c r="F61" s="311">
        <v>100</v>
      </c>
      <c r="G61" s="311">
        <v>0.01</v>
      </c>
      <c r="H61" s="37"/>
      <c r="I61" s="11"/>
      <c r="J61" s="37"/>
      <c r="K61" s="37"/>
      <c r="L61" s="37"/>
      <c r="M61" s="37"/>
      <c r="N61" s="37"/>
      <c r="O61" s="37"/>
      <c r="P61" s="37"/>
      <c r="Q61" s="37"/>
      <c r="R61" s="37"/>
      <c r="S61" s="37"/>
      <c r="T61" s="37"/>
      <c r="U61" s="37"/>
      <c r="V61" s="37"/>
      <c r="W61" s="37"/>
      <c r="X61" s="37"/>
      <c r="Y61" s="37"/>
      <c r="Z61" s="37"/>
    </row>
    <row r="62" spans="2:26" ht="14.25" customHeight="1" x14ac:dyDescent="0.75">
      <c r="B62" s="198" t="s">
        <v>109</v>
      </c>
      <c r="C62" s="310">
        <f t="shared" si="1"/>
        <v>13.216402116402119</v>
      </c>
      <c r="D62" s="311" t="s">
        <v>454</v>
      </c>
      <c r="E62" s="311">
        <v>0</v>
      </c>
      <c r="F62" s="311">
        <v>100</v>
      </c>
      <c r="G62" s="311">
        <v>0.01</v>
      </c>
      <c r="H62" s="37"/>
      <c r="I62" s="11"/>
      <c r="J62" s="37"/>
      <c r="K62" s="37"/>
      <c r="L62" s="37"/>
      <c r="M62" s="37"/>
      <c r="N62" s="37"/>
      <c r="O62" s="37"/>
      <c r="P62" s="37"/>
      <c r="Q62" s="37"/>
      <c r="R62" s="37"/>
      <c r="S62" s="37"/>
      <c r="T62" s="37"/>
      <c r="U62" s="37"/>
      <c r="V62" s="37"/>
      <c r="W62" s="37"/>
      <c r="X62" s="37"/>
      <c r="Y62" s="37"/>
      <c r="Z62" s="37"/>
    </row>
    <row r="63" spans="2:26" ht="14.25" customHeight="1" x14ac:dyDescent="0.75">
      <c r="B63" s="198" t="s">
        <v>189</v>
      </c>
      <c r="C63" s="310">
        <f t="shared" si="1"/>
        <v>37.382010582010579</v>
      </c>
      <c r="D63" s="311" t="s">
        <v>455</v>
      </c>
      <c r="E63" s="311">
        <v>0</v>
      </c>
      <c r="F63" s="311">
        <v>100</v>
      </c>
      <c r="G63" s="311">
        <v>0.01</v>
      </c>
      <c r="H63" s="37"/>
      <c r="I63" s="11"/>
      <c r="J63" s="37"/>
      <c r="K63" s="37"/>
      <c r="L63" s="37"/>
      <c r="M63" s="37"/>
      <c r="N63" s="37"/>
      <c r="O63" s="37"/>
      <c r="P63" s="37"/>
      <c r="Q63" s="37"/>
      <c r="R63" s="37"/>
      <c r="S63" s="37"/>
      <c r="T63" s="37"/>
      <c r="U63" s="37"/>
      <c r="V63" s="37"/>
      <c r="W63" s="37"/>
      <c r="X63" s="37"/>
      <c r="Y63" s="37"/>
      <c r="Z63" s="37"/>
    </row>
    <row r="64" spans="2:26" ht="14.25" customHeight="1" x14ac:dyDescent="0.75">
      <c r="B64" s="198" t="s">
        <v>190</v>
      </c>
      <c r="C64" s="310">
        <f t="shared" ref="C64" si="2">C15*100</f>
        <v>7.0052910052910065</v>
      </c>
      <c r="D64" s="311" t="s">
        <v>461</v>
      </c>
      <c r="E64" s="311">
        <v>0</v>
      </c>
      <c r="F64" s="311">
        <v>100</v>
      </c>
      <c r="G64" s="311">
        <v>0.01</v>
      </c>
      <c r="H64" s="37"/>
      <c r="I64" s="11"/>
      <c r="J64" s="37"/>
      <c r="K64" s="37"/>
      <c r="L64" s="37"/>
      <c r="M64" s="37"/>
      <c r="N64" s="37"/>
      <c r="O64" s="37"/>
      <c r="P64" s="37"/>
      <c r="Q64" s="37"/>
      <c r="R64" s="37"/>
      <c r="S64" s="37"/>
      <c r="T64" s="37"/>
      <c r="U64" s="37"/>
      <c r="V64" s="37"/>
      <c r="W64" s="37"/>
      <c r="X64" s="37"/>
      <c r="Y64" s="37"/>
      <c r="Z64" s="37"/>
    </row>
    <row r="65" spans="2:26" ht="14.25" customHeight="1" x14ac:dyDescent="0.75">
      <c r="B65" s="205" t="s">
        <v>191</v>
      </c>
      <c r="C65" s="310">
        <f t="shared" ref="C65:C66" si="3">D16*100</f>
        <v>65.820105820105823</v>
      </c>
      <c r="D65" s="311" t="s">
        <v>505</v>
      </c>
      <c r="E65" s="311">
        <v>0</v>
      </c>
      <c r="F65" s="311">
        <v>100</v>
      </c>
      <c r="G65" s="311">
        <v>0.01</v>
      </c>
      <c r="H65" s="37"/>
      <c r="I65" s="11"/>
      <c r="J65" s="37"/>
      <c r="K65" s="37"/>
      <c r="L65" s="37"/>
      <c r="M65" s="37"/>
      <c r="N65" s="37"/>
      <c r="O65" s="37"/>
      <c r="P65" s="37"/>
      <c r="Q65" s="37"/>
      <c r="R65" s="37"/>
      <c r="S65" s="37"/>
      <c r="T65" s="37"/>
      <c r="U65" s="37"/>
      <c r="V65" s="37"/>
      <c r="W65" s="37"/>
      <c r="X65" s="37"/>
      <c r="Y65" s="37"/>
      <c r="Z65" s="37"/>
    </row>
    <row r="66" spans="2:26" ht="14.25" customHeight="1" x14ac:dyDescent="0.75">
      <c r="B66" s="205" t="s">
        <v>84</v>
      </c>
      <c r="C66" s="310">
        <f t="shared" si="3"/>
        <v>81.04497354497353</v>
      </c>
      <c r="D66" s="311" t="s">
        <v>204</v>
      </c>
      <c r="E66" s="311">
        <v>0</v>
      </c>
      <c r="F66" s="311">
        <v>100</v>
      </c>
      <c r="G66" s="311">
        <v>0.01</v>
      </c>
      <c r="H66" s="37"/>
      <c r="I66" s="11"/>
      <c r="J66" s="37"/>
      <c r="K66" s="37"/>
      <c r="L66" s="37"/>
      <c r="M66" s="37"/>
      <c r="N66" s="37"/>
      <c r="O66" s="37"/>
      <c r="P66" s="37"/>
      <c r="Q66" s="37"/>
      <c r="R66" s="37"/>
      <c r="S66" s="37"/>
      <c r="T66" s="37"/>
      <c r="U66" s="37"/>
      <c r="V66" s="37"/>
      <c r="W66" s="37"/>
      <c r="X66" s="37"/>
      <c r="Y66" s="37"/>
      <c r="Z66" s="37"/>
    </row>
    <row r="67" spans="2:26" ht="14.25" customHeight="1" x14ac:dyDescent="0.75">
      <c r="B67" s="207" t="s">
        <v>387</v>
      </c>
      <c r="C67" s="312">
        <f>C18*100</f>
        <v>23.827513227513222</v>
      </c>
      <c r="D67" s="181" t="s">
        <v>395</v>
      </c>
      <c r="E67" s="189">
        <v>0</v>
      </c>
      <c r="F67" s="189">
        <v>100</v>
      </c>
      <c r="G67" s="206">
        <v>0.01</v>
      </c>
      <c r="H67" s="37"/>
      <c r="I67" s="11"/>
      <c r="J67" s="37"/>
      <c r="K67" s="37"/>
      <c r="L67" s="37"/>
      <c r="M67" s="37"/>
      <c r="N67" s="37"/>
      <c r="O67" s="37"/>
      <c r="P67" s="37"/>
      <c r="Q67" s="37"/>
      <c r="R67" s="37"/>
      <c r="S67" s="37"/>
      <c r="T67" s="37"/>
      <c r="U67" s="37"/>
      <c r="V67" s="37"/>
      <c r="W67" s="37"/>
      <c r="X67" s="37"/>
      <c r="Y67" s="37"/>
      <c r="Z67" s="37"/>
    </row>
    <row r="68" spans="2:26" ht="14.25" customHeight="1" x14ac:dyDescent="0.75">
      <c r="H68" s="37"/>
      <c r="I68" s="11"/>
      <c r="J68" s="37"/>
      <c r="K68" s="37"/>
      <c r="L68" s="37"/>
      <c r="M68" s="37"/>
      <c r="N68" s="37"/>
      <c r="O68" s="37"/>
      <c r="P68" s="37"/>
      <c r="Q68" s="37"/>
      <c r="R68" s="37"/>
      <c r="S68" s="37"/>
      <c r="T68" s="37"/>
      <c r="U68" s="37"/>
      <c r="V68" s="37"/>
      <c r="W68" s="37"/>
      <c r="X68" s="37"/>
      <c r="Y68" s="37"/>
      <c r="Z68" s="37"/>
    </row>
    <row r="69" spans="2:26" ht="14.25" customHeight="1" x14ac:dyDescent="0.75">
      <c r="B69" s="11"/>
      <c r="C69" s="37"/>
      <c r="E69" s="37"/>
      <c r="F69" s="37"/>
      <c r="G69" s="37"/>
      <c r="H69" s="37"/>
      <c r="I69" s="11"/>
      <c r="J69" s="37"/>
      <c r="K69" s="37"/>
      <c r="L69" s="37"/>
      <c r="M69" s="37"/>
      <c r="N69" s="37"/>
      <c r="O69" s="37"/>
      <c r="P69" s="37"/>
      <c r="Q69" s="37"/>
      <c r="R69" s="37"/>
      <c r="S69" s="37"/>
      <c r="T69" s="37"/>
      <c r="U69" s="37"/>
      <c r="V69" s="37"/>
      <c r="W69" s="37"/>
      <c r="X69" s="37"/>
      <c r="Y69" s="37"/>
      <c r="Z69" s="37"/>
    </row>
    <row r="70" spans="2:26" ht="14.25" customHeight="1" x14ac:dyDescent="0.75">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75">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75">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75">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75">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75">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75">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75">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75">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75">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75">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75">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75">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75">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75">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75">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75">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75">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75">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75">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75">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75">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75">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75">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75">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75">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75">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75">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75">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75">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75">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75">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75">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75">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75">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75">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75">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75">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75">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75">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75">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75">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75">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75">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75">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75">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75">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75">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75">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75">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75">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75">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75">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75">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75">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75">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75">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75">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75">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75">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75">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75">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75">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75">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75">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75">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75">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75">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75">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75">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75">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75">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75">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75">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75">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75">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75">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75">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75">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75">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75">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75">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75">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75">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75">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75">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75">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75">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75">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75">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75">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75">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75">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75">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75">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75">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75">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75">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75">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75">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75">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75">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75">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75">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75">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75">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75">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75">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75">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75">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75">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75">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75">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75">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75">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75">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75">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75">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75">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75">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75">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75">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75">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75">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75">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75">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75">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75">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75">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75">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75">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75">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75">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75">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75">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75">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75">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75">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75">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75">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75">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75">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75">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75">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75">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75">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75">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75">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75">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75">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75">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75">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75">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75">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75">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75">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75">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75">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75">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75">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75">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75">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75">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75">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75">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75">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75">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75">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75">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75">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75">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75">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75">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75">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75">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75">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75">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75">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75">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75">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75">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75">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75">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75">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75">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75">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75">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75">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75">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75">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75">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75">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75">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75">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75">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4.25" customHeight="1" x14ac:dyDescent="0.75">
      <c r="B265" s="11"/>
      <c r="C265" s="37"/>
      <c r="E265" s="37"/>
      <c r="F265" s="37"/>
      <c r="G265" s="37"/>
      <c r="H265" s="37"/>
      <c r="I265" s="11"/>
      <c r="J265" s="37"/>
      <c r="K265" s="37"/>
      <c r="L265" s="37"/>
      <c r="M265" s="37"/>
      <c r="N265" s="37"/>
      <c r="O265" s="37"/>
      <c r="P265" s="37"/>
      <c r="Q265" s="37"/>
      <c r="R265" s="37"/>
      <c r="S265" s="37"/>
      <c r="T265" s="37"/>
      <c r="U265" s="37"/>
      <c r="V265" s="37"/>
      <c r="W265" s="37"/>
      <c r="X265" s="37"/>
      <c r="Y265" s="37"/>
      <c r="Z265" s="37"/>
    </row>
    <row r="266" spans="2:26" ht="14.25" customHeight="1" x14ac:dyDescent="0.75">
      <c r="B266" s="11"/>
      <c r="C266" s="37"/>
      <c r="E266" s="37"/>
      <c r="F266" s="37"/>
      <c r="G266" s="37"/>
      <c r="H266" s="37"/>
      <c r="I266" s="11"/>
      <c r="J266" s="37"/>
      <c r="K266" s="37"/>
      <c r="L266" s="37"/>
      <c r="M266" s="37"/>
      <c r="N266" s="37"/>
      <c r="O266" s="37"/>
      <c r="P266" s="37"/>
      <c r="Q266" s="37"/>
      <c r="R266" s="37"/>
      <c r="S266" s="37"/>
      <c r="T266" s="37"/>
      <c r="U266" s="37"/>
      <c r="V266" s="37"/>
      <c r="W266" s="37"/>
      <c r="X266" s="37"/>
      <c r="Y266" s="37"/>
      <c r="Z266" s="37"/>
    </row>
    <row r="267" spans="2:26" ht="15.75" customHeight="1" x14ac:dyDescent="0.75"/>
    <row r="268" spans="2:26" ht="15.75" customHeight="1" x14ac:dyDescent="0.75"/>
    <row r="269" spans="2:26" ht="15.75" customHeight="1" x14ac:dyDescent="0.75"/>
    <row r="270" spans="2:26" ht="15.75" customHeight="1" x14ac:dyDescent="0.75"/>
    <row r="271" spans="2:26" ht="15.75" customHeight="1" x14ac:dyDescent="0.75"/>
    <row r="272" spans="2:26"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sheetData>
  <mergeCells count="1">
    <mergeCell ref="A4:A15"/>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8"/>
  <sheetViews>
    <sheetView topLeftCell="A31" zoomScale="125" workbookViewId="0">
      <selection activeCell="A42" sqref="A42:XFD42"/>
    </sheetView>
  </sheetViews>
  <sheetFormatPr defaultColWidth="14.5" defaultRowHeight="15" customHeight="1" x14ac:dyDescent="0.75"/>
  <cols>
    <col min="1" max="1" width="15.31640625" customWidth="1"/>
    <col min="2" max="2" width="71.31640625" customWidth="1"/>
    <col min="4" max="4" width="25.1796875" customWidth="1"/>
    <col min="5" max="7" width="8.81640625" customWidth="1"/>
    <col min="8" max="8" width="74.1796875" customWidth="1"/>
  </cols>
  <sheetData>
    <row r="1" spans="1:8" ht="27" customHeight="1" x14ac:dyDescent="0.75">
      <c r="A1" s="19"/>
      <c r="B1" s="1" t="s">
        <v>533</v>
      </c>
      <c r="C1" s="28"/>
      <c r="H1" s="8"/>
    </row>
    <row r="2" spans="1:8" ht="63.75" customHeight="1" x14ac:dyDescent="0.75">
      <c r="A2" s="248"/>
      <c r="B2" s="249" t="s">
        <v>508</v>
      </c>
      <c r="C2" s="250" t="s">
        <v>509</v>
      </c>
      <c r="D2" s="251"/>
      <c r="H2" s="8"/>
    </row>
    <row r="3" spans="1:8" ht="14.25" customHeight="1" x14ac:dyDescent="0.75">
      <c r="A3" s="267"/>
      <c r="B3" s="259" t="s">
        <v>0</v>
      </c>
      <c r="C3" s="268" t="s">
        <v>1</v>
      </c>
      <c r="D3" s="266" t="s">
        <v>510</v>
      </c>
      <c r="E3" s="10"/>
      <c r="F3" s="10"/>
      <c r="G3" s="10"/>
      <c r="H3" s="10" t="s">
        <v>6</v>
      </c>
    </row>
    <row r="4" spans="1:8" ht="29.25" customHeight="1" x14ac:dyDescent="0.75">
      <c r="A4" s="486" t="s">
        <v>511</v>
      </c>
      <c r="B4" s="174" t="s">
        <v>71</v>
      </c>
      <c r="C4" s="167">
        <v>0.11</v>
      </c>
      <c r="D4" s="214">
        <f t="shared" ref="D4:D15" si="0">C4/$C$20*(1-$C$18)</f>
        <v>7.0766666666666658E-2</v>
      </c>
      <c r="E4" s="29"/>
      <c r="F4" s="157"/>
      <c r="G4" s="30"/>
      <c r="H4" s="31" t="s">
        <v>72</v>
      </c>
    </row>
    <row r="5" spans="1:8" ht="36" customHeight="1" x14ac:dyDescent="0.75">
      <c r="A5" s="487"/>
      <c r="B5" s="171" t="s">
        <v>73</v>
      </c>
      <c r="C5" s="167">
        <v>0.10333333333333333</v>
      </c>
      <c r="D5" s="214">
        <f t="shared" si="0"/>
        <v>6.6477777777777775E-2</v>
      </c>
      <c r="F5" s="157"/>
      <c r="G5" s="16"/>
      <c r="H5" s="11"/>
    </row>
    <row r="6" spans="1:8" ht="33.75" customHeight="1" x14ac:dyDescent="0.75">
      <c r="A6" s="487"/>
      <c r="B6" s="171" t="s">
        <v>74</v>
      </c>
      <c r="C6" s="167">
        <v>0.01</v>
      </c>
      <c r="D6" s="214">
        <f t="shared" si="0"/>
        <v>6.4333333333333334E-3</v>
      </c>
      <c r="F6" s="157"/>
      <c r="G6" s="16"/>
      <c r="H6" s="11"/>
    </row>
    <row r="7" spans="1:8" ht="33.75" customHeight="1" x14ac:dyDescent="0.75">
      <c r="A7" s="487"/>
      <c r="B7" s="171" t="s">
        <v>75</v>
      </c>
      <c r="C7" s="167">
        <v>1.5333333333333334E-2</v>
      </c>
      <c r="D7" s="214">
        <f t="shared" si="0"/>
        <v>9.8644444444444448E-3</v>
      </c>
      <c r="F7" s="157"/>
      <c r="G7" s="16"/>
      <c r="H7" s="11"/>
    </row>
    <row r="8" spans="1:8" ht="33.75" customHeight="1" x14ac:dyDescent="0.75">
      <c r="A8" s="487"/>
      <c r="B8" s="172" t="s">
        <v>107</v>
      </c>
      <c r="C8" s="167">
        <v>6.6666666666666662E-3</v>
      </c>
      <c r="D8" s="214">
        <f t="shared" si="0"/>
        <v>4.2888888888888881E-3</v>
      </c>
      <c r="F8" s="157"/>
      <c r="G8" s="16"/>
      <c r="H8" s="11"/>
    </row>
    <row r="9" spans="1:8" ht="33.75" customHeight="1" x14ac:dyDescent="0.75">
      <c r="A9" s="487"/>
      <c r="B9" s="172" t="s">
        <v>498</v>
      </c>
      <c r="C9" s="167">
        <v>0</v>
      </c>
      <c r="D9" s="214">
        <f t="shared" si="0"/>
        <v>0</v>
      </c>
      <c r="F9" s="157"/>
      <c r="G9" s="16"/>
      <c r="H9" s="11"/>
    </row>
    <row r="10" spans="1:8" ht="18" customHeight="1" x14ac:dyDescent="0.75">
      <c r="A10" s="487"/>
      <c r="B10" s="172" t="s">
        <v>108</v>
      </c>
      <c r="C10" s="167">
        <v>0</v>
      </c>
      <c r="D10" s="214">
        <f t="shared" si="0"/>
        <v>0</v>
      </c>
      <c r="F10" s="157"/>
      <c r="G10" s="16"/>
      <c r="H10" s="11"/>
    </row>
    <row r="11" spans="1:8" ht="27" customHeight="1" x14ac:dyDescent="0.75">
      <c r="A11" s="487"/>
      <c r="B11" s="172" t="s">
        <v>78</v>
      </c>
      <c r="C11" s="167">
        <v>0.128</v>
      </c>
      <c r="D11" s="214">
        <f t="shared" si="0"/>
        <v>8.2346666666666665E-2</v>
      </c>
      <c r="F11" s="157"/>
      <c r="G11" s="16"/>
      <c r="H11" s="11"/>
    </row>
    <row r="12" spans="1:8" ht="18" customHeight="1" x14ac:dyDescent="0.75">
      <c r="A12" s="487"/>
      <c r="B12" s="172" t="s">
        <v>109</v>
      </c>
      <c r="C12" s="167">
        <v>0.15733333333333333</v>
      </c>
      <c r="D12" s="214">
        <f t="shared" si="0"/>
        <v>0.10121777777777777</v>
      </c>
      <c r="F12" s="157"/>
      <c r="G12" s="16"/>
      <c r="H12" s="11"/>
    </row>
    <row r="13" spans="1:8" ht="41.25" customHeight="1" x14ac:dyDescent="0.75">
      <c r="A13" s="487"/>
      <c r="B13" s="172" t="s">
        <v>110</v>
      </c>
      <c r="C13" s="167">
        <v>0.40933333333333333</v>
      </c>
      <c r="D13" s="214">
        <f t="shared" si="0"/>
        <v>0.26333777777777778</v>
      </c>
      <c r="F13" s="157"/>
      <c r="G13" s="16"/>
      <c r="H13" s="32"/>
    </row>
    <row r="14" spans="1:8" ht="16.5" customHeight="1" x14ac:dyDescent="0.75">
      <c r="A14" s="487"/>
      <c r="B14" s="475" t="s">
        <v>557</v>
      </c>
      <c r="C14" s="476">
        <v>2.2000000000000002E-2</v>
      </c>
      <c r="D14" s="474">
        <f t="shared" si="0"/>
        <v>1.4153333333333334E-2</v>
      </c>
      <c r="G14" s="16"/>
      <c r="H14" s="11"/>
    </row>
    <row r="15" spans="1:8" ht="16.5" customHeight="1" x14ac:dyDescent="0.75">
      <c r="A15" s="488"/>
      <c r="B15" s="172" t="s">
        <v>111</v>
      </c>
      <c r="C15" s="167">
        <v>3.7999999999999999E-2</v>
      </c>
      <c r="D15" s="214">
        <f t="shared" si="0"/>
        <v>2.4446666666666665E-2</v>
      </c>
      <c r="G15" s="16"/>
      <c r="H15" s="11"/>
    </row>
    <row r="16" spans="1:8" ht="16.5" customHeight="1" x14ac:dyDescent="0.75">
      <c r="A16" s="234"/>
      <c r="B16" s="165" t="s">
        <v>83</v>
      </c>
      <c r="C16" s="113">
        <v>0.9946666666666667</v>
      </c>
      <c r="D16" s="235">
        <f>C16</f>
        <v>0.9946666666666667</v>
      </c>
      <c r="E16" s="114"/>
      <c r="G16" s="16"/>
      <c r="H16" s="11"/>
    </row>
    <row r="17" spans="1:8" ht="16.5" customHeight="1" x14ac:dyDescent="0.75">
      <c r="A17" s="234"/>
      <c r="B17" s="239" t="s">
        <v>84</v>
      </c>
      <c r="C17" s="113">
        <v>0.66666666666666674</v>
      </c>
      <c r="D17" s="236">
        <f>C17</f>
        <v>0.66666666666666674</v>
      </c>
      <c r="E17" s="6"/>
      <c r="F17" s="6"/>
      <c r="G17" s="17"/>
      <c r="H17" s="18"/>
    </row>
    <row r="18" spans="1:8" ht="27" customHeight="1" x14ac:dyDescent="0.75">
      <c r="A18" s="237"/>
      <c r="B18" s="227" t="s">
        <v>387</v>
      </c>
      <c r="C18" s="218">
        <v>0.35666666666666663</v>
      </c>
      <c r="D18" s="224">
        <f>C18</f>
        <v>0.35666666666666663</v>
      </c>
      <c r="H18" s="8"/>
    </row>
    <row r="19" spans="1:8" ht="16.5" customHeight="1" x14ac:dyDescent="0.75">
      <c r="A19" s="19"/>
      <c r="B19" s="11"/>
      <c r="C19" s="127" t="s">
        <v>518</v>
      </c>
      <c r="D19" s="8"/>
    </row>
    <row r="20" spans="1:8" ht="16.5" customHeight="1" x14ac:dyDescent="0.75">
      <c r="A20" s="19"/>
      <c r="B20" s="11" t="s">
        <v>389</v>
      </c>
      <c r="C20" s="112">
        <f>SUM(C4:C15)</f>
        <v>1</v>
      </c>
      <c r="D20" s="158">
        <f>SUM(D4:D15)</f>
        <v>0.64333333333333331</v>
      </c>
    </row>
    <row r="21" spans="1:8" ht="16.5" customHeight="1" x14ac:dyDescent="0.75">
      <c r="A21" s="19"/>
      <c r="B21" s="11"/>
      <c r="C21" s="12"/>
      <c r="D21" s="158">
        <f>D20+D18</f>
        <v>1</v>
      </c>
    </row>
    <row r="22" spans="1:8" ht="16.5" customHeight="1" x14ac:dyDescent="0.75">
      <c r="A22" s="19"/>
      <c r="B22" s="11"/>
      <c r="C22" s="12"/>
      <c r="D22" s="8"/>
    </row>
    <row r="23" spans="1:8" ht="16.5" customHeight="1" x14ac:dyDescent="0.75">
      <c r="A23" s="19"/>
      <c r="B23" s="11"/>
      <c r="C23" s="12"/>
      <c r="D23" s="8"/>
    </row>
    <row r="24" spans="1:8" ht="16.5" customHeight="1" x14ac:dyDescent="0.75">
      <c r="A24" s="19"/>
      <c r="B24" s="156" t="s">
        <v>521</v>
      </c>
      <c r="C24" s="12"/>
      <c r="D24" s="8"/>
    </row>
    <row r="25" spans="1:8" ht="16.5" customHeight="1" x14ac:dyDescent="0.75">
      <c r="A25" s="19"/>
      <c r="B25" s="389" t="s">
        <v>112</v>
      </c>
      <c r="C25" s="390" t="s">
        <v>32</v>
      </c>
      <c r="D25" s="391"/>
    </row>
    <row r="26" spans="1:8" ht="16.5" customHeight="1" x14ac:dyDescent="0.75">
      <c r="A26" s="19"/>
      <c r="B26" s="331" t="s">
        <v>30</v>
      </c>
      <c r="C26" s="365">
        <f>$D$8*$C$46</f>
        <v>2101.1881256969564</v>
      </c>
      <c r="D26" s="381" t="s">
        <v>113</v>
      </c>
    </row>
    <row r="27" spans="1:8" ht="16.5" customHeight="1" x14ac:dyDescent="0.75">
      <c r="A27" s="19"/>
      <c r="B27" s="331" t="s">
        <v>32</v>
      </c>
      <c r="C27" s="365">
        <v>0</v>
      </c>
      <c r="D27" s="382" t="s">
        <v>114</v>
      </c>
    </row>
    <row r="28" spans="1:8" ht="16.5" customHeight="1" x14ac:dyDescent="0.75">
      <c r="A28" s="19"/>
      <c r="B28" s="331" t="s">
        <v>34</v>
      </c>
      <c r="C28" s="365">
        <f>SUM($D$11:$D$12)*$C$46</f>
        <v>89930.85177982974</v>
      </c>
      <c r="D28" s="381" t="s">
        <v>115</v>
      </c>
    </row>
    <row r="29" spans="1:8" ht="16.5" customHeight="1" x14ac:dyDescent="0.75">
      <c r="A29" s="19"/>
      <c r="B29" s="331" t="s">
        <v>36</v>
      </c>
      <c r="C29" s="365">
        <f>$D$10*$C$46</f>
        <v>0</v>
      </c>
      <c r="D29" s="381" t="s">
        <v>116</v>
      </c>
    </row>
    <row r="30" spans="1:8" ht="16.5" customHeight="1" x14ac:dyDescent="0.75">
      <c r="A30" s="19"/>
      <c r="B30" s="331" t="s">
        <v>38</v>
      </c>
      <c r="C30" s="365">
        <f>D4*$C$46*C17</f>
        <v>23113.069382666527</v>
      </c>
      <c r="D30" s="382" t="s">
        <v>89</v>
      </c>
    </row>
    <row r="31" spans="1:8" ht="16.5" customHeight="1" x14ac:dyDescent="0.75">
      <c r="A31" s="19"/>
      <c r="B31" s="331" t="s">
        <v>40</v>
      </c>
      <c r="C31" s="365">
        <f>D5*$C$46*C17</f>
        <v>21712.277298868557</v>
      </c>
      <c r="D31" s="382" t="s">
        <v>90</v>
      </c>
    </row>
    <row r="32" spans="1:8" ht="16.5" customHeight="1" x14ac:dyDescent="0.75">
      <c r="A32" s="19"/>
      <c r="B32" s="331" t="s">
        <v>41</v>
      </c>
      <c r="C32" s="365">
        <f>D6*$C$46*C17</f>
        <v>2101.1881256969573</v>
      </c>
      <c r="D32" s="382" t="s">
        <v>91</v>
      </c>
    </row>
    <row r="33" spans="1:4" ht="16.5" customHeight="1" x14ac:dyDescent="0.75">
      <c r="A33" s="19"/>
      <c r="B33" s="331" t="s">
        <v>42</v>
      </c>
      <c r="C33" s="365">
        <f>D7*$C$46*C17</f>
        <v>3221.8217927353339</v>
      </c>
      <c r="D33" s="382" t="s">
        <v>92</v>
      </c>
    </row>
    <row r="34" spans="1:4" ht="16.5" customHeight="1" x14ac:dyDescent="0.75">
      <c r="A34" s="19"/>
      <c r="B34" s="331" t="s">
        <v>43</v>
      </c>
      <c r="C34" s="365">
        <f>D18*$C$46*C16</f>
        <v>173804.1850459922</v>
      </c>
      <c r="D34" s="382" t="s">
        <v>93</v>
      </c>
    </row>
    <row r="35" spans="1:4" ht="16.5" customHeight="1" x14ac:dyDescent="0.75">
      <c r="A35" s="19"/>
      <c r="B35" s="331" t="s">
        <v>45</v>
      </c>
      <c r="C35" s="365">
        <v>0</v>
      </c>
      <c r="D35" s="382" t="s">
        <v>117</v>
      </c>
    </row>
    <row r="36" spans="1:4" ht="16.5" customHeight="1" x14ac:dyDescent="0.75">
      <c r="A36" s="19"/>
      <c r="B36" s="331" t="s">
        <v>47</v>
      </c>
      <c r="C36" s="383">
        <v>0</v>
      </c>
      <c r="D36" s="382" t="s">
        <v>117</v>
      </c>
    </row>
    <row r="37" spans="1:4" ht="16.5" customHeight="1" x14ac:dyDescent="0.75">
      <c r="A37" s="19"/>
      <c r="B37" s="331" t="s">
        <v>48</v>
      </c>
      <c r="C37" s="383">
        <v>0</v>
      </c>
      <c r="D37" s="382" t="s">
        <v>118</v>
      </c>
    </row>
    <row r="38" spans="1:4" ht="16.5" customHeight="1" x14ac:dyDescent="0.75">
      <c r="A38" s="19"/>
      <c r="B38" s="331" t="s">
        <v>50</v>
      </c>
      <c r="C38" s="383">
        <v>0</v>
      </c>
      <c r="D38" s="382" t="s">
        <v>119</v>
      </c>
    </row>
    <row r="39" spans="1:4" ht="16.5" customHeight="1" x14ac:dyDescent="0.75">
      <c r="A39" s="19"/>
      <c r="B39" s="331" t="s">
        <v>52</v>
      </c>
      <c r="C39" s="383">
        <v>0</v>
      </c>
      <c r="D39" s="382" t="s">
        <v>120</v>
      </c>
    </row>
    <row r="40" spans="1:4" ht="16.5" customHeight="1" x14ac:dyDescent="0.75">
      <c r="A40" s="19"/>
      <c r="B40" s="331" t="s">
        <v>54</v>
      </c>
      <c r="C40" s="383">
        <v>0</v>
      </c>
      <c r="D40" s="382" t="s">
        <v>121</v>
      </c>
    </row>
    <row r="41" spans="1:4" ht="16.5" customHeight="1" x14ac:dyDescent="0.75">
      <c r="A41" s="19"/>
      <c r="B41" s="331" t="s">
        <v>55</v>
      </c>
      <c r="C41" s="365">
        <v>0</v>
      </c>
      <c r="D41" s="382" t="s">
        <v>122</v>
      </c>
    </row>
    <row r="42" spans="1:4" ht="16.5" customHeight="1" x14ac:dyDescent="0.75">
      <c r="A42" s="19"/>
      <c r="B42" s="329" t="s">
        <v>568</v>
      </c>
      <c r="C42" s="350">
        <f>$D$14*$C$46</f>
        <v>6933.920814799958</v>
      </c>
      <c r="D42" s="346" t="s">
        <v>569</v>
      </c>
    </row>
    <row r="43" spans="1:4" ht="16.5" customHeight="1" x14ac:dyDescent="0.75">
      <c r="A43" s="19"/>
      <c r="B43" s="329" t="s">
        <v>57</v>
      </c>
      <c r="C43" s="350">
        <f>$D$15*$C$46</f>
        <v>11976.772316472654</v>
      </c>
      <c r="D43" s="354" t="s">
        <v>570</v>
      </c>
    </row>
    <row r="44" spans="1:4" ht="16.5" customHeight="1" x14ac:dyDescent="0.75">
      <c r="A44" s="19"/>
      <c r="B44" s="384" t="s">
        <v>59</v>
      </c>
      <c r="C44" s="365">
        <f>$D$13*$C$46 + C46*SUM(D4:D7)*(1-C17) + C46*C18*(1-C16)</f>
        <v>155019.05514295644</v>
      </c>
      <c r="D44" s="382" t="s">
        <v>123</v>
      </c>
    </row>
    <row r="45" spans="1:4" ht="16.5" customHeight="1" x14ac:dyDescent="0.75">
      <c r="A45" s="19"/>
      <c r="B45" s="331" t="s">
        <v>61</v>
      </c>
      <c r="C45" s="385">
        <f>SUM($C$26:$C$44)</f>
        <v>489914.32982571534</v>
      </c>
      <c r="D45" s="382" t="s">
        <v>62</v>
      </c>
    </row>
    <row r="46" spans="1:4" ht="33" customHeight="1" x14ac:dyDescent="0.75">
      <c r="A46" s="19"/>
      <c r="B46" s="331" t="s">
        <v>63</v>
      </c>
      <c r="C46" s="383">
        <f>SUM(Tourists!C26)</f>
        <v>489914.32982571534</v>
      </c>
      <c r="D46" s="382" t="s">
        <v>124</v>
      </c>
    </row>
    <row r="47" spans="1:4" ht="16.5" customHeight="1" x14ac:dyDescent="0.75">
      <c r="A47" s="19"/>
      <c r="B47" s="331" t="s">
        <v>65</v>
      </c>
      <c r="C47" s="383">
        <f>C46-C45</f>
        <v>0</v>
      </c>
      <c r="D47" s="382" t="s">
        <v>102</v>
      </c>
    </row>
    <row r="48" spans="1:4" ht="16.5" customHeight="1" x14ac:dyDescent="0.75">
      <c r="A48" s="19"/>
      <c r="B48" s="386" t="s">
        <v>67</v>
      </c>
      <c r="C48" s="387">
        <f>C47/C46</f>
        <v>0</v>
      </c>
      <c r="D48" s="388" t="s">
        <v>103</v>
      </c>
    </row>
    <row r="49" spans="1:8" ht="27" customHeight="1" x14ac:dyDescent="0.75">
      <c r="A49" s="19"/>
      <c r="B49" s="308" t="s">
        <v>104</v>
      </c>
      <c r="C49" s="309">
        <f>C34/C46</f>
        <v>0.35476444444444438</v>
      </c>
      <c r="D49" s="169"/>
      <c r="H49" s="8"/>
    </row>
    <row r="50" spans="1:8" ht="27" customHeight="1" x14ac:dyDescent="0.75">
      <c r="A50" s="19"/>
      <c r="C50" s="28"/>
      <c r="H50" s="8"/>
    </row>
    <row r="51" spans="1:8" ht="27" customHeight="1" x14ac:dyDescent="0.75">
      <c r="A51" s="19"/>
      <c r="C51" s="28"/>
      <c r="H51" s="8"/>
    </row>
    <row r="52" spans="1:8" ht="27" customHeight="1" x14ac:dyDescent="0.75">
      <c r="A52" s="19"/>
      <c r="B52" s="23" t="s">
        <v>506</v>
      </c>
      <c r="H52" s="8"/>
    </row>
    <row r="53" spans="1:8" ht="27" customHeight="1" x14ac:dyDescent="0.75">
      <c r="A53" s="19"/>
      <c r="B53" s="33" t="s">
        <v>0</v>
      </c>
      <c r="C53" s="34" t="s">
        <v>1</v>
      </c>
      <c r="D53" s="35" t="s">
        <v>2</v>
      </c>
      <c r="E53" s="35" t="s">
        <v>3</v>
      </c>
      <c r="F53" s="35" t="s">
        <v>4</v>
      </c>
      <c r="G53" s="35" t="s">
        <v>5</v>
      </c>
      <c r="H53" s="8"/>
    </row>
    <row r="54" spans="1:8" ht="27" customHeight="1" x14ac:dyDescent="0.75">
      <c r="A54" s="19"/>
      <c r="B54" s="198" t="s">
        <v>71</v>
      </c>
      <c r="C54" s="199">
        <f t="shared" ref="C54:C63" si="1">C4*100</f>
        <v>11</v>
      </c>
      <c r="D54" s="200" t="s">
        <v>405</v>
      </c>
      <c r="E54" s="200">
        <v>0</v>
      </c>
      <c r="F54" s="200">
        <v>100</v>
      </c>
      <c r="G54" s="201">
        <v>0.01</v>
      </c>
      <c r="H54" s="8"/>
    </row>
    <row r="55" spans="1:8" ht="27" customHeight="1" x14ac:dyDescent="0.75">
      <c r="A55" s="19"/>
      <c r="B55" s="198" t="s">
        <v>73</v>
      </c>
      <c r="C55" s="199">
        <f t="shared" si="1"/>
        <v>10.333333333333334</v>
      </c>
      <c r="D55" s="181" t="s">
        <v>406</v>
      </c>
      <c r="E55" s="181">
        <v>0</v>
      </c>
      <c r="F55" s="181">
        <v>100</v>
      </c>
      <c r="G55" s="202">
        <v>0.01</v>
      </c>
      <c r="H55" s="8"/>
    </row>
    <row r="56" spans="1:8" ht="27" customHeight="1" x14ac:dyDescent="0.75">
      <c r="A56" s="19"/>
      <c r="B56" s="198" t="s">
        <v>74</v>
      </c>
      <c r="C56" s="199">
        <f t="shared" si="1"/>
        <v>1</v>
      </c>
      <c r="D56" s="200" t="s">
        <v>407</v>
      </c>
      <c r="E56" s="181">
        <v>0</v>
      </c>
      <c r="F56" s="181">
        <v>100</v>
      </c>
      <c r="G56" s="202">
        <v>0.01</v>
      </c>
      <c r="H56" s="8"/>
    </row>
    <row r="57" spans="1:8" ht="27" customHeight="1" x14ac:dyDescent="0.75">
      <c r="A57" s="19"/>
      <c r="B57" s="198" t="s">
        <v>75</v>
      </c>
      <c r="C57" s="199">
        <f t="shared" si="1"/>
        <v>1.5333333333333334</v>
      </c>
      <c r="D57" s="181" t="s">
        <v>408</v>
      </c>
      <c r="E57" s="181">
        <v>0</v>
      </c>
      <c r="F57" s="181">
        <v>100</v>
      </c>
      <c r="G57" s="202">
        <v>0.01</v>
      </c>
      <c r="H57" s="8"/>
    </row>
    <row r="58" spans="1:8" ht="27" customHeight="1" x14ac:dyDescent="0.75">
      <c r="A58" s="19"/>
      <c r="B58" s="198" t="s">
        <v>107</v>
      </c>
      <c r="C58" s="199">
        <f t="shared" si="1"/>
        <v>0.66666666666666663</v>
      </c>
      <c r="D58" s="181" t="s">
        <v>409</v>
      </c>
      <c r="E58" s="181">
        <v>0</v>
      </c>
      <c r="F58" s="181">
        <v>100</v>
      </c>
      <c r="G58" s="203">
        <v>0.01</v>
      </c>
      <c r="H58" s="8"/>
    </row>
    <row r="59" spans="1:8" ht="27" customHeight="1" x14ac:dyDescent="0.75">
      <c r="A59" s="19"/>
      <c r="B59" s="204" t="s">
        <v>496</v>
      </c>
      <c r="C59" s="199">
        <f t="shared" si="1"/>
        <v>0</v>
      </c>
      <c r="D59" s="181" t="s">
        <v>410</v>
      </c>
      <c r="E59" s="181">
        <v>0</v>
      </c>
      <c r="F59" s="181">
        <v>100</v>
      </c>
      <c r="G59" s="181">
        <v>0.01</v>
      </c>
      <c r="H59" s="8"/>
    </row>
    <row r="60" spans="1:8" ht="27" customHeight="1" x14ac:dyDescent="0.75">
      <c r="A60" s="19"/>
      <c r="B60" s="198" t="s">
        <v>108</v>
      </c>
      <c r="C60" s="199">
        <f t="shared" si="1"/>
        <v>0</v>
      </c>
      <c r="D60" s="181" t="s">
        <v>411</v>
      </c>
      <c r="E60" s="181">
        <v>0</v>
      </c>
      <c r="F60" s="181">
        <v>100</v>
      </c>
      <c r="G60" s="203">
        <v>0.01</v>
      </c>
      <c r="H60" s="8"/>
    </row>
    <row r="61" spans="1:8" ht="27" customHeight="1" x14ac:dyDescent="0.75">
      <c r="A61" s="19"/>
      <c r="B61" s="198" t="s">
        <v>78</v>
      </c>
      <c r="C61" s="199">
        <f t="shared" si="1"/>
        <v>12.8</v>
      </c>
      <c r="D61" s="181" t="s">
        <v>412</v>
      </c>
      <c r="E61" s="181">
        <v>0</v>
      </c>
      <c r="F61" s="181">
        <v>100</v>
      </c>
      <c r="G61" s="203">
        <v>0.01</v>
      </c>
      <c r="H61" s="8"/>
    </row>
    <row r="62" spans="1:8" ht="27" customHeight="1" x14ac:dyDescent="0.75">
      <c r="A62" s="19"/>
      <c r="B62" s="198" t="s">
        <v>109</v>
      </c>
      <c r="C62" s="199">
        <f t="shared" si="1"/>
        <v>15.733333333333333</v>
      </c>
      <c r="D62" s="181" t="s">
        <v>413</v>
      </c>
      <c r="E62" s="181">
        <v>0</v>
      </c>
      <c r="F62" s="181">
        <v>100</v>
      </c>
      <c r="G62" s="203">
        <v>0.01</v>
      </c>
      <c r="H62" s="8"/>
    </row>
    <row r="63" spans="1:8" ht="27" customHeight="1" x14ac:dyDescent="0.75">
      <c r="A63" s="19"/>
      <c r="B63" s="198" t="s">
        <v>110</v>
      </c>
      <c r="C63" s="199">
        <f t="shared" si="1"/>
        <v>40.93333333333333</v>
      </c>
      <c r="D63" s="181" t="s">
        <v>414</v>
      </c>
      <c r="E63" s="181">
        <v>0</v>
      </c>
      <c r="F63" s="181">
        <v>100</v>
      </c>
      <c r="G63" s="203">
        <v>0.01</v>
      </c>
      <c r="H63" s="8"/>
    </row>
    <row r="64" spans="1:8" ht="27" customHeight="1" x14ac:dyDescent="0.75">
      <c r="A64" s="19"/>
      <c r="B64" s="205" t="s">
        <v>125</v>
      </c>
      <c r="C64" s="199">
        <f t="shared" ref="C64" si="2">C15*100</f>
        <v>3.8</v>
      </c>
      <c r="D64" s="181" t="s">
        <v>457</v>
      </c>
      <c r="E64" s="181">
        <v>0</v>
      </c>
      <c r="F64" s="181">
        <v>100</v>
      </c>
      <c r="G64" s="203">
        <v>0.01</v>
      </c>
      <c r="H64" s="8"/>
    </row>
    <row r="65" spans="1:8" ht="27" customHeight="1" x14ac:dyDescent="0.75">
      <c r="A65" s="19"/>
      <c r="B65" s="205" t="s">
        <v>83</v>
      </c>
      <c r="C65" s="199">
        <f t="shared" ref="C65:C66" si="3">D16*100</f>
        <v>99.466666666666669</v>
      </c>
      <c r="D65" s="181" t="s">
        <v>501</v>
      </c>
      <c r="E65" s="181">
        <v>0</v>
      </c>
      <c r="F65" s="181">
        <v>100</v>
      </c>
      <c r="G65" s="203">
        <v>0.01</v>
      </c>
      <c r="H65" s="8"/>
    </row>
    <row r="66" spans="1:8" ht="27" customHeight="1" x14ac:dyDescent="0.75">
      <c r="A66" s="19"/>
      <c r="B66" s="205" t="s">
        <v>84</v>
      </c>
      <c r="C66" s="199">
        <f t="shared" si="3"/>
        <v>66.666666666666671</v>
      </c>
      <c r="D66" s="189" t="s">
        <v>380</v>
      </c>
      <c r="E66" s="189">
        <v>0</v>
      </c>
      <c r="F66" s="189">
        <v>100</v>
      </c>
      <c r="G66" s="206">
        <v>0.01</v>
      </c>
      <c r="H66" s="8"/>
    </row>
    <row r="67" spans="1:8" ht="27" customHeight="1" x14ac:dyDescent="0.75">
      <c r="A67" s="19"/>
      <c r="B67" s="207" t="s">
        <v>387</v>
      </c>
      <c r="C67" s="208">
        <f>C18*100</f>
        <v>35.666666666666664</v>
      </c>
      <c r="D67" s="181" t="s">
        <v>391</v>
      </c>
      <c r="E67" s="189">
        <v>0</v>
      </c>
      <c r="F67" s="189">
        <v>100</v>
      </c>
      <c r="G67" s="206">
        <v>0.01</v>
      </c>
      <c r="H67" s="8"/>
    </row>
    <row r="68" spans="1:8" ht="27" customHeight="1" x14ac:dyDescent="0.75">
      <c r="A68" s="19"/>
      <c r="C68" s="28"/>
      <c r="H68" s="8"/>
    </row>
    <row r="69" spans="1:8" ht="27" customHeight="1" x14ac:dyDescent="0.75">
      <c r="A69" s="19"/>
      <c r="C69" s="28"/>
      <c r="H69" s="8"/>
    </row>
    <row r="70" spans="1:8" ht="27" customHeight="1" x14ac:dyDescent="0.75">
      <c r="A70" s="19"/>
      <c r="C70" s="28"/>
      <c r="H70" s="8"/>
    </row>
    <row r="71" spans="1:8" ht="27" customHeight="1" x14ac:dyDescent="0.75">
      <c r="A71" s="19"/>
      <c r="C71" s="28"/>
      <c r="H71" s="8"/>
    </row>
    <row r="72" spans="1:8" ht="27" customHeight="1" x14ac:dyDescent="0.75">
      <c r="A72" s="19"/>
      <c r="C72" s="28"/>
      <c r="H72" s="8"/>
    </row>
    <row r="73" spans="1:8" ht="27" customHeight="1" x14ac:dyDescent="0.75">
      <c r="A73" s="19"/>
      <c r="C73" s="28"/>
      <c r="H73" s="8"/>
    </row>
    <row r="74" spans="1:8" ht="27" customHeight="1" x14ac:dyDescent="0.75">
      <c r="A74" s="19"/>
      <c r="C74" s="28"/>
      <c r="H74" s="8"/>
    </row>
    <row r="75" spans="1:8" ht="27" customHeight="1" x14ac:dyDescent="0.75">
      <c r="A75" s="19"/>
      <c r="C75" s="28"/>
      <c r="H75" s="8"/>
    </row>
    <row r="76" spans="1:8" ht="27" customHeight="1" x14ac:dyDescent="0.75">
      <c r="A76" s="19"/>
      <c r="C76" s="28"/>
      <c r="H76" s="8"/>
    </row>
    <row r="77" spans="1:8" ht="27" customHeight="1" x14ac:dyDescent="0.75">
      <c r="A77" s="19"/>
      <c r="C77" s="28"/>
      <c r="H77" s="8"/>
    </row>
    <row r="78" spans="1:8" ht="27" customHeight="1" x14ac:dyDescent="0.75">
      <c r="A78" s="19"/>
      <c r="C78" s="28"/>
      <c r="H78" s="8"/>
    </row>
    <row r="79" spans="1:8" ht="27" customHeight="1" x14ac:dyDescent="0.75">
      <c r="A79" s="19"/>
      <c r="C79" s="28"/>
      <c r="H79" s="8"/>
    </row>
    <row r="80" spans="1:8" ht="27" customHeight="1" x14ac:dyDescent="0.75">
      <c r="A80" s="19"/>
      <c r="C80" s="28"/>
      <c r="H80" s="8"/>
    </row>
    <row r="81" spans="1:8" ht="27" customHeight="1" x14ac:dyDescent="0.75">
      <c r="A81" s="19"/>
      <c r="C81" s="28"/>
      <c r="H81" s="8"/>
    </row>
    <row r="82" spans="1:8" ht="27" customHeight="1" x14ac:dyDescent="0.75">
      <c r="A82" s="19"/>
      <c r="C82" s="28"/>
      <c r="H82" s="8"/>
    </row>
    <row r="83" spans="1:8" ht="27" customHeight="1" x14ac:dyDescent="0.75">
      <c r="A83" s="19"/>
      <c r="C83" s="28"/>
      <c r="H83" s="8"/>
    </row>
    <row r="84" spans="1:8" ht="27" customHeight="1" x14ac:dyDescent="0.75">
      <c r="A84" s="19"/>
      <c r="C84" s="28"/>
      <c r="H84" s="8"/>
    </row>
    <row r="85" spans="1:8" ht="27" customHeight="1" x14ac:dyDescent="0.75">
      <c r="A85" s="19"/>
      <c r="C85" s="28"/>
      <c r="H85" s="8"/>
    </row>
    <row r="86" spans="1:8" ht="27" customHeight="1" x14ac:dyDescent="0.75">
      <c r="A86" s="19"/>
      <c r="C86" s="28"/>
      <c r="H86" s="8"/>
    </row>
    <row r="87" spans="1:8" ht="27" customHeight="1" x14ac:dyDescent="0.75">
      <c r="A87" s="19"/>
      <c r="C87" s="28"/>
      <c r="H87" s="8"/>
    </row>
    <row r="88" spans="1:8" ht="27" customHeight="1" x14ac:dyDescent="0.75">
      <c r="A88" s="19"/>
      <c r="C88" s="28"/>
      <c r="H88" s="8"/>
    </row>
    <row r="89" spans="1:8" ht="27" customHeight="1" x14ac:dyDescent="0.75">
      <c r="A89" s="19"/>
      <c r="C89" s="28"/>
      <c r="H89" s="8"/>
    </row>
    <row r="90" spans="1:8" ht="27" customHeight="1" x14ac:dyDescent="0.75">
      <c r="A90" s="19"/>
      <c r="C90" s="28"/>
      <c r="H90" s="8"/>
    </row>
    <row r="91" spans="1:8" ht="27" customHeight="1" x14ac:dyDescent="0.75">
      <c r="A91" s="19"/>
      <c r="C91" s="28"/>
      <c r="H91" s="8"/>
    </row>
    <row r="92" spans="1:8" ht="27" customHeight="1" x14ac:dyDescent="0.75">
      <c r="A92" s="19"/>
      <c r="C92" s="28"/>
      <c r="H92" s="8"/>
    </row>
    <row r="93" spans="1:8" ht="27" customHeight="1" x14ac:dyDescent="0.75">
      <c r="A93" s="19"/>
      <c r="C93" s="28"/>
      <c r="H93" s="8"/>
    </row>
    <row r="94" spans="1:8" ht="27" customHeight="1" x14ac:dyDescent="0.75">
      <c r="A94" s="19"/>
      <c r="C94" s="28"/>
      <c r="H94" s="8"/>
    </row>
    <row r="95" spans="1:8" ht="27" customHeight="1" x14ac:dyDescent="0.75">
      <c r="A95" s="19"/>
      <c r="C95" s="28"/>
      <c r="H95" s="8"/>
    </row>
    <row r="96" spans="1:8" ht="27" customHeight="1" x14ac:dyDescent="0.75">
      <c r="A96" s="19"/>
      <c r="C96" s="28"/>
      <c r="H96" s="8"/>
    </row>
    <row r="97" spans="1:8" ht="27" customHeight="1" x14ac:dyDescent="0.75">
      <c r="A97" s="19"/>
      <c r="C97" s="28"/>
      <c r="H97" s="8"/>
    </row>
    <row r="98" spans="1:8" ht="27" customHeight="1" x14ac:dyDescent="0.75">
      <c r="A98" s="19"/>
      <c r="C98" s="28"/>
      <c r="H98" s="8"/>
    </row>
    <row r="99" spans="1:8" ht="27" customHeight="1" x14ac:dyDescent="0.75">
      <c r="A99" s="19"/>
      <c r="C99" s="28"/>
      <c r="H99" s="8"/>
    </row>
    <row r="100" spans="1:8" ht="27" customHeight="1" x14ac:dyDescent="0.75">
      <c r="A100" s="19"/>
      <c r="C100" s="28"/>
      <c r="H100" s="8"/>
    </row>
    <row r="101" spans="1:8" ht="27" customHeight="1" x14ac:dyDescent="0.75">
      <c r="A101" s="19"/>
      <c r="C101" s="28"/>
      <c r="H101" s="8"/>
    </row>
    <row r="102" spans="1:8" ht="27" customHeight="1" x14ac:dyDescent="0.75">
      <c r="A102" s="19"/>
      <c r="C102" s="28"/>
      <c r="H102" s="8"/>
    </row>
    <row r="103" spans="1:8" ht="27" customHeight="1" x14ac:dyDescent="0.75">
      <c r="A103" s="19"/>
      <c r="C103" s="28"/>
      <c r="H103" s="8"/>
    </row>
    <row r="104" spans="1:8" ht="27" customHeight="1" x14ac:dyDescent="0.75">
      <c r="A104" s="19"/>
      <c r="C104" s="28"/>
      <c r="H104" s="8"/>
    </row>
    <row r="105" spans="1:8" ht="27" customHeight="1" x14ac:dyDescent="0.75">
      <c r="A105" s="19"/>
      <c r="C105" s="28"/>
      <c r="H105" s="8"/>
    </row>
    <row r="106" spans="1:8" ht="27" customHeight="1" x14ac:dyDescent="0.75">
      <c r="A106" s="19"/>
      <c r="C106" s="28"/>
      <c r="H106" s="8"/>
    </row>
    <row r="107" spans="1:8" ht="27" customHeight="1" x14ac:dyDescent="0.75">
      <c r="A107" s="19"/>
      <c r="C107" s="28"/>
      <c r="H107" s="8"/>
    </row>
    <row r="108" spans="1:8" ht="27" customHeight="1" x14ac:dyDescent="0.75">
      <c r="A108" s="19"/>
      <c r="C108" s="28"/>
      <c r="H108" s="8"/>
    </row>
    <row r="109" spans="1:8" ht="27" customHeight="1" x14ac:dyDescent="0.75">
      <c r="A109" s="19"/>
      <c r="C109" s="28"/>
      <c r="H109" s="8"/>
    </row>
    <row r="110" spans="1:8" ht="27" customHeight="1" x14ac:dyDescent="0.75">
      <c r="A110" s="19"/>
      <c r="C110" s="28"/>
      <c r="H110" s="8"/>
    </row>
    <row r="111" spans="1:8" ht="27" customHeight="1" x14ac:dyDescent="0.75">
      <c r="A111" s="19"/>
      <c r="C111" s="28"/>
      <c r="H111" s="8"/>
    </row>
    <row r="112" spans="1:8" ht="27" customHeight="1" x14ac:dyDescent="0.75">
      <c r="A112" s="19"/>
      <c r="C112" s="28"/>
      <c r="H112" s="8"/>
    </row>
    <row r="113" spans="1:8" ht="27" customHeight="1" x14ac:dyDescent="0.75">
      <c r="A113" s="19"/>
      <c r="C113" s="28"/>
      <c r="H113" s="8"/>
    </row>
    <row r="114" spans="1:8" ht="27" customHeight="1" x14ac:dyDescent="0.75">
      <c r="A114" s="19"/>
      <c r="C114" s="28"/>
      <c r="H114" s="8"/>
    </row>
    <row r="115" spans="1:8" ht="27" customHeight="1" x14ac:dyDescent="0.75">
      <c r="A115" s="19"/>
      <c r="C115" s="28"/>
      <c r="H115" s="8"/>
    </row>
    <row r="116" spans="1:8" ht="27" customHeight="1" x14ac:dyDescent="0.75">
      <c r="A116" s="19"/>
      <c r="C116" s="28"/>
      <c r="H116" s="8"/>
    </row>
    <row r="117" spans="1:8" ht="27" customHeight="1" x14ac:dyDescent="0.75">
      <c r="A117" s="19"/>
      <c r="C117" s="28"/>
      <c r="H117" s="8"/>
    </row>
    <row r="118" spans="1:8" ht="27" customHeight="1" x14ac:dyDescent="0.75">
      <c r="A118" s="19"/>
      <c r="C118" s="28"/>
      <c r="H118" s="8"/>
    </row>
    <row r="119" spans="1:8" ht="27" customHeight="1" x14ac:dyDescent="0.75">
      <c r="A119" s="19"/>
      <c r="C119" s="28"/>
      <c r="H119" s="8"/>
    </row>
    <row r="120" spans="1:8" ht="27" customHeight="1" x14ac:dyDescent="0.75">
      <c r="A120" s="19"/>
      <c r="C120" s="28"/>
      <c r="H120" s="8"/>
    </row>
    <row r="121" spans="1:8" ht="27" customHeight="1" x14ac:dyDescent="0.75">
      <c r="A121" s="19"/>
      <c r="C121" s="28"/>
      <c r="H121" s="8"/>
    </row>
    <row r="122" spans="1:8" ht="27" customHeight="1" x14ac:dyDescent="0.75">
      <c r="A122" s="19"/>
      <c r="C122" s="28"/>
      <c r="H122" s="8"/>
    </row>
    <row r="123" spans="1:8" ht="27" customHeight="1" x14ac:dyDescent="0.75">
      <c r="A123" s="19"/>
      <c r="C123" s="28"/>
      <c r="H123" s="8"/>
    </row>
    <row r="124" spans="1:8" ht="27" customHeight="1" x14ac:dyDescent="0.75">
      <c r="A124" s="19"/>
      <c r="C124" s="28"/>
      <c r="H124" s="8"/>
    </row>
    <row r="125" spans="1:8" ht="27" customHeight="1" x14ac:dyDescent="0.75">
      <c r="A125" s="19"/>
      <c r="C125" s="28"/>
      <c r="H125" s="8"/>
    </row>
    <row r="126" spans="1:8" ht="27" customHeight="1" x14ac:dyDescent="0.75">
      <c r="A126" s="19"/>
      <c r="C126" s="28"/>
      <c r="H126" s="8"/>
    </row>
    <row r="127" spans="1:8" ht="27" customHeight="1" x14ac:dyDescent="0.75">
      <c r="A127" s="19"/>
      <c r="C127" s="28"/>
      <c r="H127" s="8"/>
    </row>
    <row r="128" spans="1:8" ht="27" customHeight="1" x14ac:dyDescent="0.75">
      <c r="A128" s="19"/>
      <c r="C128" s="28"/>
      <c r="H128" s="8"/>
    </row>
    <row r="129" spans="1:8" ht="27" customHeight="1" x14ac:dyDescent="0.75">
      <c r="A129" s="19"/>
      <c r="C129" s="28"/>
      <c r="H129" s="8"/>
    </row>
    <row r="130" spans="1:8" ht="27" customHeight="1" x14ac:dyDescent="0.75">
      <c r="A130" s="19"/>
      <c r="C130" s="28"/>
      <c r="H130" s="8"/>
    </row>
    <row r="131" spans="1:8" ht="27" customHeight="1" x14ac:dyDescent="0.75">
      <c r="A131" s="19"/>
      <c r="C131" s="28"/>
      <c r="H131" s="8"/>
    </row>
    <row r="132" spans="1:8" ht="27" customHeight="1" x14ac:dyDescent="0.75">
      <c r="A132" s="19"/>
      <c r="C132" s="28"/>
      <c r="H132" s="8"/>
    </row>
    <row r="133" spans="1:8" ht="27" customHeight="1" x14ac:dyDescent="0.75">
      <c r="A133" s="19"/>
      <c r="C133" s="28"/>
      <c r="H133" s="8"/>
    </row>
    <row r="134" spans="1:8" ht="27" customHeight="1" x14ac:dyDescent="0.75">
      <c r="A134" s="19"/>
      <c r="C134" s="28"/>
      <c r="H134" s="8"/>
    </row>
    <row r="135" spans="1:8" ht="27" customHeight="1" x14ac:dyDescent="0.75">
      <c r="A135" s="19"/>
      <c r="C135" s="28"/>
      <c r="H135" s="8"/>
    </row>
    <row r="136" spans="1:8" ht="27" customHeight="1" x14ac:dyDescent="0.75">
      <c r="A136" s="19"/>
      <c r="C136" s="28"/>
      <c r="H136" s="8"/>
    </row>
    <row r="137" spans="1:8" ht="27" customHeight="1" x14ac:dyDescent="0.75">
      <c r="A137" s="19"/>
      <c r="C137" s="28"/>
      <c r="H137" s="8"/>
    </row>
    <row r="138" spans="1:8" ht="27" customHeight="1" x14ac:dyDescent="0.75">
      <c r="A138" s="19"/>
      <c r="C138" s="28"/>
      <c r="H138" s="8"/>
    </row>
    <row r="139" spans="1:8" ht="27" customHeight="1" x14ac:dyDescent="0.75">
      <c r="A139" s="19"/>
      <c r="C139" s="28"/>
      <c r="H139" s="8"/>
    </row>
    <row r="140" spans="1:8" ht="27" customHeight="1" x14ac:dyDescent="0.75">
      <c r="A140" s="19"/>
      <c r="C140" s="28"/>
      <c r="H140" s="8"/>
    </row>
    <row r="141" spans="1:8" ht="27" customHeight="1" x14ac:dyDescent="0.75">
      <c r="A141" s="19"/>
      <c r="C141" s="28"/>
      <c r="H141" s="8"/>
    </row>
    <row r="142" spans="1:8" ht="27" customHeight="1" x14ac:dyDescent="0.75">
      <c r="A142" s="19"/>
      <c r="C142" s="28"/>
      <c r="H142" s="8"/>
    </row>
    <row r="143" spans="1:8" ht="27" customHeight="1" x14ac:dyDescent="0.75">
      <c r="A143" s="19"/>
      <c r="C143" s="28"/>
      <c r="H143" s="8"/>
    </row>
    <row r="144" spans="1:8" ht="27" customHeight="1" x14ac:dyDescent="0.75">
      <c r="A144" s="19"/>
      <c r="C144" s="28"/>
      <c r="H144" s="8"/>
    </row>
    <row r="145" spans="1:8" ht="27" customHeight="1" x14ac:dyDescent="0.75">
      <c r="A145" s="19"/>
      <c r="C145" s="28"/>
      <c r="H145" s="8"/>
    </row>
    <row r="146" spans="1:8" ht="27" customHeight="1" x14ac:dyDescent="0.75">
      <c r="A146" s="19"/>
      <c r="C146" s="28"/>
      <c r="H146" s="8"/>
    </row>
    <row r="147" spans="1:8" ht="27" customHeight="1" x14ac:dyDescent="0.75">
      <c r="A147" s="19"/>
      <c r="C147" s="28"/>
      <c r="H147" s="8"/>
    </row>
    <row r="148" spans="1:8" ht="27" customHeight="1" x14ac:dyDescent="0.75">
      <c r="A148" s="19"/>
      <c r="C148" s="28"/>
      <c r="H148" s="8"/>
    </row>
    <row r="149" spans="1:8" ht="27" customHeight="1" x14ac:dyDescent="0.75">
      <c r="A149" s="19"/>
      <c r="C149" s="28"/>
      <c r="H149" s="8"/>
    </row>
    <row r="150" spans="1:8" ht="27" customHeight="1" x14ac:dyDescent="0.75">
      <c r="A150" s="19"/>
      <c r="C150" s="28"/>
      <c r="H150" s="8"/>
    </row>
    <row r="151" spans="1:8" ht="27" customHeight="1" x14ac:dyDescent="0.75">
      <c r="A151" s="19"/>
      <c r="C151" s="28"/>
      <c r="H151" s="8"/>
    </row>
    <row r="152" spans="1:8" ht="27" customHeight="1" x14ac:dyDescent="0.75">
      <c r="A152" s="19"/>
      <c r="C152" s="28"/>
      <c r="H152" s="8"/>
    </row>
    <row r="153" spans="1:8" ht="27" customHeight="1" x14ac:dyDescent="0.75">
      <c r="A153" s="19"/>
      <c r="C153" s="28"/>
      <c r="H153" s="8"/>
    </row>
    <row r="154" spans="1:8" ht="27" customHeight="1" x14ac:dyDescent="0.75">
      <c r="A154" s="19"/>
      <c r="C154" s="28"/>
      <c r="H154" s="8"/>
    </row>
    <row r="155" spans="1:8" ht="27" customHeight="1" x14ac:dyDescent="0.75">
      <c r="A155" s="19"/>
      <c r="C155" s="28"/>
      <c r="H155" s="8"/>
    </row>
    <row r="156" spans="1:8" ht="27" customHeight="1" x14ac:dyDescent="0.75">
      <c r="A156" s="19"/>
      <c r="C156" s="28"/>
      <c r="H156" s="8"/>
    </row>
    <row r="157" spans="1:8" ht="27" customHeight="1" x14ac:dyDescent="0.75">
      <c r="A157" s="19"/>
      <c r="C157" s="28"/>
      <c r="H157" s="8"/>
    </row>
    <row r="158" spans="1:8" ht="27" customHeight="1" x14ac:dyDescent="0.75">
      <c r="A158" s="19"/>
      <c r="C158" s="28"/>
      <c r="H158" s="8"/>
    </row>
    <row r="159" spans="1:8" ht="27" customHeight="1" x14ac:dyDescent="0.75">
      <c r="A159" s="19"/>
      <c r="C159" s="28"/>
      <c r="H159" s="8"/>
    </row>
    <row r="160" spans="1:8" ht="27" customHeight="1" x14ac:dyDescent="0.75">
      <c r="A160" s="19"/>
      <c r="C160" s="28"/>
      <c r="H160" s="8"/>
    </row>
    <row r="161" spans="1:8" ht="27" customHeight="1" x14ac:dyDescent="0.75">
      <c r="A161" s="19"/>
      <c r="C161" s="28"/>
      <c r="H161" s="8"/>
    </row>
    <row r="162" spans="1:8" ht="27" customHeight="1" x14ac:dyDescent="0.75">
      <c r="A162" s="19"/>
      <c r="C162" s="28"/>
      <c r="H162" s="8"/>
    </row>
    <row r="163" spans="1:8" ht="27" customHeight="1" x14ac:dyDescent="0.75">
      <c r="A163" s="19"/>
      <c r="C163" s="28"/>
      <c r="H163" s="8"/>
    </row>
    <row r="164" spans="1:8" ht="27" customHeight="1" x14ac:dyDescent="0.75">
      <c r="A164" s="19"/>
      <c r="C164" s="28"/>
      <c r="H164" s="8"/>
    </row>
    <row r="165" spans="1:8" ht="27" customHeight="1" x14ac:dyDescent="0.75">
      <c r="A165" s="19"/>
      <c r="C165" s="28"/>
      <c r="H165" s="8"/>
    </row>
    <row r="166" spans="1:8" ht="27" customHeight="1" x14ac:dyDescent="0.75">
      <c r="A166" s="19"/>
      <c r="C166" s="28"/>
      <c r="H166" s="8"/>
    </row>
    <row r="167" spans="1:8" ht="27" customHeight="1" x14ac:dyDescent="0.75">
      <c r="A167" s="19"/>
      <c r="C167" s="28"/>
      <c r="H167" s="8"/>
    </row>
    <row r="168" spans="1:8" ht="27" customHeight="1" x14ac:dyDescent="0.75">
      <c r="A168" s="19"/>
      <c r="C168" s="28"/>
      <c r="H168" s="8"/>
    </row>
    <row r="169" spans="1:8" ht="27" customHeight="1" x14ac:dyDescent="0.75">
      <c r="A169" s="19"/>
      <c r="C169" s="28"/>
      <c r="H169" s="8"/>
    </row>
    <row r="170" spans="1:8" ht="27" customHeight="1" x14ac:dyDescent="0.75">
      <c r="A170" s="19"/>
      <c r="C170" s="28"/>
      <c r="H170" s="8"/>
    </row>
    <row r="171" spans="1:8" ht="27" customHeight="1" x14ac:dyDescent="0.75">
      <c r="A171" s="19"/>
      <c r="C171" s="28"/>
      <c r="H171" s="8"/>
    </row>
    <row r="172" spans="1:8" ht="27" customHeight="1" x14ac:dyDescent="0.75">
      <c r="A172" s="19"/>
      <c r="C172" s="28"/>
      <c r="H172" s="8"/>
    </row>
    <row r="173" spans="1:8" ht="27" customHeight="1" x14ac:dyDescent="0.75">
      <c r="A173" s="19"/>
      <c r="C173" s="28"/>
      <c r="H173" s="8"/>
    </row>
    <row r="174" spans="1:8" ht="27" customHeight="1" x14ac:dyDescent="0.75">
      <c r="A174" s="19"/>
      <c r="C174" s="28"/>
      <c r="H174" s="8"/>
    </row>
    <row r="175" spans="1:8" ht="27" customHeight="1" x14ac:dyDescent="0.75">
      <c r="A175" s="19"/>
      <c r="C175" s="28"/>
      <c r="H175" s="8"/>
    </row>
    <row r="176" spans="1:8" ht="27" customHeight="1" x14ac:dyDescent="0.75">
      <c r="A176" s="19"/>
      <c r="C176" s="28"/>
      <c r="H176" s="8"/>
    </row>
    <row r="177" spans="1:8" ht="27" customHeight="1" x14ac:dyDescent="0.75">
      <c r="A177" s="19"/>
      <c r="C177" s="28"/>
      <c r="H177" s="8"/>
    </row>
    <row r="178" spans="1:8" ht="27" customHeight="1" x14ac:dyDescent="0.75">
      <c r="A178" s="19"/>
      <c r="C178" s="28"/>
      <c r="H178" s="8"/>
    </row>
    <row r="179" spans="1:8" ht="27" customHeight="1" x14ac:dyDescent="0.75">
      <c r="A179" s="19"/>
      <c r="C179" s="28"/>
      <c r="H179" s="8"/>
    </row>
    <row r="180" spans="1:8" ht="27" customHeight="1" x14ac:dyDescent="0.75">
      <c r="A180" s="19"/>
      <c r="C180" s="28"/>
      <c r="H180" s="8"/>
    </row>
    <row r="181" spans="1:8" ht="27" customHeight="1" x14ac:dyDescent="0.75">
      <c r="A181" s="19"/>
      <c r="C181" s="28"/>
      <c r="H181" s="8"/>
    </row>
    <row r="182" spans="1:8" ht="27" customHeight="1" x14ac:dyDescent="0.75">
      <c r="A182" s="19"/>
      <c r="C182" s="28"/>
      <c r="H182" s="8"/>
    </row>
    <row r="183" spans="1:8" ht="27" customHeight="1" x14ac:dyDescent="0.75">
      <c r="A183" s="19"/>
      <c r="C183" s="28"/>
      <c r="H183" s="8"/>
    </row>
    <row r="184" spans="1:8" ht="27" customHeight="1" x14ac:dyDescent="0.75">
      <c r="A184" s="19"/>
      <c r="C184" s="28"/>
      <c r="H184" s="8"/>
    </row>
    <row r="185" spans="1:8" ht="27" customHeight="1" x14ac:dyDescent="0.75">
      <c r="A185" s="19"/>
      <c r="C185" s="28"/>
      <c r="H185" s="8"/>
    </row>
    <row r="186" spans="1:8" ht="27" customHeight="1" x14ac:dyDescent="0.75">
      <c r="A186" s="19"/>
      <c r="C186" s="28"/>
      <c r="H186" s="8"/>
    </row>
    <row r="187" spans="1:8" ht="27" customHeight="1" x14ac:dyDescent="0.75">
      <c r="A187" s="19"/>
      <c r="C187" s="28"/>
      <c r="H187" s="8"/>
    </row>
    <row r="188" spans="1:8" ht="27" customHeight="1" x14ac:dyDescent="0.75">
      <c r="A188" s="19"/>
      <c r="C188" s="28"/>
      <c r="H188" s="8"/>
    </row>
    <row r="189" spans="1:8" ht="27" customHeight="1" x14ac:dyDescent="0.75">
      <c r="A189" s="19"/>
      <c r="C189" s="28"/>
      <c r="H189" s="8"/>
    </row>
    <row r="190" spans="1:8" ht="27" customHeight="1" x14ac:dyDescent="0.75">
      <c r="A190" s="19"/>
      <c r="C190" s="28"/>
      <c r="H190" s="8"/>
    </row>
    <row r="191" spans="1:8" ht="27" customHeight="1" x14ac:dyDescent="0.75">
      <c r="A191" s="19"/>
      <c r="C191" s="28"/>
      <c r="H191" s="8"/>
    </row>
    <row r="192" spans="1:8" ht="27" customHeight="1" x14ac:dyDescent="0.75">
      <c r="A192" s="19"/>
      <c r="C192" s="28"/>
      <c r="H192" s="8"/>
    </row>
    <row r="193" spans="1:8" ht="27" customHeight="1" x14ac:dyDescent="0.75">
      <c r="A193" s="19"/>
      <c r="C193" s="28"/>
      <c r="H193" s="8"/>
    </row>
    <row r="194" spans="1:8" ht="27" customHeight="1" x14ac:dyDescent="0.75">
      <c r="A194" s="19"/>
      <c r="C194" s="28"/>
      <c r="H194" s="8"/>
    </row>
    <row r="195" spans="1:8" ht="27" customHeight="1" x14ac:dyDescent="0.75">
      <c r="A195" s="19"/>
      <c r="C195" s="28"/>
      <c r="H195" s="8"/>
    </row>
    <row r="196" spans="1:8" ht="27" customHeight="1" x14ac:dyDescent="0.75">
      <c r="A196" s="19"/>
      <c r="C196" s="28"/>
      <c r="H196" s="8"/>
    </row>
    <row r="197" spans="1:8" ht="27" customHeight="1" x14ac:dyDescent="0.75">
      <c r="A197" s="19"/>
      <c r="C197" s="28"/>
      <c r="H197" s="8"/>
    </row>
    <row r="198" spans="1:8" ht="27" customHeight="1" x14ac:dyDescent="0.75">
      <c r="A198" s="19"/>
      <c r="C198" s="28"/>
      <c r="H198" s="8"/>
    </row>
    <row r="199" spans="1:8" ht="27" customHeight="1" x14ac:dyDescent="0.75">
      <c r="A199" s="19"/>
      <c r="C199" s="28"/>
      <c r="H199" s="8"/>
    </row>
    <row r="200" spans="1:8" ht="27" customHeight="1" x14ac:dyDescent="0.75">
      <c r="A200" s="19"/>
      <c r="C200" s="28"/>
      <c r="H200" s="8"/>
    </row>
    <row r="201" spans="1:8" ht="27" customHeight="1" x14ac:dyDescent="0.75">
      <c r="A201" s="19"/>
      <c r="C201" s="28"/>
      <c r="H201" s="8"/>
    </row>
    <row r="202" spans="1:8" ht="27" customHeight="1" x14ac:dyDescent="0.75">
      <c r="A202" s="19"/>
      <c r="C202" s="28"/>
      <c r="H202" s="8"/>
    </row>
    <row r="203" spans="1:8" ht="27" customHeight="1" x14ac:dyDescent="0.75">
      <c r="A203" s="19"/>
      <c r="C203" s="28"/>
      <c r="H203" s="8"/>
    </row>
    <row r="204" spans="1:8" ht="27" customHeight="1" x14ac:dyDescent="0.75">
      <c r="A204" s="19"/>
      <c r="C204" s="28"/>
      <c r="H204" s="8"/>
    </row>
    <row r="205" spans="1:8" ht="27" customHeight="1" x14ac:dyDescent="0.75">
      <c r="A205" s="19"/>
      <c r="C205" s="28"/>
      <c r="H205" s="8"/>
    </row>
    <row r="206" spans="1:8" ht="27" customHeight="1" x14ac:dyDescent="0.75">
      <c r="A206" s="19"/>
      <c r="C206" s="28"/>
      <c r="H206" s="8"/>
    </row>
    <row r="207" spans="1:8" ht="27" customHeight="1" x14ac:dyDescent="0.75">
      <c r="A207" s="19"/>
      <c r="C207" s="28"/>
      <c r="H207" s="8"/>
    </row>
    <row r="208" spans="1:8" ht="27" customHeight="1" x14ac:dyDescent="0.75">
      <c r="A208" s="19"/>
      <c r="C208" s="28"/>
      <c r="H208" s="8"/>
    </row>
    <row r="209" spans="1:8" ht="27" customHeight="1" x14ac:dyDescent="0.75">
      <c r="A209" s="19"/>
      <c r="C209" s="28"/>
      <c r="H209" s="8"/>
    </row>
    <row r="210" spans="1:8" ht="27" customHeight="1" x14ac:dyDescent="0.75">
      <c r="A210" s="19"/>
      <c r="C210" s="28"/>
      <c r="H210" s="8"/>
    </row>
    <row r="211" spans="1:8" ht="27" customHeight="1" x14ac:dyDescent="0.75">
      <c r="A211" s="19"/>
      <c r="C211" s="28"/>
      <c r="H211" s="8"/>
    </row>
    <row r="212" spans="1:8" ht="27" customHeight="1" x14ac:dyDescent="0.75">
      <c r="A212" s="19"/>
      <c r="C212" s="28"/>
      <c r="H212" s="8"/>
    </row>
    <row r="213" spans="1:8" ht="27" customHeight="1" x14ac:dyDescent="0.75">
      <c r="A213" s="19"/>
      <c r="C213" s="28"/>
      <c r="H213" s="8"/>
    </row>
    <row r="214" spans="1:8" ht="27" customHeight="1" x14ac:dyDescent="0.75">
      <c r="A214" s="19"/>
      <c r="C214" s="28"/>
      <c r="H214" s="8"/>
    </row>
    <row r="215" spans="1:8" ht="27" customHeight="1" x14ac:dyDescent="0.75">
      <c r="A215" s="19"/>
      <c r="C215" s="28"/>
      <c r="H215" s="8"/>
    </row>
    <row r="216" spans="1:8" ht="27" customHeight="1" x14ac:dyDescent="0.75">
      <c r="A216" s="19"/>
      <c r="C216" s="28"/>
      <c r="H216" s="8"/>
    </row>
    <row r="217" spans="1:8" ht="27" customHeight="1" x14ac:dyDescent="0.75">
      <c r="A217" s="19"/>
      <c r="C217" s="28"/>
      <c r="H217" s="8"/>
    </row>
    <row r="218" spans="1:8" ht="27" customHeight="1" x14ac:dyDescent="0.75">
      <c r="A218" s="19"/>
      <c r="C218" s="28"/>
      <c r="H218" s="8"/>
    </row>
    <row r="219" spans="1:8" ht="27" customHeight="1" x14ac:dyDescent="0.75">
      <c r="A219" s="19"/>
      <c r="C219" s="28"/>
      <c r="H219" s="8"/>
    </row>
    <row r="220" spans="1:8" ht="27" customHeight="1" x14ac:dyDescent="0.75">
      <c r="A220" s="19"/>
      <c r="C220" s="28"/>
      <c r="H220" s="8"/>
    </row>
    <row r="221" spans="1:8" ht="27" customHeight="1" x14ac:dyDescent="0.75">
      <c r="A221" s="19"/>
      <c r="C221" s="28"/>
      <c r="H221" s="8"/>
    </row>
    <row r="222" spans="1:8" ht="27" customHeight="1" x14ac:dyDescent="0.75">
      <c r="A222" s="19"/>
      <c r="C222" s="28"/>
      <c r="H222" s="8"/>
    </row>
    <row r="223" spans="1:8" ht="27" customHeight="1" x14ac:dyDescent="0.75">
      <c r="A223" s="19"/>
      <c r="C223" s="28"/>
      <c r="H223" s="8"/>
    </row>
    <row r="224" spans="1:8" ht="27" customHeight="1" x14ac:dyDescent="0.75">
      <c r="A224" s="19"/>
      <c r="C224" s="28"/>
      <c r="H224" s="8"/>
    </row>
    <row r="225" spans="1:8" ht="27" customHeight="1" x14ac:dyDescent="0.75">
      <c r="A225" s="19"/>
      <c r="C225" s="28"/>
      <c r="H225" s="8"/>
    </row>
    <row r="226" spans="1:8" ht="27" customHeight="1" x14ac:dyDescent="0.75">
      <c r="A226" s="19"/>
      <c r="C226" s="28"/>
      <c r="H226" s="8"/>
    </row>
    <row r="227" spans="1:8" ht="27" customHeight="1" x14ac:dyDescent="0.75">
      <c r="A227" s="19"/>
      <c r="C227" s="28"/>
      <c r="H227" s="8"/>
    </row>
    <row r="228" spans="1:8" ht="27" customHeight="1" x14ac:dyDescent="0.75">
      <c r="A228" s="19"/>
      <c r="C228" s="28"/>
      <c r="H228" s="8"/>
    </row>
    <row r="229" spans="1:8" ht="27" customHeight="1" x14ac:dyDescent="0.75">
      <c r="A229" s="19"/>
      <c r="C229" s="28"/>
      <c r="H229" s="8"/>
    </row>
    <row r="230" spans="1:8" ht="27" customHeight="1" x14ac:dyDescent="0.75">
      <c r="A230" s="19"/>
      <c r="C230" s="28"/>
      <c r="H230" s="8"/>
    </row>
    <row r="231" spans="1:8" ht="27" customHeight="1" x14ac:dyDescent="0.75">
      <c r="A231" s="19"/>
      <c r="C231" s="28"/>
      <c r="H231" s="8"/>
    </row>
    <row r="232" spans="1:8" ht="27" customHeight="1" x14ac:dyDescent="0.75">
      <c r="A232" s="19"/>
      <c r="C232" s="28"/>
      <c r="H232" s="8"/>
    </row>
    <row r="233" spans="1:8" ht="27" customHeight="1" x14ac:dyDescent="0.75">
      <c r="A233" s="19"/>
      <c r="C233" s="28"/>
      <c r="H233" s="8"/>
    </row>
    <row r="234" spans="1:8" ht="27" customHeight="1" x14ac:dyDescent="0.75">
      <c r="A234" s="19"/>
      <c r="C234" s="28"/>
      <c r="H234" s="8"/>
    </row>
    <row r="235" spans="1:8" ht="27" customHeight="1" x14ac:dyDescent="0.75">
      <c r="A235" s="19"/>
      <c r="C235" s="28"/>
      <c r="H235" s="8"/>
    </row>
    <row r="236" spans="1:8" ht="27" customHeight="1" x14ac:dyDescent="0.75">
      <c r="A236" s="19"/>
      <c r="C236" s="28"/>
      <c r="H236" s="8"/>
    </row>
    <row r="237" spans="1:8" ht="27" customHeight="1" x14ac:dyDescent="0.75">
      <c r="A237" s="19"/>
      <c r="C237" s="28"/>
      <c r="H237" s="8"/>
    </row>
    <row r="238" spans="1:8" ht="27" customHeight="1" x14ac:dyDescent="0.75">
      <c r="A238" s="19"/>
      <c r="C238" s="28"/>
      <c r="H238" s="8"/>
    </row>
    <row r="239" spans="1:8" ht="27" customHeight="1" x14ac:dyDescent="0.75">
      <c r="A239" s="19"/>
      <c r="C239" s="28"/>
      <c r="H239" s="8"/>
    </row>
    <row r="240" spans="1:8" ht="27" customHeight="1" x14ac:dyDescent="0.75">
      <c r="A240" s="19"/>
      <c r="C240" s="28"/>
      <c r="H240" s="8"/>
    </row>
    <row r="241" spans="1:8" ht="27" customHeight="1" x14ac:dyDescent="0.75">
      <c r="A241" s="19"/>
      <c r="C241" s="28"/>
      <c r="H241" s="8"/>
    </row>
    <row r="242" spans="1:8" ht="27" customHeight="1" x14ac:dyDescent="0.75">
      <c r="A242" s="19"/>
      <c r="C242" s="28"/>
      <c r="H242" s="8"/>
    </row>
    <row r="243" spans="1:8" ht="27" customHeight="1" x14ac:dyDescent="0.75">
      <c r="A243" s="19"/>
      <c r="C243" s="28"/>
      <c r="H243" s="8"/>
    </row>
    <row r="244" spans="1:8" ht="27" customHeight="1" x14ac:dyDescent="0.75">
      <c r="A244" s="19"/>
      <c r="C244" s="28"/>
      <c r="H244" s="8"/>
    </row>
    <row r="245" spans="1:8" ht="27" customHeight="1" x14ac:dyDescent="0.75">
      <c r="A245" s="19"/>
      <c r="C245" s="28"/>
      <c r="H245" s="8"/>
    </row>
    <row r="246" spans="1:8" ht="27" customHeight="1" x14ac:dyDescent="0.75">
      <c r="A246" s="19"/>
      <c r="C246" s="28"/>
      <c r="H246" s="8"/>
    </row>
    <row r="247" spans="1:8" ht="27" customHeight="1" x14ac:dyDescent="0.75">
      <c r="A247" s="19"/>
      <c r="C247" s="28"/>
      <c r="H247" s="8"/>
    </row>
    <row r="248" spans="1:8" ht="27" customHeight="1" x14ac:dyDescent="0.75">
      <c r="A248" s="19"/>
      <c r="C248" s="28"/>
      <c r="H248" s="8"/>
    </row>
    <row r="249" spans="1:8" ht="27" customHeight="1" x14ac:dyDescent="0.75">
      <c r="A249" s="19"/>
      <c r="C249" s="28"/>
      <c r="H249" s="8"/>
    </row>
    <row r="250" spans="1:8" ht="27" customHeight="1" x14ac:dyDescent="0.75">
      <c r="A250" s="19"/>
      <c r="C250" s="28"/>
      <c r="H250" s="8"/>
    </row>
    <row r="251" spans="1:8" ht="27" customHeight="1" x14ac:dyDescent="0.75">
      <c r="A251" s="19"/>
      <c r="C251" s="28"/>
      <c r="H251" s="8"/>
    </row>
    <row r="252" spans="1:8" ht="27" customHeight="1" x14ac:dyDescent="0.75">
      <c r="A252" s="19"/>
      <c r="C252" s="28"/>
      <c r="H252" s="8"/>
    </row>
    <row r="253" spans="1:8" ht="27" customHeight="1" x14ac:dyDescent="0.75">
      <c r="A253" s="19"/>
      <c r="C253" s="28"/>
      <c r="H253" s="8"/>
    </row>
    <row r="254" spans="1:8" ht="27" customHeight="1" x14ac:dyDescent="0.75">
      <c r="A254" s="19"/>
      <c r="C254" s="28"/>
      <c r="H254" s="8"/>
    </row>
    <row r="255" spans="1:8" ht="27" customHeight="1" x14ac:dyDescent="0.75">
      <c r="A255" s="19"/>
      <c r="C255" s="28"/>
      <c r="H255" s="8"/>
    </row>
    <row r="256" spans="1:8" ht="27" customHeight="1" x14ac:dyDescent="0.75">
      <c r="A256" s="19"/>
      <c r="C256" s="28"/>
      <c r="H256" s="8"/>
    </row>
    <row r="257" spans="1:8" ht="27" customHeight="1" x14ac:dyDescent="0.75">
      <c r="A257" s="19"/>
      <c r="C257" s="28"/>
      <c r="H257" s="8"/>
    </row>
    <row r="258" spans="1:8" ht="27" customHeight="1" x14ac:dyDescent="0.75">
      <c r="A258" s="19"/>
      <c r="C258" s="28"/>
      <c r="H258" s="8"/>
    </row>
    <row r="259" spans="1:8" ht="27" customHeight="1" x14ac:dyDescent="0.75">
      <c r="A259" s="19"/>
      <c r="C259" s="28"/>
      <c r="H259" s="8"/>
    </row>
    <row r="260" spans="1:8" ht="27" customHeight="1" x14ac:dyDescent="0.75">
      <c r="A260" s="19"/>
      <c r="C260" s="28"/>
      <c r="H260" s="8"/>
    </row>
    <row r="261" spans="1:8" ht="27" customHeight="1" x14ac:dyDescent="0.75">
      <c r="A261" s="19"/>
      <c r="C261" s="28"/>
      <c r="H261" s="8"/>
    </row>
    <row r="262" spans="1:8" ht="27" customHeight="1" x14ac:dyDescent="0.75">
      <c r="A262" s="19"/>
      <c r="C262" s="28"/>
      <c r="H262" s="8"/>
    </row>
    <row r="263" spans="1:8" ht="27" customHeight="1" x14ac:dyDescent="0.75">
      <c r="A263" s="19"/>
      <c r="C263" s="28"/>
      <c r="H263" s="8"/>
    </row>
    <row r="264" spans="1:8" ht="27" customHeight="1" x14ac:dyDescent="0.75">
      <c r="A264" s="19"/>
      <c r="C264" s="28"/>
      <c r="H264" s="8"/>
    </row>
    <row r="265" spans="1:8" ht="27" customHeight="1" x14ac:dyDescent="0.75">
      <c r="A265" s="19"/>
      <c r="C265" s="28"/>
      <c r="H265" s="8"/>
    </row>
    <row r="266" spans="1:8" ht="27" customHeight="1" x14ac:dyDescent="0.75">
      <c r="A266" s="19"/>
      <c r="C266" s="28"/>
      <c r="H266" s="8"/>
    </row>
    <row r="267" spans="1:8" ht="15.75" customHeight="1" x14ac:dyDescent="0.75"/>
    <row r="268" spans="1:8" ht="15.75" customHeight="1" x14ac:dyDescent="0.75"/>
    <row r="269" spans="1:8" ht="15.75" customHeight="1" x14ac:dyDescent="0.75"/>
    <row r="270" spans="1:8" ht="15.75" customHeight="1" x14ac:dyDescent="0.75"/>
    <row r="271" spans="1:8" ht="15.75" customHeight="1" x14ac:dyDescent="0.75"/>
    <row r="272" spans="1:8"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row r="1018" ht="15.75" customHeight="1" x14ac:dyDescent="0.75"/>
  </sheetData>
  <mergeCells count="1">
    <mergeCell ref="A4:A15"/>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topLeftCell="A12" zoomScale="125" workbookViewId="0">
      <selection activeCell="C30" sqref="C30"/>
    </sheetView>
  </sheetViews>
  <sheetFormatPr defaultColWidth="14.5" defaultRowHeight="15" customHeight="1" x14ac:dyDescent="0.75"/>
  <cols>
    <col min="1" max="1" width="15" customWidth="1"/>
    <col min="2" max="2" width="63.1796875" customWidth="1"/>
    <col min="3" max="3" width="19.5" customWidth="1"/>
    <col min="4" max="4" width="28.81640625" customWidth="1"/>
    <col min="5" max="5" width="15" customWidth="1"/>
    <col min="6" max="6" width="17.81640625" customWidth="1"/>
    <col min="7" max="7" width="8.81640625" customWidth="1"/>
    <col min="8" max="8" width="36" customWidth="1"/>
  </cols>
  <sheetData>
    <row r="1" spans="1:7" ht="26.25" customHeight="1" x14ac:dyDescent="0.75">
      <c r="B1" s="1" t="s">
        <v>546</v>
      </c>
    </row>
    <row r="2" spans="1:7" ht="26.25" customHeight="1" x14ac:dyDescent="0.75">
      <c r="A2" s="295"/>
      <c r="B2" s="1" t="s">
        <v>547</v>
      </c>
    </row>
    <row r="3" spans="1:7" ht="26.25" customHeight="1" x14ac:dyDescent="0.75">
      <c r="A3" s="257"/>
      <c r="B3" s="259" t="s">
        <v>0</v>
      </c>
      <c r="C3" s="260" t="s">
        <v>1</v>
      </c>
      <c r="D3" s="127" t="s">
        <v>518</v>
      </c>
      <c r="E3" s="10"/>
      <c r="F3" s="10"/>
      <c r="G3" s="10"/>
    </row>
    <row r="4" spans="1:7" ht="26.25" customHeight="1" x14ac:dyDescent="0.75">
      <c r="A4" s="257"/>
      <c r="B4" s="259" t="s">
        <v>536</v>
      </c>
      <c r="C4" s="456" t="s">
        <v>540</v>
      </c>
      <c r="D4" s="127" t="s">
        <v>541</v>
      </c>
      <c r="E4" s="10"/>
      <c r="F4" s="10"/>
      <c r="G4" s="10"/>
    </row>
    <row r="5" spans="1:7" ht="26.25" customHeight="1" x14ac:dyDescent="0.75">
      <c r="A5" s="257"/>
      <c r="B5" s="299" t="s">
        <v>224</v>
      </c>
      <c r="C5" s="300">
        <v>233560.61958731618</v>
      </c>
      <c r="E5" s="43"/>
      <c r="F5" s="6"/>
      <c r="G5" s="17"/>
    </row>
    <row r="6" spans="1:7" ht="26.25" customHeight="1" x14ac:dyDescent="0.75">
      <c r="A6" s="297"/>
      <c r="B6" s="301" t="s">
        <v>226</v>
      </c>
      <c r="C6" s="300">
        <v>112627.02326260571</v>
      </c>
      <c r="D6" s="45" t="s">
        <v>543</v>
      </c>
      <c r="E6" s="46"/>
      <c r="F6" s="46"/>
      <c r="G6" s="47"/>
    </row>
    <row r="7" spans="1:7" ht="26.25" customHeight="1" x14ac:dyDescent="0.75">
      <c r="A7" s="297"/>
      <c r="B7" s="301" t="s">
        <v>480</v>
      </c>
      <c r="C7" s="454">
        <v>9.377855947922209E-2</v>
      </c>
      <c r="D7" s="45" t="s">
        <v>544</v>
      </c>
      <c r="E7" s="148"/>
      <c r="F7" s="148"/>
      <c r="G7" s="148"/>
    </row>
    <row r="8" spans="1:7" ht="26.25" customHeight="1" x14ac:dyDescent="0.75">
      <c r="A8" s="257"/>
      <c r="B8" s="301" t="s">
        <v>227</v>
      </c>
      <c r="C8" s="302">
        <f>C6-C5</f>
        <v>-120933.59632471047</v>
      </c>
      <c r="E8" s="48"/>
      <c r="F8" s="49"/>
      <c r="G8" s="49"/>
    </row>
    <row r="9" spans="1:7" ht="26.25" customHeight="1" x14ac:dyDescent="0.75">
      <c r="A9" s="296" t="s">
        <v>8</v>
      </c>
      <c r="B9" s="298" t="s">
        <v>516</v>
      </c>
      <c r="C9" s="298"/>
    </row>
    <row r="10" spans="1:7" ht="37.5" customHeight="1" x14ac:dyDescent="0.75">
      <c r="A10" s="245"/>
      <c r="B10" s="164" t="s">
        <v>0</v>
      </c>
      <c r="C10" s="168" t="s">
        <v>493</v>
      </c>
      <c r="E10" s="284" t="s">
        <v>520</v>
      </c>
      <c r="F10" s="284"/>
      <c r="G10" s="10"/>
    </row>
    <row r="11" spans="1:7" ht="34.5" customHeight="1" x14ac:dyDescent="0.75">
      <c r="A11" s="486" t="s">
        <v>519</v>
      </c>
      <c r="B11" s="171" t="s">
        <v>71</v>
      </c>
      <c r="C11" s="303">
        <v>3.3948189497581154E-2</v>
      </c>
      <c r="D11" s="11"/>
      <c r="E11" s="285"/>
      <c r="F11" s="287"/>
    </row>
    <row r="12" spans="1:7" ht="34.5" customHeight="1" x14ac:dyDescent="0.75">
      <c r="A12" s="487"/>
      <c r="B12" s="171" t="s">
        <v>73</v>
      </c>
      <c r="C12" s="303">
        <v>0.46746941226447436</v>
      </c>
      <c r="D12" s="11"/>
      <c r="E12" s="285"/>
      <c r="F12" s="287"/>
    </row>
    <row r="13" spans="1:7" ht="30.75" customHeight="1" x14ac:dyDescent="0.75">
      <c r="A13" s="487"/>
      <c r="B13" s="171" t="s">
        <v>74</v>
      </c>
      <c r="C13" s="303">
        <v>0</v>
      </c>
      <c r="E13" s="285"/>
      <c r="F13" s="287"/>
    </row>
    <row r="14" spans="1:7" ht="30.75" customHeight="1" x14ac:dyDescent="0.75">
      <c r="A14" s="487"/>
      <c r="B14" s="171" t="s">
        <v>75</v>
      </c>
      <c r="C14" s="303">
        <v>7.7370258910427869E-2</v>
      </c>
      <c r="E14" s="285"/>
      <c r="F14" s="287"/>
    </row>
    <row r="15" spans="1:7" ht="30.75" customHeight="1" x14ac:dyDescent="0.75">
      <c r="A15" s="487"/>
      <c r="B15" s="171" t="s">
        <v>208</v>
      </c>
      <c r="C15" s="303">
        <v>0</v>
      </c>
      <c r="E15" s="285"/>
      <c r="F15" s="287"/>
    </row>
    <row r="16" spans="1:7" ht="27" customHeight="1" x14ac:dyDescent="0.75">
      <c r="A16" s="487"/>
      <c r="B16" s="171" t="s">
        <v>163</v>
      </c>
      <c r="C16" s="303">
        <v>0</v>
      </c>
      <c r="D16" s="11"/>
      <c r="E16" s="285"/>
      <c r="F16" s="287"/>
    </row>
    <row r="17" spans="1:8" ht="26.25" customHeight="1" x14ac:dyDescent="0.75">
      <c r="A17" s="487"/>
      <c r="B17" s="171" t="s">
        <v>209</v>
      </c>
      <c r="C17" s="303">
        <v>0</v>
      </c>
      <c r="D17" s="11"/>
      <c r="E17" s="285"/>
      <c r="F17" s="287"/>
    </row>
    <row r="18" spans="1:8" ht="26.25" customHeight="1" x14ac:dyDescent="0.75">
      <c r="A18" s="487"/>
      <c r="B18" s="171" t="s">
        <v>164</v>
      </c>
      <c r="C18" s="303">
        <v>0.26177327191572408</v>
      </c>
      <c r="E18" s="285"/>
      <c r="F18" s="287"/>
    </row>
    <row r="19" spans="1:8" ht="33" customHeight="1" x14ac:dyDescent="0.75">
      <c r="A19" s="487"/>
      <c r="B19" s="171" t="s">
        <v>109</v>
      </c>
      <c r="C19" s="303">
        <v>4.8058805239994846E-2</v>
      </c>
      <c r="E19" s="285"/>
      <c r="F19" s="287"/>
    </row>
    <row r="20" spans="1:8" ht="20.25" customHeight="1" x14ac:dyDescent="0.75">
      <c r="A20" s="488"/>
      <c r="B20" s="171" t="s">
        <v>210</v>
      </c>
      <c r="C20" s="303">
        <v>0.11138006217179786</v>
      </c>
      <c r="D20" s="114"/>
      <c r="E20" s="285"/>
      <c r="F20" s="287"/>
    </row>
    <row r="21" spans="1:8" ht="20.25" customHeight="1" x14ac:dyDescent="0.75">
      <c r="A21" s="245"/>
      <c r="B21" s="288" t="s">
        <v>211</v>
      </c>
      <c r="C21" s="304">
        <v>1</v>
      </c>
      <c r="D21" s="45" t="s">
        <v>548</v>
      </c>
      <c r="E21" s="305"/>
      <c r="F21" s="287"/>
    </row>
    <row r="22" spans="1:8" ht="20.25" customHeight="1" x14ac:dyDescent="0.75">
      <c r="C22" s="127" t="s">
        <v>518</v>
      </c>
      <c r="H22" s="50"/>
    </row>
    <row r="23" spans="1:8" ht="26.25" customHeight="1" x14ac:dyDescent="0.75">
      <c r="C23" s="51"/>
      <c r="D23" s="50"/>
    </row>
    <row r="24" spans="1:8" ht="15.75" customHeight="1" x14ac:dyDescent="0.75">
      <c r="B24" s="11"/>
      <c r="D24" s="52"/>
    </row>
    <row r="25" spans="1:8" ht="15.75" customHeight="1" x14ac:dyDescent="0.75">
      <c r="B25" s="156" t="s">
        <v>521</v>
      </c>
      <c r="D25" s="52"/>
    </row>
    <row r="26" spans="1:8" ht="15.75" customHeight="1" x14ac:dyDescent="0.75">
      <c r="B26" s="340" t="s">
        <v>168</v>
      </c>
      <c r="C26" s="341" t="s">
        <v>212</v>
      </c>
      <c r="D26" s="342"/>
    </row>
    <row r="27" spans="1:8" ht="15.75" customHeight="1" x14ac:dyDescent="0.75">
      <c r="B27" s="329" t="s">
        <v>30</v>
      </c>
      <c r="C27" s="424">
        <f>C16*C5</f>
        <v>0</v>
      </c>
      <c r="D27" s="344" t="s">
        <v>320</v>
      </c>
    </row>
    <row r="28" spans="1:8" ht="14.25" customHeight="1" x14ac:dyDescent="0.75">
      <c r="B28" s="331" t="s">
        <v>32</v>
      </c>
      <c r="C28" s="425">
        <v>0</v>
      </c>
      <c r="D28" s="346" t="s">
        <v>321</v>
      </c>
    </row>
    <row r="29" spans="1:8" ht="15.75" customHeight="1" x14ac:dyDescent="0.75">
      <c r="B29" s="329" t="s">
        <v>34</v>
      </c>
      <c r="C29" s="424">
        <f>SUM(C18:C19)*C5</f>
        <v>72364.571908514859</v>
      </c>
      <c r="D29" s="344" t="s">
        <v>322</v>
      </c>
    </row>
    <row r="30" spans="1:8" ht="15.75" customHeight="1" x14ac:dyDescent="0.75">
      <c r="B30" s="329" t="s">
        <v>36</v>
      </c>
      <c r="C30" s="424">
        <f>C17*C5</f>
        <v>0</v>
      </c>
      <c r="D30" s="344" t="s">
        <v>323</v>
      </c>
    </row>
    <row r="31" spans="1:8" ht="15.75" customHeight="1" x14ac:dyDescent="0.75">
      <c r="B31" s="331" t="s">
        <v>38</v>
      </c>
      <c r="C31" s="424">
        <f>C11*C5*C21</f>
        <v>7928.9601729226742</v>
      </c>
      <c r="D31" s="348" t="s">
        <v>89</v>
      </c>
    </row>
    <row r="32" spans="1:8" ht="15.75" customHeight="1" x14ac:dyDescent="0.75">
      <c r="B32" s="331" t="s">
        <v>40</v>
      </c>
      <c r="C32" s="424">
        <f>C12*C5*C21</f>
        <v>109182.44556660917</v>
      </c>
      <c r="D32" s="348" t="s">
        <v>90</v>
      </c>
    </row>
    <row r="33" spans="2:6" ht="15.75" customHeight="1" x14ac:dyDescent="0.75">
      <c r="B33" s="331" t="s">
        <v>41</v>
      </c>
      <c r="C33" s="424">
        <f>C13*C5*C21</f>
        <v>0</v>
      </c>
      <c r="D33" s="348" t="s">
        <v>91</v>
      </c>
    </row>
    <row r="34" spans="2:6" ht="15.75" customHeight="1" x14ac:dyDescent="0.75">
      <c r="B34" s="331" t="s">
        <v>42</v>
      </c>
      <c r="C34" s="424">
        <f>C14*C5*C21</f>
        <v>18070.645608750605</v>
      </c>
      <c r="D34" s="348" t="s">
        <v>92</v>
      </c>
    </row>
    <row r="35" spans="2:6" ht="15.75" customHeight="1" x14ac:dyDescent="0.75">
      <c r="B35" s="329" t="s">
        <v>43</v>
      </c>
      <c r="C35" s="424">
        <f>C15*C5</f>
        <v>0</v>
      </c>
      <c r="D35" s="348" t="s">
        <v>93</v>
      </c>
    </row>
    <row r="36" spans="2:6" ht="15.75" customHeight="1" x14ac:dyDescent="0.75">
      <c r="B36" s="329" t="s">
        <v>45</v>
      </c>
      <c r="C36" s="426">
        <v>0</v>
      </c>
      <c r="D36" s="348" t="s">
        <v>324</v>
      </c>
    </row>
    <row r="37" spans="2:6" ht="15.75" customHeight="1" x14ac:dyDescent="0.75">
      <c r="B37" s="329" t="s">
        <v>47</v>
      </c>
      <c r="C37" s="426">
        <v>0</v>
      </c>
      <c r="D37" s="348" t="s">
        <v>324</v>
      </c>
    </row>
    <row r="38" spans="2:6" ht="15.75" customHeight="1" x14ac:dyDescent="0.75">
      <c r="B38" s="329" t="s">
        <v>48</v>
      </c>
      <c r="C38" s="424">
        <v>0</v>
      </c>
      <c r="D38" s="348" t="s">
        <v>325</v>
      </c>
    </row>
    <row r="39" spans="2:6" ht="15.75" customHeight="1" x14ac:dyDescent="0.75">
      <c r="B39" s="329" t="s">
        <v>50</v>
      </c>
      <c r="C39" s="424">
        <v>0</v>
      </c>
      <c r="D39" s="348" t="s">
        <v>326</v>
      </c>
    </row>
    <row r="40" spans="2:6" ht="15.75" customHeight="1" x14ac:dyDescent="0.75">
      <c r="B40" s="329" t="s">
        <v>52</v>
      </c>
      <c r="C40" s="424">
        <v>0</v>
      </c>
      <c r="D40" s="348" t="s">
        <v>327</v>
      </c>
    </row>
    <row r="41" spans="2:6" ht="15.75" customHeight="1" x14ac:dyDescent="0.75">
      <c r="B41" s="329" t="s">
        <v>54</v>
      </c>
      <c r="C41" s="424">
        <v>0</v>
      </c>
      <c r="D41" s="348" t="s">
        <v>325</v>
      </c>
    </row>
    <row r="42" spans="2:6" ht="15.75" customHeight="1" x14ac:dyDescent="0.75">
      <c r="B42" s="329" t="s">
        <v>328</v>
      </c>
      <c r="C42" s="424">
        <f>C7*C6</f>
        <v>10562</v>
      </c>
      <c r="D42" s="351" t="s">
        <v>545</v>
      </c>
    </row>
    <row r="43" spans="2:6" ht="15.75" customHeight="1" x14ac:dyDescent="0.75">
      <c r="B43" s="329" t="s">
        <v>57</v>
      </c>
      <c r="C43" s="424">
        <f>IF(C8-C42&gt;0,C8-C42,0)</f>
        <v>0</v>
      </c>
      <c r="D43" s="351" t="s">
        <v>329</v>
      </c>
    </row>
    <row r="44" spans="2:6" ht="15.75" customHeight="1" x14ac:dyDescent="0.75">
      <c r="B44" s="333" t="s">
        <v>59</v>
      </c>
      <c r="C44" s="424">
        <f>C20*C5 + C5*SUM(C11:C14)*(1-C21)</f>
        <v>26013.996330518905</v>
      </c>
      <c r="D44" s="352" t="s">
        <v>178</v>
      </c>
    </row>
    <row r="45" spans="2:6" ht="15.75" customHeight="1" x14ac:dyDescent="0.75">
      <c r="B45" s="329" t="s">
        <v>61</v>
      </c>
      <c r="C45" s="424">
        <f>SUM(C27:C44)</f>
        <v>244122.61958731621</v>
      </c>
      <c r="D45" s="351" t="s">
        <v>179</v>
      </c>
      <c r="F45" s="100">
        <f>C45-C5</f>
        <v>10562.000000000029</v>
      </c>
    </row>
    <row r="46" spans="2:6" ht="15.75" customHeight="1" x14ac:dyDescent="0.75">
      <c r="B46" s="329" t="s">
        <v>63</v>
      </c>
      <c r="C46" s="424">
        <f>C6</f>
        <v>112627.02326260571</v>
      </c>
      <c r="D46" s="351" t="s">
        <v>180</v>
      </c>
    </row>
    <row r="47" spans="2:6" ht="15.75" customHeight="1" x14ac:dyDescent="0.75">
      <c r="B47" s="329" t="s">
        <v>222</v>
      </c>
      <c r="C47" s="426">
        <f>MAX(0,(C45-C46))</f>
        <v>131495.5963247105</v>
      </c>
      <c r="D47" s="342"/>
    </row>
    <row r="48" spans="2:6" ht="15.75" customHeight="1" x14ac:dyDescent="0.75"/>
    <row r="49" spans="2:8" ht="15.75" customHeight="1" x14ac:dyDescent="0.75">
      <c r="B49" s="62" t="s">
        <v>223</v>
      </c>
      <c r="C49" s="22">
        <f>C47/C45</f>
        <v>0.53864568775724608</v>
      </c>
    </row>
    <row r="50" spans="2:8" ht="15.75" customHeight="1" x14ac:dyDescent="0.75">
      <c r="B50" s="62"/>
      <c r="C50" s="22"/>
    </row>
    <row r="51" spans="2:8" ht="15.75" customHeight="1" x14ac:dyDescent="0.75">
      <c r="B51" s="62"/>
      <c r="C51" s="22"/>
    </row>
    <row r="52" spans="2:8" ht="15.75" customHeight="1" x14ac:dyDescent="0.75">
      <c r="B52" s="62"/>
      <c r="C52" s="22"/>
    </row>
    <row r="53" spans="2:8" ht="15.75" customHeight="1" x14ac:dyDescent="0.75">
      <c r="B53" s="62"/>
      <c r="C53" s="22"/>
    </row>
    <row r="54" spans="2:8" ht="15.75" customHeight="1" x14ac:dyDescent="0.75">
      <c r="B54" s="144" t="s">
        <v>0</v>
      </c>
      <c r="C54" s="145" t="s">
        <v>1</v>
      </c>
      <c r="D54" s="147" t="s">
        <v>2</v>
      </c>
    </row>
    <row r="55" spans="2:8" ht="15.75" customHeight="1" x14ac:dyDescent="0.75">
      <c r="B55" s="457" t="str">
        <f>C4</f>
        <v>Park Name Here</v>
      </c>
      <c r="C55" s="316">
        <v>999998</v>
      </c>
      <c r="D55" s="186" t="s">
        <v>537</v>
      </c>
      <c r="E55" s="42" t="s">
        <v>538</v>
      </c>
    </row>
    <row r="56" spans="2:8" ht="15.75" customHeight="1" x14ac:dyDescent="0.75"/>
    <row r="57" spans="2:8" s="115" customFormat="1" ht="15.75" customHeight="1" x14ac:dyDescent="0.75">
      <c r="B57" s="138"/>
      <c r="C57" s="139"/>
      <c r="D57" s="102"/>
      <c r="E57" s="102"/>
      <c r="F57" s="102"/>
      <c r="G57" s="102"/>
    </row>
    <row r="58" spans="2:8" ht="15.75" customHeight="1" x14ac:dyDescent="0.75">
      <c r="B58" s="144" t="s">
        <v>0</v>
      </c>
      <c r="C58" s="145" t="s">
        <v>1</v>
      </c>
      <c r="D58" s="146" t="s">
        <v>2</v>
      </c>
      <c r="E58" s="146" t="s">
        <v>3</v>
      </c>
      <c r="F58" s="146" t="s">
        <v>4</v>
      </c>
      <c r="G58" s="147" t="s">
        <v>5</v>
      </c>
    </row>
    <row r="59" spans="2:8" ht="15.75" customHeight="1" x14ac:dyDescent="0.75">
      <c r="B59" s="315" t="s">
        <v>226</v>
      </c>
      <c r="C59" s="316">
        <f>C6</f>
        <v>112627.02326260571</v>
      </c>
      <c r="D59" s="185" t="s">
        <v>479</v>
      </c>
      <c r="E59" s="317">
        <v>0</v>
      </c>
      <c r="F59" s="185">
        <v>100000000</v>
      </c>
      <c r="G59" s="186">
        <v>1</v>
      </c>
    </row>
    <row r="60" spans="2:8" ht="15.75" customHeight="1" x14ac:dyDescent="0.75">
      <c r="B60" s="315" t="s">
        <v>224</v>
      </c>
      <c r="C60" s="316">
        <f>C5</f>
        <v>233560.61958731618</v>
      </c>
      <c r="D60" s="185" t="s">
        <v>225</v>
      </c>
      <c r="E60" s="317">
        <v>0</v>
      </c>
      <c r="F60" s="185">
        <v>100000000</v>
      </c>
      <c r="G60" s="186">
        <v>1</v>
      </c>
      <c r="H60" s="45"/>
    </row>
    <row r="61" spans="2:8" ht="15.75" customHeight="1" x14ac:dyDescent="0.75">
      <c r="B61" s="140" t="s">
        <v>227</v>
      </c>
      <c r="C61" s="141">
        <f>C59-C60</f>
        <v>-120933.59632471047</v>
      </c>
      <c r="D61" s="142"/>
      <c r="E61" s="143"/>
      <c r="F61" s="142"/>
      <c r="G61" s="142">
        <v>1</v>
      </c>
    </row>
    <row r="62" spans="2:8" ht="26.25" customHeight="1" x14ac:dyDescent="0.75">
      <c r="B62" s="15"/>
      <c r="C62" s="15"/>
    </row>
    <row r="63" spans="2:8" ht="26.25" customHeight="1" x14ac:dyDescent="0.75">
      <c r="B63" s="33" t="s">
        <v>0</v>
      </c>
      <c r="C63" s="34" t="s">
        <v>1</v>
      </c>
      <c r="D63" s="35" t="s">
        <v>2</v>
      </c>
      <c r="E63" s="35" t="s">
        <v>3</v>
      </c>
      <c r="F63" s="35" t="s">
        <v>4</v>
      </c>
      <c r="G63" s="35" t="s">
        <v>5</v>
      </c>
    </row>
    <row r="64" spans="2:8" ht="26.25" customHeight="1" x14ac:dyDescent="0.75">
      <c r="B64" s="198" t="s">
        <v>71</v>
      </c>
      <c r="C64" s="318">
        <f t="shared" ref="C64:C69" si="0">C11*100</f>
        <v>3.3948189497581152</v>
      </c>
      <c r="D64" s="181" t="s">
        <v>366</v>
      </c>
      <c r="E64" s="181">
        <v>0</v>
      </c>
      <c r="F64" s="181">
        <v>10000000</v>
      </c>
      <c r="G64" s="181">
        <v>1</v>
      </c>
      <c r="H64" s="11"/>
    </row>
    <row r="65" spans="2:8" ht="26.25" customHeight="1" x14ac:dyDescent="0.75">
      <c r="B65" s="198" t="s">
        <v>73</v>
      </c>
      <c r="C65" s="318">
        <f t="shared" si="0"/>
        <v>46.746941226447433</v>
      </c>
      <c r="D65" s="181" t="s">
        <v>367</v>
      </c>
      <c r="E65" s="181">
        <v>0</v>
      </c>
      <c r="F65" s="181">
        <v>10000000</v>
      </c>
      <c r="G65" s="181">
        <v>1</v>
      </c>
      <c r="H65" s="11"/>
    </row>
    <row r="66" spans="2:8" ht="26.25" customHeight="1" x14ac:dyDescent="0.75">
      <c r="B66" s="198" t="s">
        <v>74</v>
      </c>
      <c r="C66" s="318">
        <f t="shared" si="0"/>
        <v>0</v>
      </c>
      <c r="D66" s="181" t="s">
        <v>368</v>
      </c>
      <c r="E66" s="181">
        <v>0</v>
      </c>
      <c r="F66" s="181">
        <v>10000000</v>
      </c>
      <c r="G66" s="181">
        <v>1</v>
      </c>
      <c r="H66" s="11"/>
    </row>
    <row r="67" spans="2:8" ht="26.25" customHeight="1" x14ac:dyDescent="0.75">
      <c r="B67" s="198" t="s">
        <v>75</v>
      </c>
      <c r="C67" s="318">
        <f t="shared" si="0"/>
        <v>7.7370258910427872</v>
      </c>
      <c r="D67" s="181" t="s">
        <v>369</v>
      </c>
      <c r="E67" s="181">
        <v>0</v>
      </c>
      <c r="F67" s="181">
        <v>10000000</v>
      </c>
      <c r="G67" s="181">
        <v>1</v>
      </c>
      <c r="H67" s="11"/>
    </row>
    <row r="68" spans="2:8" ht="26.25" customHeight="1" x14ac:dyDescent="0.75">
      <c r="B68" s="313" t="s">
        <v>208</v>
      </c>
      <c r="C68" s="318">
        <f t="shared" si="0"/>
        <v>0</v>
      </c>
      <c r="D68" s="181" t="s">
        <v>228</v>
      </c>
      <c r="E68" s="181">
        <v>0</v>
      </c>
      <c r="F68" s="181">
        <v>10000000</v>
      </c>
      <c r="G68" s="181">
        <v>1</v>
      </c>
    </row>
    <row r="69" spans="2:8" ht="26.25" customHeight="1" x14ac:dyDescent="0.75">
      <c r="B69" s="313" t="s">
        <v>163</v>
      </c>
      <c r="C69" s="318">
        <f t="shared" si="0"/>
        <v>0</v>
      </c>
      <c r="D69" s="181" t="s">
        <v>229</v>
      </c>
      <c r="E69" s="181">
        <v>0</v>
      </c>
      <c r="F69" s="181">
        <v>10000000</v>
      </c>
      <c r="G69" s="181">
        <v>1</v>
      </c>
      <c r="H69" s="11"/>
    </row>
    <row r="70" spans="2:8" ht="26.25" customHeight="1" x14ac:dyDescent="0.75">
      <c r="B70" s="198" t="s">
        <v>496</v>
      </c>
      <c r="C70" s="319">
        <v>0</v>
      </c>
      <c r="D70" s="181" t="s">
        <v>370</v>
      </c>
      <c r="E70" s="181">
        <v>0</v>
      </c>
      <c r="F70" s="181">
        <v>10000000</v>
      </c>
      <c r="G70" s="181">
        <v>1</v>
      </c>
      <c r="H70" s="11"/>
    </row>
    <row r="71" spans="2:8" ht="26.25" customHeight="1" x14ac:dyDescent="0.75">
      <c r="B71" s="313" t="s">
        <v>209</v>
      </c>
      <c r="C71" s="318">
        <f>C17*100</f>
        <v>0</v>
      </c>
      <c r="D71" s="181" t="s">
        <v>230</v>
      </c>
      <c r="E71" s="181">
        <v>0</v>
      </c>
      <c r="F71" s="181">
        <v>10000000</v>
      </c>
      <c r="G71" s="181">
        <v>1</v>
      </c>
      <c r="H71" s="11"/>
    </row>
    <row r="72" spans="2:8" ht="26.25" customHeight="1" x14ac:dyDescent="0.75">
      <c r="B72" s="313" t="s">
        <v>164</v>
      </c>
      <c r="C72" s="318">
        <f>C18*100</f>
        <v>26.17732719157241</v>
      </c>
      <c r="D72" s="181" t="s">
        <v>231</v>
      </c>
      <c r="E72" s="181">
        <v>0</v>
      </c>
      <c r="F72" s="181">
        <v>10000000</v>
      </c>
      <c r="G72" s="181">
        <v>1</v>
      </c>
    </row>
    <row r="73" spans="2:8" ht="26.25" customHeight="1" x14ac:dyDescent="0.75">
      <c r="B73" s="313" t="s">
        <v>109</v>
      </c>
      <c r="C73" s="318">
        <f>C19*100</f>
        <v>4.8058805239994848</v>
      </c>
      <c r="D73" s="181" t="s">
        <v>232</v>
      </c>
      <c r="E73" s="181">
        <v>0</v>
      </c>
      <c r="F73" s="181">
        <v>10000000</v>
      </c>
      <c r="G73" s="181">
        <v>1</v>
      </c>
    </row>
    <row r="74" spans="2:8" ht="26.25" customHeight="1" x14ac:dyDescent="0.75">
      <c r="B74" s="313" t="s">
        <v>527</v>
      </c>
      <c r="C74" s="320">
        <f>C42</f>
        <v>10562</v>
      </c>
      <c r="D74" s="181" t="s">
        <v>379</v>
      </c>
      <c r="E74" s="181">
        <v>0</v>
      </c>
      <c r="F74" s="181">
        <v>10000000</v>
      </c>
      <c r="G74" s="181">
        <v>1</v>
      </c>
      <c r="H74" s="45"/>
    </row>
    <row r="75" spans="2:8" ht="26.25" customHeight="1" x14ac:dyDescent="0.75">
      <c r="B75" s="313" t="s">
        <v>210</v>
      </c>
      <c r="C75" s="318">
        <f>C20*100</f>
        <v>11.138006217179786</v>
      </c>
      <c r="D75" s="181" t="s">
        <v>233</v>
      </c>
      <c r="E75" s="181">
        <v>0</v>
      </c>
      <c r="F75" s="181">
        <v>10000000</v>
      </c>
      <c r="G75" s="181">
        <v>1</v>
      </c>
    </row>
    <row r="76" spans="2:8" ht="26.25" customHeight="1" x14ac:dyDescent="0.75">
      <c r="B76" s="321" t="s">
        <v>382</v>
      </c>
      <c r="C76" s="322">
        <f>C21*100</f>
        <v>100</v>
      </c>
      <c r="D76" s="323" t="s">
        <v>234</v>
      </c>
      <c r="E76" s="323">
        <v>0</v>
      </c>
      <c r="F76" s="323">
        <v>10000000</v>
      </c>
      <c r="G76" s="323">
        <v>1</v>
      </c>
      <c r="H76" s="45"/>
    </row>
    <row r="77" spans="2:8" ht="26.25" customHeight="1" x14ac:dyDescent="0.75">
      <c r="C77" s="100"/>
    </row>
    <row r="78" spans="2:8" ht="26.25" customHeight="1" x14ac:dyDescent="0.75">
      <c r="C78" s="100">
        <f>SUM(C64:C73)+C75</f>
        <v>100.00000000000003</v>
      </c>
      <c r="D78" s="100"/>
    </row>
    <row r="79" spans="2:8" ht="26.25" customHeight="1" x14ac:dyDescent="0.75"/>
    <row r="80" spans="2:8"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26.25" customHeight="1" x14ac:dyDescent="0.75"/>
    <row r="272" ht="26.25" customHeight="1" x14ac:dyDescent="0.75"/>
    <row r="273" ht="26.25" customHeight="1" x14ac:dyDescent="0.75"/>
    <row r="274" ht="26.25" customHeight="1" x14ac:dyDescent="0.75"/>
    <row r="275" ht="26.25" customHeight="1" x14ac:dyDescent="0.75"/>
    <row r="276" ht="26.2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row r="1017" ht="15.75" customHeight="1" x14ac:dyDescent="0.75"/>
  </sheetData>
  <mergeCells count="1">
    <mergeCell ref="A11:A20"/>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B9" zoomScale="122" workbookViewId="0">
      <selection activeCell="C18" sqref="C18"/>
    </sheetView>
  </sheetViews>
  <sheetFormatPr defaultColWidth="14.5" defaultRowHeight="15" customHeight="1" x14ac:dyDescent="0.75"/>
  <cols>
    <col min="1" max="1" width="9.81640625" customWidth="1"/>
    <col min="2" max="2" width="72.31640625" customWidth="1"/>
    <col min="3" max="3" width="23.5" customWidth="1"/>
    <col min="4" max="4" width="28.81640625" customWidth="1"/>
    <col min="5" max="5" width="12" customWidth="1"/>
    <col min="6" max="6" width="14.1796875" customWidth="1"/>
    <col min="7" max="7" width="8.81640625" customWidth="1"/>
    <col min="8" max="8" width="36" customWidth="1"/>
  </cols>
  <sheetData>
    <row r="1" spans="1:7" ht="26.25" customHeight="1" x14ac:dyDescent="0.75">
      <c r="B1" s="1" t="s">
        <v>205</v>
      </c>
    </row>
    <row r="2" spans="1:7" ht="26.25" customHeight="1" x14ac:dyDescent="0.75">
      <c r="A2" s="5"/>
      <c r="B2" s="1" t="s">
        <v>206</v>
      </c>
    </row>
    <row r="3" spans="1:7" ht="26.25" customHeight="1" x14ac:dyDescent="0.75">
      <c r="B3" s="164" t="s">
        <v>0</v>
      </c>
      <c r="C3" s="168" t="s">
        <v>1</v>
      </c>
      <c r="E3" s="10"/>
      <c r="F3" s="10"/>
      <c r="G3" s="10"/>
    </row>
    <row r="4" spans="1:7" ht="26.25" customHeight="1" x14ac:dyDescent="0.75">
      <c r="A4" s="163"/>
      <c r="B4" s="282" t="s">
        <v>207</v>
      </c>
      <c r="C4" s="283">
        <f>NatParkPA!C42</f>
        <v>10562</v>
      </c>
      <c r="D4" s="127" t="s">
        <v>515</v>
      </c>
      <c r="E4" s="43"/>
      <c r="F4" s="6"/>
      <c r="G4" s="17"/>
    </row>
    <row r="5" spans="1:7" ht="26.25" customHeight="1" x14ac:dyDescent="0.75">
      <c r="A5" s="5"/>
      <c r="B5" s="44"/>
      <c r="C5" s="41"/>
      <c r="D5" s="45"/>
      <c r="E5" s="46"/>
      <c r="F5" s="46"/>
      <c r="G5" s="47"/>
    </row>
    <row r="6" spans="1:7" ht="26.25" customHeight="1" x14ac:dyDescent="0.75">
      <c r="B6" s="44"/>
      <c r="C6" s="41"/>
      <c r="E6" s="48"/>
      <c r="F6" s="49"/>
      <c r="G6" s="49"/>
    </row>
    <row r="7" spans="1:7" ht="34" customHeight="1" x14ac:dyDescent="0.75">
      <c r="A7" s="5" t="s">
        <v>8</v>
      </c>
      <c r="B7" s="15" t="s">
        <v>516</v>
      </c>
      <c r="C7" s="294" t="s">
        <v>517</v>
      </c>
    </row>
    <row r="8" spans="1:7" ht="37.5" customHeight="1" x14ac:dyDescent="0.75">
      <c r="A8" s="245"/>
      <c r="B8" s="164" t="s">
        <v>0</v>
      </c>
      <c r="C8" s="168" t="s">
        <v>1</v>
      </c>
      <c r="D8" s="163"/>
      <c r="E8" s="10"/>
      <c r="F8" s="284" t="s">
        <v>512</v>
      </c>
      <c r="G8" s="284"/>
    </row>
    <row r="9" spans="1:7" ht="34.5" customHeight="1" x14ac:dyDescent="0.75">
      <c r="A9" s="486" t="s">
        <v>513</v>
      </c>
      <c r="B9" s="171" t="s">
        <v>483</v>
      </c>
      <c r="C9" s="211">
        <v>0</v>
      </c>
      <c r="D9" s="11"/>
      <c r="F9" s="285">
        <v>62254.150565008706</v>
      </c>
      <c r="G9" s="286">
        <f>F9/SUM($F$9:$F$17)</f>
        <v>7.3913043478260859E-2</v>
      </c>
    </row>
    <row r="10" spans="1:7" ht="34.5" customHeight="1" x14ac:dyDescent="0.75">
      <c r="A10" s="487"/>
      <c r="B10" s="171" t="s">
        <v>484</v>
      </c>
      <c r="C10" s="211">
        <v>0.11</v>
      </c>
      <c r="D10" s="489"/>
      <c r="F10" s="285">
        <v>29296.070854121743</v>
      </c>
      <c r="G10" s="286">
        <f t="shared" ref="G10:G18" si="0">F10/SUM($F$9:$F$17)</f>
        <v>3.4782608695652167E-2</v>
      </c>
    </row>
    <row r="11" spans="1:7" ht="30.75" customHeight="1" x14ac:dyDescent="0.75">
      <c r="A11" s="487"/>
      <c r="B11" s="171" t="s">
        <v>485</v>
      </c>
      <c r="C11" s="211">
        <v>0</v>
      </c>
      <c r="D11" s="490"/>
      <c r="F11" s="285">
        <v>274650.66425739136</v>
      </c>
      <c r="G11" s="286">
        <f t="shared" si="0"/>
        <v>0.32608695652173914</v>
      </c>
    </row>
    <row r="12" spans="1:7" ht="30.75" customHeight="1" x14ac:dyDescent="0.75">
      <c r="A12" s="487"/>
      <c r="B12" s="171" t="s">
        <v>486</v>
      </c>
      <c r="C12" s="211">
        <v>0.01</v>
      </c>
      <c r="D12" s="490"/>
      <c r="F12" s="285">
        <v>0</v>
      </c>
      <c r="G12" s="286">
        <f t="shared" si="0"/>
        <v>0</v>
      </c>
    </row>
    <row r="13" spans="1:7" ht="30.75" customHeight="1" x14ac:dyDescent="0.75">
      <c r="A13" s="487"/>
      <c r="B13" s="171" t="s">
        <v>487</v>
      </c>
      <c r="C13" s="211">
        <v>0</v>
      </c>
      <c r="D13" s="490"/>
      <c r="F13" s="285">
        <v>0</v>
      </c>
      <c r="G13" s="286">
        <f t="shared" si="0"/>
        <v>0</v>
      </c>
    </row>
    <row r="14" spans="1:7" ht="27" customHeight="1" x14ac:dyDescent="0.75">
      <c r="A14" s="487"/>
      <c r="B14" s="171" t="s">
        <v>488</v>
      </c>
      <c r="C14" s="211">
        <v>0</v>
      </c>
      <c r="D14" s="11"/>
      <c r="F14" s="285">
        <v>91550.221419130437</v>
      </c>
      <c r="G14" s="286">
        <f t="shared" si="0"/>
        <v>0.10869565217391303</v>
      </c>
    </row>
    <row r="15" spans="1:7" ht="26.25" customHeight="1" x14ac:dyDescent="0.75">
      <c r="A15" s="487"/>
      <c r="B15" s="171" t="s">
        <v>489</v>
      </c>
      <c r="C15" s="211">
        <v>0</v>
      </c>
      <c r="D15" s="489"/>
      <c r="F15" s="285">
        <v>0</v>
      </c>
      <c r="G15" s="286">
        <f t="shared" si="0"/>
        <v>0</v>
      </c>
    </row>
    <row r="16" spans="1:7" ht="26.25" customHeight="1" x14ac:dyDescent="0.75">
      <c r="A16" s="487"/>
      <c r="B16" s="171" t="s">
        <v>490</v>
      </c>
      <c r="C16" s="211">
        <v>0</v>
      </c>
      <c r="D16" s="490"/>
      <c r="F16" s="285">
        <v>36620.088567652172</v>
      </c>
      <c r="G16" s="286">
        <f t="shared" si="0"/>
        <v>4.3478260869565202E-2</v>
      </c>
    </row>
    <row r="17" spans="1:8" ht="33" customHeight="1" x14ac:dyDescent="0.75">
      <c r="A17" s="487"/>
      <c r="B17" s="171" t="s">
        <v>491</v>
      </c>
      <c r="C17" s="211">
        <v>0.05</v>
      </c>
      <c r="D17" s="490"/>
      <c r="F17" s="285">
        <v>347890.84139269573</v>
      </c>
      <c r="G17" s="286">
        <f t="shared" si="0"/>
        <v>0.41304347826086957</v>
      </c>
    </row>
    <row r="18" spans="1:8" ht="20.25" customHeight="1" x14ac:dyDescent="0.75">
      <c r="A18" s="488"/>
      <c r="B18" s="171" t="s">
        <v>492</v>
      </c>
      <c r="C18" s="211">
        <v>0.83</v>
      </c>
      <c r="D18" s="490"/>
      <c r="F18" s="285">
        <v>0</v>
      </c>
      <c r="G18" s="286">
        <f t="shared" si="0"/>
        <v>0</v>
      </c>
    </row>
    <row r="19" spans="1:8" ht="20.25" customHeight="1" x14ac:dyDescent="0.75">
      <c r="A19" s="245"/>
      <c r="B19" s="288" t="s">
        <v>211</v>
      </c>
      <c r="C19" s="289">
        <v>1</v>
      </c>
      <c r="D19" s="45"/>
    </row>
    <row r="20" spans="1:8" ht="20.25" customHeight="1" x14ac:dyDescent="0.75">
      <c r="C20" s="127" t="s">
        <v>518</v>
      </c>
      <c r="H20" s="50"/>
    </row>
    <row r="21" spans="1:8" ht="26.25" customHeight="1" x14ac:dyDescent="0.75">
      <c r="B21" s="293" t="s">
        <v>514</v>
      </c>
      <c r="C21" s="290">
        <f>SUM(C9:C18)</f>
        <v>1</v>
      </c>
      <c r="D21" s="50"/>
    </row>
    <row r="22" spans="1:8" ht="15.75" customHeight="1" x14ac:dyDescent="0.75">
      <c r="B22" s="11"/>
      <c r="D22" s="52"/>
    </row>
    <row r="23" spans="1:8" ht="15.75" customHeight="1" x14ac:dyDescent="0.75">
      <c r="B23" s="156" t="s">
        <v>521</v>
      </c>
      <c r="D23" s="52"/>
    </row>
    <row r="24" spans="1:8" ht="15.75" customHeight="1" x14ac:dyDescent="0.75">
      <c r="B24" s="340" t="s">
        <v>168</v>
      </c>
      <c r="C24" s="341" t="s">
        <v>212</v>
      </c>
      <c r="D24" s="342"/>
    </row>
    <row r="25" spans="1:8" ht="15.75" customHeight="1" x14ac:dyDescent="0.75">
      <c r="B25" s="329" t="s">
        <v>30</v>
      </c>
      <c r="C25" s="343">
        <f>C14*C4</f>
        <v>0</v>
      </c>
      <c r="D25" s="344" t="s">
        <v>213</v>
      </c>
    </row>
    <row r="26" spans="1:8" ht="14.25" customHeight="1" x14ac:dyDescent="0.75">
      <c r="B26" s="331" t="s">
        <v>32</v>
      </c>
      <c r="C26" s="345">
        <v>0</v>
      </c>
      <c r="D26" s="346" t="s">
        <v>214</v>
      </c>
    </row>
    <row r="27" spans="1:8" ht="15.75" customHeight="1" x14ac:dyDescent="0.75">
      <c r="B27" s="329" t="s">
        <v>34</v>
      </c>
      <c r="C27" s="343">
        <f>SUM(C16:C17)*C4</f>
        <v>528.1</v>
      </c>
      <c r="D27" s="344" t="s">
        <v>215</v>
      </c>
    </row>
    <row r="28" spans="1:8" ht="15.75" customHeight="1" x14ac:dyDescent="0.75">
      <c r="B28" s="329" t="s">
        <v>36</v>
      </c>
      <c r="C28" s="343">
        <f>C15*C4</f>
        <v>0</v>
      </c>
      <c r="D28" s="344" t="s">
        <v>216</v>
      </c>
    </row>
    <row r="29" spans="1:8" ht="15.75" customHeight="1" x14ac:dyDescent="0.75">
      <c r="B29" s="331" t="s">
        <v>38</v>
      </c>
      <c r="C29" s="347">
        <f>C9*C4</f>
        <v>0</v>
      </c>
      <c r="D29" s="348" t="s">
        <v>89</v>
      </c>
    </row>
    <row r="30" spans="1:8" ht="15.75" customHeight="1" x14ac:dyDescent="0.75">
      <c r="B30" s="331" t="s">
        <v>40</v>
      </c>
      <c r="C30" s="347">
        <f>C10*C4</f>
        <v>1161.82</v>
      </c>
      <c r="D30" s="348" t="s">
        <v>90</v>
      </c>
    </row>
    <row r="31" spans="1:8" ht="15.75" customHeight="1" x14ac:dyDescent="0.75">
      <c r="B31" s="331" t="s">
        <v>41</v>
      </c>
      <c r="C31" s="347">
        <f>C11*C4</f>
        <v>0</v>
      </c>
      <c r="D31" s="348" t="s">
        <v>91</v>
      </c>
    </row>
    <row r="32" spans="1:8" ht="15.75" customHeight="1" x14ac:dyDescent="0.75">
      <c r="B32" s="331" t="s">
        <v>42</v>
      </c>
      <c r="C32" s="347">
        <f>C12*C4</f>
        <v>105.62</v>
      </c>
      <c r="D32" s="348" t="s">
        <v>92</v>
      </c>
    </row>
    <row r="33" spans="2:5" ht="15.75" customHeight="1" x14ac:dyDescent="0.75">
      <c r="B33" s="329" t="s">
        <v>43</v>
      </c>
      <c r="C33" s="343">
        <f>C13*C4</f>
        <v>0</v>
      </c>
      <c r="D33" s="348" t="s">
        <v>93</v>
      </c>
    </row>
    <row r="34" spans="2:5" ht="15.75" customHeight="1" x14ac:dyDescent="0.75">
      <c r="B34" s="329" t="s">
        <v>45</v>
      </c>
      <c r="C34" s="349">
        <v>0</v>
      </c>
      <c r="D34" s="348" t="s">
        <v>217</v>
      </c>
    </row>
    <row r="35" spans="2:5" ht="15.75" customHeight="1" x14ac:dyDescent="0.75">
      <c r="B35" s="329" t="s">
        <v>47</v>
      </c>
      <c r="C35" s="349">
        <v>0</v>
      </c>
      <c r="D35" s="348" t="s">
        <v>217</v>
      </c>
    </row>
    <row r="36" spans="2:5" ht="15.75" customHeight="1" x14ac:dyDescent="0.75">
      <c r="B36" s="329" t="s">
        <v>48</v>
      </c>
      <c r="C36" s="350">
        <v>0</v>
      </c>
      <c r="D36" s="348" t="s">
        <v>218</v>
      </c>
    </row>
    <row r="37" spans="2:5" ht="15.75" customHeight="1" x14ac:dyDescent="0.75">
      <c r="B37" s="329" t="s">
        <v>50</v>
      </c>
      <c r="C37" s="350">
        <v>0</v>
      </c>
      <c r="D37" s="348" t="s">
        <v>219</v>
      </c>
    </row>
    <row r="38" spans="2:5" ht="15.75" customHeight="1" x14ac:dyDescent="0.75">
      <c r="B38" s="329" t="s">
        <v>52</v>
      </c>
      <c r="C38" s="350">
        <v>0</v>
      </c>
      <c r="D38" s="348" t="s">
        <v>220</v>
      </c>
    </row>
    <row r="39" spans="2:5" ht="15.75" customHeight="1" x14ac:dyDescent="0.75">
      <c r="B39" s="329" t="s">
        <v>54</v>
      </c>
      <c r="C39" s="350">
        <v>0</v>
      </c>
      <c r="D39" s="348" t="s">
        <v>218</v>
      </c>
    </row>
    <row r="40" spans="2:5" ht="15.75" customHeight="1" x14ac:dyDescent="0.75">
      <c r="B40" s="329" t="s">
        <v>55</v>
      </c>
      <c r="C40" s="343">
        <v>0</v>
      </c>
      <c r="D40" s="351"/>
    </row>
    <row r="41" spans="2:5" ht="15.75" customHeight="1" x14ac:dyDescent="0.75">
      <c r="B41" s="329" t="s">
        <v>57</v>
      </c>
      <c r="C41" s="343">
        <f>IF(C6&gt;0,C6,0)*C4</f>
        <v>0</v>
      </c>
      <c r="D41" s="351" t="s">
        <v>221</v>
      </c>
    </row>
    <row r="42" spans="2:5" ht="15.75" customHeight="1" x14ac:dyDescent="0.75">
      <c r="B42" s="333" t="s">
        <v>59</v>
      </c>
      <c r="C42" s="343">
        <f>C18</f>
        <v>0.83</v>
      </c>
      <c r="D42" s="352" t="s">
        <v>178</v>
      </c>
    </row>
    <row r="43" spans="2:5" ht="15.75" customHeight="1" x14ac:dyDescent="0.75">
      <c r="B43" s="329" t="s">
        <v>61</v>
      </c>
      <c r="C43" s="343">
        <f>SUM(C25:C42)</f>
        <v>1796.37</v>
      </c>
      <c r="D43" s="351" t="s">
        <v>179</v>
      </c>
      <c r="E43" s="53">
        <f>C4-C45</f>
        <v>8765.630000000001</v>
      </c>
    </row>
    <row r="44" spans="2:5" ht="15.75" customHeight="1" x14ac:dyDescent="0.75">
      <c r="B44" s="329" t="s">
        <v>63</v>
      </c>
      <c r="C44" s="343">
        <f>C5</f>
        <v>0</v>
      </c>
      <c r="D44" s="351" t="s">
        <v>383</v>
      </c>
    </row>
    <row r="45" spans="2:5" ht="15.75" customHeight="1" x14ac:dyDescent="0.75">
      <c r="B45" s="329" t="s">
        <v>222</v>
      </c>
      <c r="C45" s="349">
        <f>-1*(C44-C43)</f>
        <v>1796.37</v>
      </c>
      <c r="D45" s="342"/>
    </row>
    <row r="46" spans="2:5" ht="15.75" customHeight="1" x14ac:dyDescent="0.75">
      <c r="B46" s="329" t="s">
        <v>223</v>
      </c>
      <c r="C46" s="353">
        <f>C45/C43</f>
        <v>1</v>
      </c>
      <c r="D46" s="342"/>
    </row>
    <row r="47" spans="2:5" ht="15.75" customHeight="1" x14ac:dyDescent="0.75">
      <c r="B47" s="38" t="s">
        <v>59</v>
      </c>
      <c r="C47" s="306"/>
      <c r="D47" s="209"/>
    </row>
    <row r="48" spans="2:5" ht="15.75" customHeight="1" x14ac:dyDescent="0.75">
      <c r="B48" s="39" t="s">
        <v>181</v>
      </c>
      <c r="C48" s="307"/>
      <c r="D48" s="209"/>
    </row>
    <row r="49" spans="2:8" ht="15.75" customHeight="1" x14ac:dyDescent="0.75"/>
    <row r="50" spans="2:8" ht="15.75" customHeight="1" x14ac:dyDescent="0.75"/>
    <row r="51" spans="2:8" ht="15.75" customHeight="1" x14ac:dyDescent="0.75"/>
    <row r="52" spans="2:8" ht="15.75" customHeight="1" x14ac:dyDescent="0.75"/>
    <row r="53" spans="2:8" ht="15.75" customHeight="1" x14ac:dyDescent="0.75"/>
    <row r="54" spans="2:8" ht="15.75" customHeight="1" x14ac:dyDescent="0.75"/>
    <row r="55" spans="2:8" ht="15.75" customHeight="1" x14ac:dyDescent="0.75"/>
    <row r="56" spans="2:8" ht="15.75" customHeight="1" x14ac:dyDescent="0.75"/>
    <row r="57" spans="2:8" ht="26.25" customHeight="1" x14ac:dyDescent="0.75">
      <c r="B57" s="23" t="s">
        <v>506</v>
      </c>
    </row>
    <row r="58" spans="2:8" ht="26.25" customHeight="1" x14ac:dyDescent="0.75">
      <c r="B58" s="33" t="s">
        <v>0</v>
      </c>
      <c r="C58" s="34" t="s">
        <v>1</v>
      </c>
      <c r="D58" s="35" t="s">
        <v>2</v>
      </c>
      <c r="E58" s="35" t="s">
        <v>3</v>
      </c>
      <c r="F58" s="35" t="s">
        <v>4</v>
      </c>
      <c r="G58" s="35" t="s">
        <v>5</v>
      </c>
    </row>
    <row r="59" spans="2:8" ht="26.25" customHeight="1" x14ac:dyDescent="0.75">
      <c r="B59" s="198" t="s">
        <v>71</v>
      </c>
      <c r="C59" s="310">
        <f t="shared" ref="C59:C64" si="1">C9*100</f>
        <v>0</v>
      </c>
      <c r="D59" s="181" t="s">
        <v>351</v>
      </c>
      <c r="E59" s="181">
        <v>0</v>
      </c>
      <c r="F59" s="181">
        <v>100</v>
      </c>
      <c r="G59" s="181">
        <v>1</v>
      </c>
      <c r="H59" s="11"/>
    </row>
    <row r="60" spans="2:8" ht="26.25" customHeight="1" x14ac:dyDescent="0.75">
      <c r="B60" s="198" t="s">
        <v>73</v>
      </c>
      <c r="C60" s="310">
        <f t="shared" si="1"/>
        <v>11</v>
      </c>
      <c r="D60" s="181" t="s">
        <v>352</v>
      </c>
      <c r="E60" s="181">
        <v>0</v>
      </c>
      <c r="F60" s="181">
        <v>100</v>
      </c>
      <c r="G60" s="181">
        <v>1</v>
      </c>
      <c r="H60" s="489"/>
    </row>
    <row r="61" spans="2:8" ht="26.25" customHeight="1" x14ac:dyDescent="0.75">
      <c r="B61" s="198" t="s">
        <v>74</v>
      </c>
      <c r="C61" s="310">
        <f t="shared" si="1"/>
        <v>0</v>
      </c>
      <c r="D61" s="181" t="s">
        <v>353</v>
      </c>
      <c r="E61" s="181">
        <v>0</v>
      </c>
      <c r="F61" s="181">
        <v>100</v>
      </c>
      <c r="G61" s="181">
        <v>1</v>
      </c>
      <c r="H61" s="489"/>
    </row>
    <row r="62" spans="2:8" ht="26.25" customHeight="1" x14ac:dyDescent="0.75">
      <c r="B62" s="198" t="s">
        <v>75</v>
      </c>
      <c r="C62" s="310">
        <f t="shared" si="1"/>
        <v>1</v>
      </c>
      <c r="D62" s="181" t="s">
        <v>354</v>
      </c>
      <c r="E62" s="181">
        <v>0</v>
      </c>
      <c r="F62" s="181">
        <v>100</v>
      </c>
      <c r="G62" s="181">
        <v>1</v>
      </c>
      <c r="H62" s="489"/>
    </row>
    <row r="63" spans="2:8" ht="26.25" customHeight="1" x14ac:dyDescent="0.75">
      <c r="B63" s="313" t="s">
        <v>208</v>
      </c>
      <c r="C63" s="310">
        <f t="shared" si="1"/>
        <v>0</v>
      </c>
      <c r="D63" s="181" t="s">
        <v>381</v>
      </c>
      <c r="E63" s="181">
        <v>0</v>
      </c>
      <c r="F63" s="181">
        <v>100</v>
      </c>
      <c r="G63" s="181">
        <v>1</v>
      </c>
      <c r="H63" s="490"/>
    </row>
    <row r="64" spans="2:8" ht="26.25" customHeight="1" x14ac:dyDescent="0.75">
      <c r="B64" s="314" t="s">
        <v>356</v>
      </c>
      <c r="C64" s="310">
        <f t="shared" si="1"/>
        <v>0</v>
      </c>
      <c r="D64" s="181" t="s">
        <v>361</v>
      </c>
      <c r="E64" s="181">
        <v>0</v>
      </c>
      <c r="F64" s="181">
        <v>100</v>
      </c>
      <c r="G64" s="181">
        <v>1</v>
      </c>
      <c r="H64" s="11"/>
    </row>
    <row r="65" spans="2:8" ht="26.25" customHeight="1" x14ac:dyDescent="0.75">
      <c r="B65" s="198" t="s">
        <v>496</v>
      </c>
      <c r="C65" s="310">
        <v>0</v>
      </c>
      <c r="D65" s="181" t="s">
        <v>355</v>
      </c>
      <c r="E65" s="181">
        <v>0</v>
      </c>
      <c r="F65" s="181">
        <v>100</v>
      </c>
      <c r="G65" s="181">
        <v>1</v>
      </c>
      <c r="H65" s="11"/>
    </row>
    <row r="66" spans="2:8" ht="26.25" customHeight="1" x14ac:dyDescent="0.75">
      <c r="B66" s="198" t="s">
        <v>357</v>
      </c>
      <c r="C66" s="310">
        <f>C15*100</f>
        <v>0</v>
      </c>
      <c r="D66" s="181" t="s">
        <v>362</v>
      </c>
      <c r="E66" s="181">
        <v>0</v>
      </c>
      <c r="F66" s="181">
        <v>100</v>
      </c>
      <c r="G66" s="181">
        <v>1</v>
      </c>
      <c r="H66" s="11"/>
    </row>
    <row r="67" spans="2:8" ht="26.25" customHeight="1" x14ac:dyDescent="0.75">
      <c r="B67" s="198" t="s">
        <v>358</v>
      </c>
      <c r="C67" s="310">
        <f t="shared" ref="C67:C69" si="2">C16*100</f>
        <v>0</v>
      </c>
      <c r="D67" s="181" t="s">
        <v>363</v>
      </c>
      <c r="E67" s="181">
        <v>0</v>
      </c>
      <c r="F67" s="181">
        <v>100</v>
      </c>
      <c r="G67" s="181">
        <v>1</v>
      </c>
      <c r="H67" s="37"/>
    </row>
    <row r="68" spans="2:8" ht="26.25" customHeight="1" x14ac:dyDescent="0.75">
      <c r="B68" s="198" t="s">
        <v>359</v>
      </c>
      <c r="C68" s="310">
        <f t="shared" si="2"/>
        <v>5</v>
      </c>
      <c r="D68" s="181" t="s">
        <v>364</v>
      </c>
      <c r="E68" s="181">
        <v>0</v>
      </c>
      <c r="F68" s="181">
        <v>100</v>
      </c>
      <c r="G68" s="181">
        <v>1</v>
      </c>
    </row>
    <row r="69" spans="2:8" ht="26.25" customHeight="1" x14ac:dyDescent="0.75">
      <c r="B69" s="198" t="s">
        <v>360</v>
      </c>
      <c r="C69" s="310">
        <f t="shared" si="2"/>
        <v>83</v>
      </c>
      <c r="D69" s="181" t="s">
        <v>365</v>
      </c>
      <c r="E69" s="181">
        <v>0</v>
      </c>
      <c r="F69" s="181">
        <v>100</v>
      </c>
      <c r="G69" s="181">
        <v>1</v>
      </c>
    </row>
    <row r="70" spans="2:8" ht="26.25" customHeight="1" x14ac:dyDescent="0.75">
      <c r="B70" s="101"/>
      <c r="C70" s="101"/>
      <c r="D70" s="102"/>
      <c r="E70" s="102"/>
      <c r="F70" s="102"/>
      <c r="G70" s="102"/>
    </row>
    <row r="71" spans="2:8" ht="26.25" customHeight="1" x14ac:dyDescent="0.75">
      <c r="B71" s="101"/>
      <c r="C71" s="101"/>
      <c r="D71" s="102"/>
      <c r="E71" s="102"/>
      <c r="F71" s="102"/>
      <c r="G71" s="102"/>
    </row>
    <row r="72" spans="2:8" ht="26.25" customHeight="1" x14ac:dyDescent="0.75">
      <c r="B72" s="101"/>
      <c r="C72" s="101"/>
      <c r="D72" s="102"/>
      <c r="E72" s="102"/>
      <c r="F72" s="102"/>
      <c r="G72" s="102"/>
    </row>
    <row r="73" spans="2:8" ht="26.25" customHeight="1" x14ac:dyDescent="0.75">
      <c r="B73" s="101"/>
      <c r="C73" s="101"/>
      <c r="D73" s="102"/>
      <c r="E73" s="102"/>
      <c r="F73" s="102"/>
      <c r="G73" s="102"/>
      <c r="H73" s="115"/>
    </row>
    <row r="74" spans="2:8" ht="26.25" customHeight="1" x14ac:dyDescent="0.75">
      <c r="B74" s="149"/>
      <c r="C74" s="115"/>
      <c r="D74" s="115"/>
      <c r="E74" s="115"/>
      <c r="F74" s="115"/>
      <c r="G74" s="115"/>
      <c r="H74" s="115"/>
    </row>
    <row r="75" spans="2:8" ht="26.25" customHeight="1" x14ac:dyDescent="0.75">
      <c r="B75" s="150"/>
      <c r="C75" s="151"/>
      <c r="D75" s="102"/>
      <c r="E75" s="102"/>
      <c r="F75" s="102"/>
      <c r="G75" s="102"/>
      <c r="H75" s="152"/>
    </row>
    <row r="76" spans="2:8" ht="26.25" customHeight="1" x14ac:dyDescent="0.75">
      <c r="B76" s="101"/>
      <c r="C76" s="153"/>
      <c r="D76" s="102"/>
      <c r="E76" s="102"/>
      <c r="F76" s="102"/>
      <c r="G76" s="102"/>
      <c r="H76" s="115"/>
    </row>
    <row r="77" spans="2:8" ht="26.25" customHeight="1" x14ac:dyDescent="0.75">
      <c r="B77" s="150"/>
      <c r="C77" s="151"/>
      <c r="D77" s="102"/>
      <c r="E77" s="102"/>
      <c r="F77" s="102"/>
      <c r="G77" s="102"/>
      <c r="H77" s="115"/>
    </row>
    <row r="78" spans="2:8" ht="26.25" customHeight="1" x14ac:dyDescent="0.75">
      <c r="B78" s="150"/>
      <c r="C78" s="151"/>
      <c r="D78" s="102"/>
      <c r="E78" s="102"/>
      <c r="F78" s="102"/>
      <c r="G78" s="102"/>
      <c r="H78" s="115"/>
    </row>
    <row r="79" spans="2:8" ht="26.25" customHeight="1" x14ac:dyDescent="0.75">
      <c r="B79" s="150"/>
      <c r="C79" s="151"/>
      <c r="D79" s="102"/>
      <c r="E79" s="102"/>
      <c r="F79" s="102"/>
      <c r="G79" s="102"/>
      <c r="H79" s="115"/>
    </row>
    <row r="80" spans="2:8" ht="26.25" customHeight="1" x14ac:dyDescent="0.75">
      <c r="B80" s="150"/>
      <c r="C80" s="151"/>
      <c r="D80" s="102"/>
      <c r="E80" s="102"/>
      <c r="F80" s="102"/>
      <c r="G80" s="102"/>
      <c r="H80" s="115"/>
    </row>
    <row r="81" spans="2:8" ht="26.25" customHeight="1" x14ac:dyDescent="0.75">
      <c r="B81" s="154"/>
      <c r="C81" s="155"/>
      <c r="D81" s="102"/>
      <c r="E81" s="102"/>
      <c r="F81" s="102"/>
      <c r="G81" s="102"/>
      <c r="H81" s="115"/>
    </row>
    <row r="82" spans="2:8" ht="26.25" customHeight="1" x14ac:dyDescent="0.75">
      <c r="B82" s="115"/>
      <c r="C82" s="115"/>
      <c r="D82" s="115"/>
      <c r="E82" s="115"/>
      <c r="F82" s="115"/>
      <c r="G82" s="115"/>
      <c r="H82" s="115"/>
    </row>
    <row r="83" spans="2:8" ht="26.25" customHeight="1" x14ac:dyDescent="0.75">
      <c r="B83" s="115"/>
      <c r="C83" s="115"/>
      <c r="D83" s="115"/>
      <c r="E83" s="115"/>
      <c r="F83" s="115"/>
      <c r="G83" s="115"/>
      <c r="H83" s="115"/>
    </row>
    <row r="84" spans="2:8" ht="26.25" customHeight="1" x14ac:dyDescent="0.75">
      <c r="B84" s="115"/>
      <c r="C84" s="115"/>
      <c r="D84" s="115"/>
      <c r="E84" s="115"/>
      <c r="F84" s="115"/>
      <c r="G84" s="115"/>
      <c r="H84" s="115"/>
    </row>
    <row r="85" spans="2:8" ht="26.25" customHeight="1" x14ac:dyDescent="0.75">
      <c r="B85" s="115"/>
      <c r="C85" s="115"/>
      <c r="D85" s="115"/>
      <c r="E85" s="115"/>
      <c r="F85" s="115"/>
      <c r="G85" s="115"/>
      <c r="H85" s="115"/>
    </row>
    <row r="86" spans="2:8" ht="26.25" customHeight="1" x14ac:dyDescent="0.75"/>
    <row r="87" spans="2:8" ht="26.25" customHeight="1" x14ac:dyDescent="0.75"/>
    <row r="88" spans="2:8" ht="26.25" customHeight="1" x14ac:dyDescent="0.75"/>
    <row r="89" spans="2:8" ht="26.25" customHeight="1" x14ac:dyDescent="0.75"/>
    <row r="90" spans="2:8" ht="26.25" customHeight="1" x14ac:dyDescent="0.75"/>
    <row r="91" spans="2:8" ht="26.25" customHeight="1" x14ac:dyDescent="0.75"/>
    <row r="92" spans="2:8" ht="26.25" customHeight="1" x14ac:dyDescent="0.75"/>
    <row r="93" spans="2:8" ht="26.25" customHeight="1" x14ac:dyDescent="0.75"/>
    <row r="94" spans="2:8" ht="26.25" customHeight="1" x14ac:dyDescent="0.75"/>
    <row r="95" spans="2:8" ht="26.25" customHeight="1" x14ac:dyDescent="0.75"/>
    <row r="96" spans="2:8"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26.25" customHeight="1" x14ac:dyDescent="0.75"/>
    <row r="272" ht="26.25" customHeight="1" x14ac:dyDescent="0.75"/>
    <row r="273" ht="26.25" customHeight="1" x14ac:dyDescent="0.75"/>
    <row r="274" ht="26.25" customHeight="1" x14ac:dyDescent="0.75"/>
    <row r="275" ht="26.2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row r="1016" ht="15.75" customHeight="1" x14ac:dyDescent="0.75"/>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3653-13F6-4EED-964E-70BEFE8F0172}">
  <dimension ref="A1:H1015"/>
  <sheetViews>
    <sheetView tabSelected="1" zoomScale="65" zoomScaleNormal="65" workbookViewId="0">
      <selection activeCell="B5" sqref="B5"/>
    </sheetView>
  </sheetViews>
  <sheetFormatPr defaultColWidth="14.5" defaultRowHeight="15" customHeight="1" x14ac:dyDescent="0.75"/>
  <cols>
    <col min="1" max="1" width="15" customWidth="1"/>
    <col min="2" max="2" width="63.1796875" customWidth="1"/>
    <col min="3" max="3" width="19.5" customWidth="1"/>
    <col min="4" max="4" width="28.81640625" customWidth="1"/>
    <col min="5" max="5" width="15" customWidth="1"/>
    <col min="6" max="6" width="17.81640625" customWidth="1"/>
    <col min="7" max="7" width="8.81640625" customWidth="1"/>
    <col min="8" max="8" width="36" customWidth="1"/>
  </cols>
  <sheetData>
    <row r="1" spans="1:7" ht="26.25" customHeight="1" x14ac:dyDescent="0.75">
      <c r="B1" s="1" t="s">
        <v>561</v>
      </c>
    </row>
    <row r="2" spans="1:7" ht="26.25" customHeight="1" x14ac:dyDescent="0.75">
      <c r="A2" s="295"/>
      <c r="B2" s="1" t="s">
        <v>562</v>
      </c>
    </row>
    <row r="3" spans="1:7" ht="26.25" customHeight="1" x14ac:dyDescent="0.75">
      <c r="A3" s="257"/>
      <c r="B3" s="259" t="s">
        <v>0</v>
      </c>
      <c r="C3" s="260" t="s">
        <v>1</v>
      </c>
      <c r="D3" s="127" t="s">
        <v>518</v>
      </c>
      <c r="E3" s="10"/>
      <c r="F3" s="10"/>
      <c r="G3" s="10"/>
    </row>
    <row r="4" spans="1:7" ht="26.25" customHeight="1" x14ac:dyDescent="0.75">
      <c r="A4" s="257"/>
      <c r="B4" s="299" t="s">
        <v>588</v>
      </c>
      <c r="C4" s="300">
        <v>36835</v>
      </c>
      <c r="E4" s="43"/>
      <c r="F4" s="6"/>
      <c r="G4" s="17"/>
    </row>
    <row r="5" spans="1:7" ht="26.25" customHeight="1" x14ac:dyDescent="0.75">
      <c r="A5" s="297"/>
      <c r="B5" s="301" t="s">
        <v>563</v>
      </c>
      <c r="C5" s="300">
        <f>SUM(Ag!C41,Nonag!C41,Fishing!C43,Restaurants!C42,Lodges!C42,Tourism!C42)</f>
        <v>42167.199274279556</v>
      </c>
      <c r="D5" s="45"/>
      <c r="E5" s="46"/>
      <c r="F5" s="46"/>
      <c r="G5" s="47"/>
    </row>
    <row r="6" spans="1:7" ht="26.25" customHeight="1" x14ac:dyDescent="0.75">
      <c r="A6" s="257"/>
      <c r="B6" s="301" t="s">
        <v>587</v>
      </c>
      <c r="C6" s="302">
        <f>C5-C4</f>
        <v>5332.1992742795555</v>
      </c>
      <c r="E6" s="48"/>
      <c r="F6" s="49"/>
      <c r="G6" s="49"/>
    </row>
    <row r="7" spans="1:7" ht="26.25" customHeight="1" x14ac:dyDescent="0.75">
      <c r="A7" s="296" t="s">
        <v>8</v>
      </c>
      <c r="B7" s="298" t="s">
        <v>516</v>
      </c>
      <c r="C7" s="298"/>
    </row>
    <row r="8" spans="1:7" ht="37.5" customHeight="1" x14ac:dyDescent="0.75">
      <c r="A8" s="245"/>
      <c r="B8" s="164" t="s">
        <v>0</v>
      </c>
      <c r="C8" s="168" t="s">
        <v>493</v>
      </c>
      <c r="E8" s="284" t="s">
        <v>520</v>
      </c>
      <c r="F8" s="284"/>
      <c r="G8" s="10"/>
    </row>
    <row r="9" spans="1:7" ht="34.5" customHeight="1" x14ac:dyDescent="0.75">
      <c r="A9" s="486" t="s">
        <v>519</v>
      </c>
      <c r="B9" s="171" t="s">
        <v>565</v>
      </c>
      <c r="C9" s="303">
        <v>0.08</v>
      </c>
      <c r="D9" s="11"/>
      <c r="E9" s="285"/>
      <c r="F9" s="287"/>
    </row>
    <row r="10" spans="1:7" ht="34.5" customHeight="1" x14ac:dyDescent="0.75">
      <c r="A10" s="487"/>
      <c r="B10" s="171" t="s">
        <v>564</v>
      </c>
      <c r="C10" s="303">
        <v>0.48</v>
      </c>
      <c r="D10" s="11"/>
      <c r="E10" s="285"/>
      <c r="F10" s="287"/>
    </row>
    <row r="11" spans="1:7" ht="30.75" customHeight="1" x14ac:dyDescent="0.75">
      <c r="A11" s="487"/>
      <c r="B11" s="171" t="s">
        <v>566</v>
      </c>
      <c r="C11" s="303">
        <v>0.02</v>
      </c>
      <c r="E11" s="285"/>
      <c r="F11" s="287"/>
    </row>
    <row r="12" spans="1:7" ht="30.75" customHeight="1" x14ac:dyDescent="0.75">
      <c r="A12" s="487"/>
      <c r="B12" s="171" t="s">
        <v>567</v>
      </c>
      <c r="C12" s="303">
        <v>0.09</v>
      </c>
      <c r="E12" s="285"/>
      <c r="F12" s="287"/>
    </row>
    <row r="13" spans="1:7" ht="30.75" customHeight="1" x14ac:dyDescent="0.75">
      <c r="A13" s="487"/>
      <c r="B13" s="171" t="s">
        <v>208</v>
      </c>
      <c r="C13" s="303">
        <v>0</v>
      </c>
      <c r="E13" s="285"/>
      <c r="F13" s="287"/>
    </row>
    <row r="14" spans="1:7" ht="27" customHeight="1" x14ac:dyDescent="0.75">
      <c r="A14" s="487"/>
      <c r="B14" s="171" t="s">
        <v>163</v>
      </c>
      <c r="C14" s="303">
        <v>0</v>
      </c>
      <c r="D14" s="11"/>
      <c r="E14" s="285"/>
      <c r="F14" s="287"/>
    </row>
    <row r="15" spans="1:7" ht="26.25" customHeight="1" x14ac:dyDescent="0.75">
      <c r="A15" s="487"/>
      <c r="B15" s="171" t="s">
        <v>209</v>
      </c>
      <c r="C15" s="303">
        <v>0</v>
      </c>
      <c r="D15" s="11"/>
      <c r="E15" s="285"/>
      <c r="F15" s="287"/>
    </row>
    <row r="16" spans="1:7" ht="26.25" customHeight="1" x14ac:dyDescent="0.75">
      <c r="A16" s="487"/>
      <c r="B16" s="171" t="s">
        <v>164</v>
      </c>
      <c r="C16" s="303">
        <v>0.25</v>
      </c>
      <c r="E16" s="285"/>
      <c r="F16" s="287"/>
    </row>
    <row r="17" spans="1:8" ht="33" customHeight="1" x14ac:dyDescent="0.75">
      <c r="A17" s="487"/>
      <c r="B17" s="171" t="s">
        <v>109</v>
      </c>
      <c r="C17" s="303">
        <v>0.04</v>
      </c>
      <c r="E17" s="285"/>
      <c r="F17" s="287"/>
    </row>
    <row r="18" spans="1:8" ht="20.25" customHeight="1" x14ac:dyDescent="0.75">
      <c r="A18" s="488"/>
      <c r="B18" s="171" t="s">
        <v>210</v>
      </c>
      <c r="C18" s="303">
        <v>0.04</v>
      </c>
      <c r="D18" s="114"/>
      <c r="E18" s="285"/>
      <c r="F18" s="287"/>
    </row>
    <row r="19" spans="1:8" ht="20.25" customHeight="1" x14ac:dyDescent="0.75">
      <c r="A19" s="245"/>
      <c r="B19" s="288" t="s">
        <v>211</v>
      </c>
      <c r="C19" s="304">
        <v>1</v>
      </c>
      <c r="D19" s="45"/>
      <c r="E19" s="305"/>
      <c r="F19" s="287"/>
    </row>
    <row r="20" spans="1:8" ht="20.25" customHeight="1" x14ac:dyDescent="0.75">
      <c r="C20" s="127" t="s">
        <v>518</v>
      </c>
      <c r="H20" s="50"/>
    </row>
    <row r="21" spans="1:8" ht="26.25" customHeight="1" x14ac:dyDescent="0.75">
      <c r="C21" s="51"/>
      <c r="D21" s="50"/>
    </row>
    <row r="22" spans="1:8" ht="15.75" customHeight="1" x14ac:dyDescent="0.75">
      <c r="B22" s="11"/>
      <c r="D22" s="52"/>
    </row>
    <row r="23" spans="1:8" ht="15.75" customHeight="1" thickBot="1" x14ac:dyDescent="0.9">
      <c r="B23" s="156" t="s">
        <v>521</v>
      </c>
      <c r="D23" s="52"/>
    </row>
    <row r="24" spans="1:8" ht="15.75" customHeight="1" x14ac:dyDescent="0.75">
      <c r="B24" s="340" t="s">
        <v>168</v>
      </c>
      <c r="C24" s="341" t="s">
        <v>212</v>
      </c>
      <c r="D24" s="342"/>
    </row>
    <row r="25" spans="1:8" ht="15.75" customHeight="1" x14ac:dyDescent="0.75">
      <c r="B25" s="329" t="s">
        <v>30</v>
      </c>
      <c r="C25" s="424">
        <f>C14*C4</f>
        <v>0</v>
      </c>
      <c r="D25" s="344" t="s">
        <v>320</v>
      </c>
    </row>
    <row r="26" spans="1:8" ht="14.25" customHeight="1" x14ac:dyDescent="0.75">
      <c r="B26" s="331" t="s">
        <v>32</v>
      </c>
      <c r="C26" s="425">
        <v>0</v>
      </c>
      <c r="D26" s="346" t="s">
        <v>321</v>
      </c>
    </row>
    <row r="27" spans="1:8" ht="15.75" customHeight="1" x14ac:dyDescent="0.75">
      <c r="B27" s="329" t="s">
        <v>34</v>
      </c>
      <c r="C27" s="424">
        <f>SUM(C16:C17)*C4</f>
        <v>10682.15</v>
      </c>
      <c r="D27" s="344" t="s">
        <v>322</v>
      </c>
    </row>
    <row r="28" spans="1:8" ht="15.75" customHeight="1" x14ac:dyDescent="0.75">
      <c r="B28" s="329" t="s">
        <v>36</v>
      </c>
      <c r="C28" s="424">
        <f>C15*C4</f>
        <v>0</v>
      </c>
      <c r="D28" s="344" t="s">
        <v>323</v>
      </c>
    </row>
    <row r="29" spans="1:8" ht="15.75" customHeight="1" x14ac:dyDescent="0.75">
      <c r="B29" s="331" t="s">
        <v>38</v>
      </c>
      <c r="C29" s="424">
        <f>C9*C4*C19</f>
        <v>2946.8</v>
      </c>
      <c r="D29" s="348" t="s">
        <v>89</v>
      </c>
    </row>
    <row r="30" spans="1:8" ht="15.75" customHeight="1" x14ac:dyDescent="0.75">
      <c r="B30" s="331" t="s">
        <v>40</v>
      </c>
      <c r="C30" s="424">
        <f>C10*C4*C19</f>
        <v>17680.8</v>
      </c>
      <c r="D30" s="348" t="s">
        <v>90</v>
      </c>
    </row>
    <row r="31" spans="1:8" ht="15.75" customHeight="1" x14ac:dyDescent="0.75">
      <c r="B31" s="331" t="s">
        <v>41</v>
      </c>
      <c r="C31" s="424">
        <f>C11*C4*C19</f>
        <v>736.7</v>
      </c>
      <c r="D31" s="348" t="s">
        <v>91</v>
      </c>
    </row>
    <row r="32" spans="1:8" ht="15.75" customHeight="1" x14ac:dyDescent="0.75">
      <c r="B32" s="331" t="s">
        <v>42</v>
      </c>
      <c r="C32" s="424">
        <f>C12*C4*C19</f>
        <v>3315.15</v>
      </c>
      <c r="D32" s="348" t="s">
        <v>92</v>
      </c>
    </row>
    <row r="33" spans="2:6" ht="15.75" customHeight="1" x14ac:dyDescent="0.75">
      <c r="B33" s="329" t="s">
        <v>43</v>
      </c>
      <c r="C33" s="424">
        <f>C13*C4</f>
        <v>0</v>
      </c>
      <c r="D33" s="348" t="s">
        <v>93</v>
      </c>
    </row>
    <row r="34" spans="2:6" ht="15.75" customHeight="1" x14ac:dyDescent="0.75">
      <c r="B34" s="329" t="s">
        <v>45</v>
      </c>
      <c r="C34" s="426">
        <v>0</v>
      </c>
      <c r="D34" s="348" t="s">
        <v>324</v>
      </c>
    </row>
    <row r="35" spans="2:6" ht="15.75" customHeight="1" x14ac:dyDescent="0.75">
      <c r="B35" s="329" t="s">
        <v>47</v>
      </c>
      <c r="C35" s="426">
        <v>0</v>
      </c>
      <c r="D35" s="348" t="s">
        <v>324</v>
      </c>
    </row>
    <row r="36" spans="2:6" ht="15.75" customHeight="1" x14ac:dyDescent="0.75">
      <c r="B36" s="329" t="s">
        <v>48</v>
      </c>
      <c r="C36" s="424">
        <v>0</v>
      </c>
      <c r="D36" s="348" t="s">
        <v>325</v>
      </c>
    </row>
    <row r="37" spans="2:6" ht="15.75" customHeight="1" x14ac:dyDescent="0.75">
      <c r="B37" s="329" t="s">
        <v>50</v>
      </c>
      <c r="C37" s="424">
        <v>0</v>
      </c>
      <c r="D37" s="348" t="s">
        <v>326</v>
      </c>
    </row>
    <row r="38" spans="2:6" ht="15.75" customHeight="1" x14ac:dyDescent="0.75">
      <c r="B38" s="329" t="s">
        <v>52</v>
      </c>
      <c r="C38" s="424">
        <v>0</v>
      </c>
      <c r="D38" s="348" t="s">
        <v>327</v>
      </c>
    </row>
    <row r="39" spans="2:6" ht="15.75" customHeight="1" x14ac:dyDescent="0.75">
      <c r="B39" s="329" t="s">
        <v>54</v>
      </c>
      <c r="C39" s="424">
        <v>0</v>
      </c>
      <c r="D39" s="348" t="s">
        <v>325</v>
      </c>
    </row>
    <row r="40" spans="2:6" ht="15.75" customHeight="1" x14ac:dyDescent="0.75">
      <c r="B40" s="329" t="s">
        <v>328</v>
      </c>
      <c r="C40" s="424">
        <v>0</v>
      </c>
      <c r="D40" s="351" t="s">
        <v>545</v>
      </c>
    </row>
    <row r="41" spans="2:6" ht="15.75" customHeight="1" x14ac:dyDescent="0.75">
      <c r="B41" s="329" t="s">
        <v>57</v>
      </c>
      <c r="C41" s="424">
        <v>0</v>
      </c>
      <c r="D41" s="351" t="s">
        <v>329</v>
      </c>
    </row>
    <row r="42" spans="2:6" ht="15.75" customHeight="1" x14ac:dyDescent="0.75">
      <c r="B42" s="333" t="s">
        <v>59</v>
      </c>
      <c r="C42" s="424">
        <f>C18*C4 + C4*SUM(C9:C12)*(1-C19)</f>
        <v>1473.4</v>
      </c>
      <c r="D42" s="352" t="s">
        <v>178</v>
      </c>
    </row>
    <row r="43" spans="2:6" ht="15.75" customHeight="1" x14ac:dyDescent="0.75">
      <c r="B43" s="329" t="s">
        <v>61</v>
      </c>
      <c r="C43" s="424">
        <f>SUM(C25:C42)</f>
        <v>36835</v>
      </c>
      <c r="D43" s="351" t="s">
        <v>179</v>
      </c>
      <c r="F43" s="100">
        <f>C43-C4</f>
        <v>0</v>
      </c>
    </row>
    <row r="44" spans="2:6" ht="15.75" customHeight="1" x14ac:dyDescent="0.75">
      <c r="B44" s="329" t="s">
        <v>63</v>
      </c>
      <c r="C44" s="424">
        <f>C5</f>
        <v>42167.199274279556</v>
      </c>
      <c r="D44" s="351" t="s">
        <v>180</v>
      </c>
    </row>
    <row r="45" spans="2:6" ht="15.75" customHeight="1" x14ac:dyDescent="0.75">
      <c r="B45" s="329" t="s">
        <v>222</v>
      </c>
      <c r="C45" s="426">
        <f>MAX(0,(C43-C44))</f>
        <v>0</v>
      </c>
      <c r="D45" s="342"/>
    </row>
    <row r="46" spans="2:6" ht="15.75" customHeight="1" x14ac:dyDescent="0.75"/>
    <row r="47" spans="2:6" ht="15.75" customHeight="1" x14ac:dyDescent="0.75">
      <c r="B47" s="62" t="s">
        <v>223</v>
      </c>
      <c r="C47" s="22">
        <f>C45/C43</f>
        <v>0</v>
      </c>
    </row>
    <row r="48" spans="2:6" ht="15.75" customHeight="1" x14ac:dyDescent="0.75">
      <c r="B48" s="62"/>
      <c r="C48" s="22"/>
    </row>
    <row r="49" spans="2:8" ht="15.75" customHeight="1" x14ac:dyDescent="0.75">
      <c r="B49" s="62"/>
      <c r="C49" s="22"/>
    </row>
    <row r="50" spans="2:8" ht="15.75" customHeight="1" x14ac:dyDescent="0.75">
      <c r="B50" s="62"/>
      <c r="C50" s="22"/>
    </row>
    <row r="51" spans="2:8" ht="15.75" customHeight="1" x14ac:dyDescent="0.75">
      <c r="B51" s="62"/>
      <c r="C51" s="22"/>
    </row>
    <row r="52" spans="2:8" ht="15.75" customHeight="1" x14ac:dyDescent="0.75">
      <c r="B52" s="144" t="s">
        <v>0</v>
      </c>
      <c r="C52" s="145" t="s">
        <v>1</v>
      </c>
      <c r="D52" s="147" t="s">
        <v>2</v>
      </c>
    </row>
    <row r="53" spans="2:8" ht="15.75" customHeight="1" x14ac:dyDescent="0.75">
      <c r="B53" s="457" t="e">
        <f>#REF!</f>
        <v>#REF!</v>
      </c>
      <c r="C53" s="316">
        <v>999998</v>
      </c>
      <c r="D53" s="186" t="s">
        <v>537</v>
      </c>
      <c r="E53" s="42" t="s">
        <v>538</v>
      </c>
    </row>
    <row r="54" spans="2:8" ht="15.75" customHeight="1" x14ac:dyDescent="0.75"/>
    <row r="55" spans="2:8" s="115" customFormat="1" ht="15.75" customHeight="1" x14ac:dyDescent="0.75">
      <c r="B55" s="138"/>
      <c r="C55" s="139"/>
      <c r="D55" s="102"/>
      <c r="E55" s="102"/>
      <c r="F55" s="102"/>
      <c r="G55" s="102"/>
    </row>
    <row r="56" spans="2:8" ht="15.75" customHeight="1" x14ac:dyDescent="0.75">
      <c r="B56" s="144" t="s">
        <v>0</v>
      </c>
      <c r="C56" s="145" t="s">
        <v>1</v>
      </c>
      <c r="D56" s="146" t="s">
        <v>2</v>
      </c>
      <c r="E56" s="146" t="s">
        <v>3</v>
      </c>
      <c r="F56" s="146" t="s">
        <v>4</v>
      </c>
      <c r="G56" s="147" t="s">
        <v>5</v>
      </c>
    </row>
    <row r="57" spans="2:8" ht="15.75" customHeight="1" x14ac:dyDescent="0.75">
      <c r="B57" s="315" t="s">
        <v>226</v>
      </c>
      <c r="C57" s="316">
        <f>C5</f>
        <v>42167.199274279556</v>
      </c>
      <c r="D57" s="185" t="s">
        <v>479</v>
      </c>
      <c r="E57" s="317">
        <v>0</v>
      </c>
      <c r="F57" s="185">
        <v>100000000</v>
      </c>
      <c r="G57" s="186">
        <v>1</v>
      </c>
    </row>
    <row r="58" spans="2:8" ht="15.75" customHeight="1" x14ac:dyDescent="0.75">
      <c r="B58" s="315" t="s">
        <v>224</v>
      </c>
      <c r="C58" s="316">
        <f>C4</f>
        <v>36835</v>
      </c>
      <c r="D58" s="185" t="s">
        <v>225</v>
      </c>
      <c r="E58" s="317">
        <v>0</v>
      </c>
      <c r="F58" s="185">
        <v>100000000</v>
      </c>
      <c r="G58" s="186">
        <v>1</v>
      </c>
      <c r="H58" s="45"/>
    </row>
    <row r="59" spans="2:8" ht="15.75" customHeight="1" x14ac:dyDescent="0.75">
      <c r="B59" s="140" t="s">
        <v>227</v>
      </c>
      <c r="C59" s="141">
        <f>C57-C58</f>
        <v>5332.1992742795555</v>
      </c>
      <c r="D59" s="142"/>
      <c r="E59" s="143"/>
      <c r="F59" s="142"/>
      <c r="G59" s="142">
        <v>1</v>
      </c>
    </row>
    <row r="60" spans="2:8" ht="26.25" customHeight="1" x14ac:dyDescent="0.75">
      <c r="B60" s="15"/>
      <c r="C60" s="15"/>
    </row>
    <row r="61" spans="2:8" ht="26.25" customHeight="1" x14ac:dyDescent="0.75">
      <c r="B61" s="33" t="s">
        <v>0</v>
      </c>
      <c r="C61" s="34" t="s">
        <v>1</v>
      </c>
      <c r="D61" s="35" t="s">
        <v>2</v>
      </c>
      <c r="E61" s="35" t="s">
        <v>3</v>
      </c>
      <c r="F61" s="35" t="s">
        <v>4</v>
      </c>
      <c r="G61" s="35" t="s">
        <v>5</v>
      </c>
    </row>
    <row r="62" spans="2:8" ht="26.25" customHeight="1" x14ac:dyDescent="0.75">
      <c r="B62" s="198" t="s">
        <v>71</v>
      </c>
      <c r="C62" s="318">
        <f t="shared" ref="C62:C67" si="0">C9*100</f>
        <v>8</v>
      </c>
      <c r="D62" s="181" t="s">
        <v>366</v>
      </c>
      <c r="E62" s="181">
        <v>0</v>
      </c>
      <c r="F62" s="181">
        <v>10000000</v>
      </c>
      <c r="G62" s="181">
        <v>1</v>
      </c>
      <c r="H62" s="11"/>
    </row>
    <row r="63" spans="2:8" ht="26.25" customHeight="1" x14ac:dyDescent="0.75">
      <c r="B63" s="198" t="s">
        <v>73</v>
      </c>
      <c r="C63" s="318">
        <f t="shared" si="0"/>
        <v>48</v>
      </c>
      <c r="D63" s="181" t="s">
        <v>367</v>
      </c>
      <c r="E63" s="181">
        <v>0</v>
      </c>
      <c r="F63" s="181">
        <v>10000000</v>
      </c>
      <c r="G63" s="181">
        <v>1</v>
      </c>
      <c r="H63" s="11"/>
    </row>
    <row r="64" spans="2:8" ht="26.25" customHeight="1" x14ac:dyDescent="0.75">
      <c r="B64" s="198" t="s">
        <v>74</v>
      </c>
      <c r="C64" s="318">
        <f t="shared" si="0"/>
        <v>2</v>
      </c>
      <c r="D64" s="181" t="s">
        <v>368</v>
      </c>
      <c r="E64" s="181">
        <v>0</v>
      </c>
      <c r="F64" s="181">
        <v>10000000</v>
      </c>
      <c r="G64" s="181">
        <v>1</v>
      </c>
      <c r="H64" s="11"/>
    </row>
    <row r="65" spans="2:8" ht="26.25" customHeight="1" x14ac:dyDescent="0.75">
      <c r="B65" s="198" t="s">
        <v>75</v>
      </c>
      <c r="C65" s="318">
        <f t="shared" si="0"/>
        <v>9</v>
      </c>
      <c r="D65" s="181" t="s">
        <v>369</v>
      </c>
      <c r="E65" s="181">
        <v>0</v>
      </c>
      <c r="F65" s="181">
        <v>10000000</v>
      </c>
      <c r="G65" s="181">
        <v>1</v>
      </c>
      <c r="H65" s="11"/>
    </row>
    <row r="66" spans="2:8" ht="26.25" customHeight="1" x14ac:dyDescent="0.75">
      <c r="B66" s="313" t="s">
        <v>208</v>
      </c>
      <c r="C66" s="318">
        <f t="shared" si="0"/>
        <v>0</v>
      </c>
      <c r="D66" s="181" t="s">
        <v>228</v>
      </c>
      <c r="E66" s="181">
        <v>0</v>
      </c>
      <c r="F66" s="181">
        <v>10000000</v>
      </c>
      <c r="G66" s="181">
        <v>1</v>
      </c>
    </row>
    <row r="67" spans="2:8" ht="26.25" customHeight="1" x14ac:dyDescent="0.75">
      <c r="B67" s="313" t="s">
        <v>163</v>
      </c>
      <c r="C67" s="318">
        <f t="shared" si="0"/>
        <v>0</v>
      </c>
      <c r="D67" s="181" t="s">
        <v>229</v>
      </c>
      <c r="E67" s="181">
        <v>0</v>
      </c>
      <c r="F67" s="181">
        <v>10000000</v>
      </c>
      <c r="G67" s="181">
        <v>1</v>
      </c>
      <c r="H67" s="11"/>
    </row>
    <row r="68" spans="2:8" ht="26.25" customHeight="1" x14ac:dyDescent="0.75">
      <c r="B68" s="198" t="s">
        <v>496</v>
      </c>
      <c r="C68" s="319">
        <v>0</v>
      </c>
      <c r="D68" s="181" t="s">
        <v>370</v>
      </c>
      <c r="E68" s="181">
        <v>0</v>
      </c>
      <c r="F68" s="181">
        <v>10000000</v>
      </c>
      <c r="G68" s="181">
        <v>1</v>
      </c>
      <c r="H68" s="11"/>
    </row>
    <row r="69" spans="2:8" ht="26.25" customHeight="1" x14ac:dyDescent="0.75">
      <c r="B69" s="313" t="s">
        <v>209</v>
      </c>
      <c r="C69" s="318">
        <f>C15*100</f>
        <v>0</v>
      </c>
      <c r="D69" s="181" t="s">
        <v>230</v>
      </c>
      <c r="E69" s="181">
        <v>0</v>
      </c>
      <c r="F69" s="181">
        <v>10000000</v>
      </c>
      <c r="G69" s="181">
        <v>1</v>
      </c>
      <c r="H69" s="11"/>
    </row>
    <row r="70" spans="2:8" ht="26.25" customHeight="1" x14ac:dyDescent="0.75">
      <c r="B70" s="313" t="s">
        <v>164</v>
      </c>
      <c r="C70" s="318">
        <f>C16*100</f>
        <v>25</v>
      </c>
      <c r="D70" s="181" t="s">
        <v>231</v>
      </c>
      <c r="E70" s="181">
        <v>0</v>
      </c>
      <c r="F70" s="181">
        <v>10000000</v>
      </c>
      <c r="G70" s="181">
        <v>1</v>
      </c>
    </row>
    <row r="71" spans="2:8" ht="26.25" customHeight="1" x14ac:dyDescent="0.75">
      <c r="B71" s="313" t="s">
        <v>109</v>
      </c>
      <c r="C71" s="318">
        <f>C17*100</f>
        <v>4</v>
      </c>
      <c r="D71" s="181" t="s">
        <v>232</v>
      </c>
      <c r="E71" s="181">
        <v>0</v>
      </c>
      <c r="F71" s="181">
        <v>10000000</v>
      </c>
      <c r="G71" s="181">
        <v>1</v>
      </c>
    </row>
    <row r="72" spans="2:8" ht="26.25" customHeight="1" x14ac:dyDescent="0.75">
      <c r="B72" s="313" t="s">
        <v>527</v>
      </c>
      <c r="C72" s="320">
        <f>C40</f>
        <v>0</v>
      </c>
      <c r="D72" s="181" t="s">
        <v>379</v>
      </c>
      <c r="E72" s="181">
        <v>0</v>
      </c>
      <c r="F72" s="181">
        <v>10000000</v>
      </c>
      <c r="G72" s="181">
        <v>1</v>
      </c>
      <c r="H72" s="45"/>
    </row>
    <row r="73" spans="2:8" ht="26.25" customHeight="1" x14ac:dyDescent="0.75">
      <c r="B73" s="313" t="s">
        <v>210</v>
      </c>
      <c r="C73" s="318">
        <f>C18*100</f>
        <v>4</v>
      </c>
      <c r="D73" s="181" t="s">
        <v>233</v>
      </c>
      <c r="E73" s="181">
        <v>0</v>
      </c>
      <c r="F73" s="181">
        <v>10000000</v>
      </c>
      <c r="G73" s="181">
        <v>1</v>
      </c>
    </row>
    <row r="74" spans="2:8" ht="26.25" customHeight="1" x14ac:dyDescent="0.75">
      <c r="B74" s="321" t="s">
        <v>382</v>
      </c>
      <c r="C74" s="322">
        <f>C19*100</f>
        <v>100</v>
      </c>
      <c r="D74" s="323" t="s">
        <v>234</v>
      </c>
      <c r="E74" s="323">
        <v>0</v>
      </c>
      <c r="F74" s="323">
        <v>10000000</v>
      </c>
      <c r="G74" s="323">
        <v>1</v>
      </c>
      <c r="H74" s="45"/>
    </row>
    <row r="75" spans="2:8" ht="26.25" customHeight="1" x14ac:dyDescent="0.75">
      <c r="C75" s="100"/>
    </row>
    <row r="76" spans="2:8" ht="26.25" customHeight="1" x14ac:dyDescent="0.75">
      <c r="C76" s="100">
        <f>SUM(C62:C71)+C73</f>
        <v>100</v>
      </c>
      <c r="D76" s="100"/>
    </row>
    <row r="77" spans="2:8" ht="26.25" customHeight="1" x14ac:dyDescent="0.75"/>
    <row r="78" spans="2:8" ht="26.25" customHeight="1" x14ac:dyDescent="0.75"/>
    <row r="79" spans="2:8" ht="26.25" customHeight="1" x14ac:dyDescent="0.75"/>
    <row r="80" spans="2:8" ht="26.25" customHeight="1" x14ac:dyDescent="0.75"/>
    <row r="81" ht="26.25" customHeight="1" x14ac:dyDescent="0.75"/>
    <row r="82" ht="26.25" customHeight="1" x14ac:dyDescent="0.75"/>
    <row r="83" ht="26.25" customHeight="1" x14ac:dyDescent="0.75"/>
    <row r="84" ht="26.25" customHeight="1" x14ac:dyDescent="0.75"/>
    <row r="85" ht="26.25" customHeight="1" x14ac:dyDescent="0.75"/>
    <row r="86" ht="26.25" customHeight="1" x14ac:dyDescent="0.75"/>
    <row r="87" ht="26.25" customHeight="1" x14ac:dyDescent="0.75"/>
    <row r="88" ht="26.25" customHeight="1" x14ac:dyDescent="0.75"/>
    <row r="89" ht="26.25" customHeight="1" x14ac:dyDescent="0.75"/>
    <row r="90" ht="26.25" customHeight="1" x14ac:dyDescent="0.75"/>
    <row r="91" ht="26.25" customHeight="1" x14ac:dyDescent="0.75"/>
    <row r="92" ht="26.25" customHeight="1" x14ac:dyDescent="0.75"/>
    <row r="93" ht="26.25" customHeight="1" x14ac:dyDescent="0.75"/>
    <row r="94" ht="26.25" customHeight="1" x14ac:dyDescent="0.75"/>
    <row r="95" ht="26.25" customHeight="1" x14ac:dyDescent="0.75"/>
    <row r="96" ht="26.25" customHeight="1" x14ac:dyDescent="0.75"/>
    <row r="97" ht="26.25" customHeight="1" x14ac:dyDescent="0.75"/>
    <row r="98" ht="26.25" customHeight="1" x14ac:dyDescent="0.75"/>
    <row r="99" ht="26.25" customHeight="1" x14ac:dyDescent="0.75"/>
    <row r="100" ht="26.25" customHeight="1" x14ac:dyDescent="0.75"/>
    <row r="101" ht="26.25" customHeight="1" x14ac:dyDescent="0.75"/>
    <row r="102" ht="26.25" customHeight="1" x14ac:dyDescent="0.75"/>
    <row r="103" ht="26.25" customHeight="1" x14ac:dyDescent="0.75"/>
    <row r="104" ht="26.25" customHeight="1" x14ac:dyDescent="0.75"/>
    <row r="105" ht="26.25" customHeight="1" x14ac:dyDescent="0.75"/>
    <row r="106" ht="26.25" customHeight="1" x14ac:dyDescent="0.75"/>
    <row r="107" ht="26.25" customHeight="1" x14ac:dyDescent="0.75"/>
    <row r="108" ht="26.25" customHeight="1" x14ac:dyDescent="0.75"/>
    <row r="109" ht="26.25" customHeight="1" x14ac:dyDescent="0.75"/>
    <row r="110" ht="26.25" customHeight="1" x14ac:dyDescent="0.75"/>
    <row r="111" ht="26.25" customHeight="1" x14ac:dyDescent="0.75"/>
    <row r="112" ht="26.25" customHeight="1" x14ac:dyDescent="0.75"/>
    <row r="113" ht="26.25" customHeight="1" x14ac:dyDescent="0.75"/>
    <row r="114" ht="26.25" customHeight="1" x14ac:dyDescent="0.75"/>
    <row r="115" ht="26.25" customHeight="1" x14ac:dyDescent="0.75"/>
    <row r="116" ht="26.25" customHeight="1" x14ac:dyDescent="0.75"/>
    <row r="117" ht="26.25" customHeight="1" x14ac:dyDescent="0.75"/>
    <row r="118" ht="26.25" customHeight="1" x14ac:dyDescent="0.75"/>
    <row r="119" ht="26.25" customHeight="1" x14ac:dyDescent="0.75"/>
    <row r="120" ht="26.25" customHeight="1" x14ac:dyDescent="0.75"/>
    <row r="121" ht="26.25" customHeight="1" x14ac:dyDescent="0.75"/>
    <row r="122" ht="26.25" customHeight="1" x14ac:dyDescent="0.75"/>
    <row r="123" ht="26.25" customHeight="1" x14ac:dyDescent="0.75"/>
    <row r="124" ht="26.25" customHeight="1" x14ac:dyDescent="0.75"/>
    <row r="125" ht="26.25" customHeight="1" x14ac:dyDescent="0.75"/>
    <row r="126" ht="26.25" customHeight="1" x14ac:dyDescent="0.75"/>
    <row r="127" ht="26.25" customHeight="1" x14ac:dyDescent="0.75"/>
    <row r="128" ht="26.25" customHeight="1" x14ac:dyDescent="0.75"/>
    <row r="129" ht="26.25" customHeight="1" x14ac:dyDescent="0.75"/>
    <row r="130" ht="26.25" customHeight="1" x14ac:dyDescent="0.75"/>
    <row r="131" ht="26.25" customHeight="1" x14ac:dyDescent="0.75"/>
    <row r="132" ht="26.25" customHeight="1" x14ac:dyDescent="0.75"/>
    <row r="133" ht="26.25" customHeight="1" x14ac:dyDescent="0.75"/>
    <row r="134" ht="26.25" customHeight="1" x14ac:dyDescent="0.75"/>
    <row r="135" ht="26.25" customHeight="1" x14ac:dyDescent="0.75"/>
    <row r="136" ht="26.25" customHeight="1" x14ac:dyDescent="0.75"/>
    <row r="137" ht="26.25" customHeight="1" x14ac:dyDescent="0.75"/>
    <row r="138" ht="26.25" customHeight="1" x14ac:dyDescent="0.75"/>
    <row r="139" ht="26.25" customHeight="1" x14ac:dyDescent="0.75"/>
    <row r="140" ht="26.25" customHeight="1" x14ac:dyDescent="0.75"/>
    <row r="141" ht="26.25" customHeight="1" x14ac:dyDescent="0.75"/>
    <row r="142" ht="26.25" customHeight="1" x14ac:dyDescent="0.75"/>
    <row r="143" ht="26.25" customHeight="1" x14ac:dyDescent="0.75"/>
    <row r="144" ht="26.25" customHeight="1" x14ac:dyDescent="0.75"/>
    <row r="145" ht="26.25" customHeight="1" x14ac:dyDescent="0.75"/>
    <row r="146" ht="26.25" customHeight="1" x14ac:dyDescent="0.75"/>
    <row r="147" ht="26.25" customHeight="1" x14ac:dyDescent="0.75"/>
    <row r="148" ht="26.25" customHeight="1" x14ac:dyDescent="0.75"/>
    <row r="149" ht="26.25" customHeight="1" x14ac:dyDescent="0.75"/>
    <row r="150" ht="26.25" customHeight="1" x14ac:dyDescent="0.75"/>
    <row r="151" ht="26.25" customHeight="1" x14ac:dyDescent="0.75"/>
    <row r="152" ht="26.25" customHeight="1" x14ac:dyDescent="0.75"/>
    <row r="153" ht="26.25" customHeight="1" x14ac:dyDescent="0.75"/>
    <row r="154" ht="26.25" customHeight="1" x14ac:dyDescent="0.75"/>
    <row r="155" ht="26.25" customHeight="1" x14ac:dyDescent="0.75"/>
    <row r="156" ht="26.25" customHeight="1" x14ac:dyDescent="0.75"/>
    <row r="157" ht="26.25" customHeight="1" x14ac:dyDescent="0.75"/>
    <row r="158" ht="26.25" customHeight="1" x14ac:dyDescent="0.75"/>
    <row r="159" ht="26.25" customHeight="1" x14ac:dyDescent="0.75"/>
    <row r="160" ht="26.25" customHeight="1" x14ac:dyDescent="0.75"/>
    <row r="161" ht="26.25" customHeight="1" x14ac:dyDescent="0.75"/>
    <row r="162" ht="26.25" customHeight="1" x14ac:dyDescent="0.75"/>
    <row r="163" ht="26.25" customHeight="1" x14ac:dyDescent="0.75"/>
    <row r="164" ht="26.25" customHeight="1" x14ac:dyDescent="0.75"/>
    <row r="165" ht="26.25" customHeight="1" x14ac:dyDescent="0.75"/>
    <row r="166" ht="26.25" customHeight="1" x14ac:dyDescent="0.75"/>
    <row r="167" ht="26.25" customHeight="1" x14ac:dyDescent="0.75"/>
    <row r="168" ht="26.25" customHeight="1" x14ac:dyDescent="0.75"/>
    <row r="169" ht="26.25" customHeight="1" x14ac:dyDescent="0.75"/>
    <row r="170" ht="26.25" customHeight="1" x14ac:dyDescent="0.75"/>
    <row r="171" ht="26.25" customHeight="1" x14ac:dyDescent="0.75"/>
    <row r="172" ht="26.25" customHeight="1" x14ac:dyDescent="0.75"/>
    <row r="173" ht="26.25" customHeight="1" x14ac:dyDescent="0.75"/>
    <row r="174" ht="26.25" customHeight="1" x14ac:dyDescent="0.75"/>
    <row r="175" ht="26.25" customHeight="1" x14ac:dyDescent="0.75"/>
    <row r="176" ht="26.25" customHeight="1" x14ac:dyDescent="0.75"/>
    <row r="177" ht="26.25" customHeight="1" x14ac:dyDescent="0.75"/>
    <row r="178" ht="26.25" customHeight="1" x14ac:dyDescent="0.75"/>
    <row r="179" ht="26.25" customHeight="1" x14ac:dyDescent="0.75"/>
    <row r="180" ht="26.25" customHeight="1" x14ac:dyDescent="0.75"/>
    <row r="181" ht="26.25" customHeight="1" x14ac:dyDescent="0.75"/>
    <row r="182" ht="26.25" customHeight="1" x14ac:dyDescent="0.75"/>
    <row r="183" ht="26.25" customHeight="1" x14ac:dyDescent="0.75"/>
    <row r="184" ht="26.25" customHeight="1" x14ac:dyDescent="0.75"/>
    <row r="185" ht="26.25" customHeight="1" x14ac:dyDescent="0.75"/>
    <row r="186" ht="26.25" customHeight="1" x14ac:dyDescent="0.75"/>
    <row r="187" ht="26.25" customHeight="1" x14ac:dyDescent="0.75"/>
    <row r="188" ht="26.25" customHeight="1" x14ac:dyDescent="0.75"/>
    <row r="189" ht="26.25" customHeight="1" x14ac:dyDescent="0.75"/>
    <row r="190" ht="26.25" customHeight="1" x14ac:dyDescent="0.75"/>
    <row r="191" ht="26.25" customHeight="1" x14ac:dyDescent="0.75"/>
    <row r="192" ht="26.25" customHeight="1" x14ac:dyDescent="0.75"/>
    <row r="193" ht="26.25" customHeight="1" x14ac:dyDescent="0.75"/>
    <row r="194" ht="26.25" customHeight="1" x14ac:dyDescent="0.75"/>
    <row r="195" ht="26.25" customHeight="1" x14ac:dyDescent="0.75"/>
    <row r="196" ht="26.25" customHeight="1" x14ac:dyDescent="0.75"/>
    <row r="197" ht="26.25" customHeight="1" x14ac:dyDescent="0.75"/>
    <row r="198" ht="26.25" customHeight="1" x14ac:dyDescent="0.75"/>
    <row r="199" ht="26.25" customHeight="1" x14ac:dyDescent="0.75"/>
    <row r="200" ht="26.25" customHeight="1" x14ac:dyDescent="0.75"/>
    <row r="201" ht="26.25" customHeight="1" x14ac:dyDescent="0.75"/>
    <row r="202" ht="26.25" customHeight="1" x14ac:dyDescent="0.75"/>
    <row r="203" ht="26.25" customHeight="1" x14ac:dyDescent="0.75"/>
    <row r="204" ht="26.25" customHeight="1" x14ac:dyDescent="0.75"/>
    <row r="205" ht="26.25" customHeight="1" x14ac:dyDescent="0.75"/>
    <row r="206" ht="26.25" customHeight="1" x14ac:dyDescent="0.75"/>
    <row r="207" ht="26.25" customHeight="1" x14ac:dyDescent="0.75"/>
    <row r="208" ht="26.25" customHeight="1" x14ac:dyDescent="0.75"/>
    <row r="209" ht="26.25" customHeight="1" x14ac:dyDescent="0.75"/>
    <row r="210" ht="26.25" customHeight="1" x14ac:dyDescent="0.75"/>
    <row r="211" ht="26.25" customHeight="1" x14ac:dyDescent="0.75"/>
    <row r="212" ht="26.25" customHeight="1" x14ac:dyDescent="0.75"/>
    <row r="213" ht="26.25" customHeight="1" x14ac:dyDescent="0.75"/>
    <row r="214" ht="26.25" customHeight="1" x14ac:dyDescent="0.75"/>
    <row r="215" ht="26.25" customHeight="1" x14ac:dyDescent="0.75"/>
    <row r="216" ht="26.25" customHeight="1" x14ac:dyDescent="0.75"/>
    <row r="217" ht="26.25" customHeight="1" x14ac:dyDescent="0.75"/>
    <row r="218" ht="26.25" customHeight="1" x14ac:dyDescent="0.75"/>
    <row r="219" ht="26.25" customHeight="1" x14ac:dyDescent="0.75"/>
    <row r="220" ht="26.25" customHeight="1" x14ac:dyDescent="0.75"/>
    <row r="221" ht="26.25" customHeight="1" x14ac:dyDescent="0.75"/>
    <row r="222" ht="26.25" customHeight="1" x14ac:dyDescent="0.75"/>
    <row r="223" ht="26.25" customHeight="1" x14ac:dyDescent="0.75"/>
    <row r="224" ht="26.25" customHeight="1" x14ac:dyDescent="0.75"/>
    <row r="225" ht="26.25" customHeight="1" x14ac:dyDescent="0.75"/>
    <row r="226" ht="26.25" customHeight="1" x14ac:dyDescent="0.75"/>
    <row r="227" ht="26.25" customHeight="1" x14ac:dyDescent="0.75"/>
    <row r="228" ht="26.25" customHeight="1" x14ac:dyDescent="0.75"/>
    <row r="229" ht="26.25" customHeight="1" x14ac:dyDescent="0.75"/>
    <row r="230" ht="26.25" customHeight="1" x14ac:dyDescent="0.75"/>
    <row r="231" ht="26.25" customHeight="1" x14ac:dyDescent="0.75"/>
    <row r="232" ht="26.25" customHeight="1" x14ac:dyDescent="0.75"/>
    <row r="233" ht="26.25" customHeight="1" x14ac:dyDescent="0.75"/>
    <row r="234" ht="26.25" customHeight="1" x14ac:dyDescent="0.75"/>
    <row r="235" ht="26.25" customHeight="1" x14ac:dyDescent="0.75"/>
    <row r="236" ht="26.25" customHeight="1" x14ac:dyDescent="0.75"/>
    <row r="237" ht="26.25" customHeight="1" x14ac:dyDescent="0.75"/>
    <row r="238" ht="26.25" customHeight="1" x14ac:dyDescent="0.75"/>
    <row r="239" ht="26.25" customHeight="1" x14ac:dyDescent="0.75"/>
    <row r="240" ht="26.25" customHeight="1" x14ac:dyDescent="0.75"/>
    <row r="241" ht="26.25" customHeight="1" x14ac:dyDescent="0.75"/>
    <row r="242" ht="26.25" customHeight="1" x14ac:dyDescent="0.75"/>
    <row r="243" ht="26.25" customHeight="1" x14ac:dyDescent="0.75"/>
    <row r="244" ht="26.25" customHeight="1" x14ac:dyDescent="0.75"/>
    <row r="245" ht="26.25" customHeight="1" x14ac:dyDescent="0.75"/>
    <row r="246" ht="26.25" customHeight="1" x14ac:dyDescent="0.75"/>
    <row r="247" ht="26.25" customHeight="1" x14ac:dyDescent="0.75"/>
    <row r="248" ht="26.25" customHeight="1" x14ac:dyDescent="0.75"/>
    <row r="249" ht="26.25" customHeight="1" x14ac:dyDescent="0.75"/>
    <row r="250" ht="26.25" customHeight="1" x14ac:dyDescent="0.75"/>
    <row r="251" ht="26.25" customHeight="1" x14ac:dyDescent="0.75"/>
    <row r="252" ht="26.25" customHeight="1" x14ac:dyDescent="0.75"/>
    <row r="253" ht="26.25" customHeight="1" x14ac:dyDescent="0.75"/>
    <row r="254" ht="26.25" customHeight="1" x14ac:dyDescent="0.75"/>
    <row r="255" ht="26.25" customHeight="1" x14ac:dyDescent="0.75"/>
    <row r="256" ht="26.25" customHeight="1" x14ac:dyDescent="0.75"/>
    <row r="257" ht="26.25" customHeight="1" x14ac:dyDescent="0.75"/>
    <row r="258" ht="26.25" customHeight="1" x14ac:dyDescent="0.75"/>
    <row r="259" ht="26.25" customHeight="1" x14ac:dyDescent="0.75"/>
    <row r="260" ht="26.25" customHeight="1" x14ac:dyDescent="0.75"/>
    <row r="261" ht="26.25" customHeight="1" x14ac:dyDescent="0.75"/>
    <row r="262" ht="26.25" customHeight="1" x14ac:dyDescent="0.75"/>
    <row r="263" ht="26.25" customHeight="1" x14ac:dyDescent="0.75"/>
    <row r="264" ht="26.25" customHeight="1" x14ac:dyDescent="0.75"/>
    <row r="265" ht="26.25" customHeight="1" x14ac:dyDescent="0.75"/>
    <row r="266" ht="26.25" customHeight="1" x14ac:dyDescent="0.75"/>
    <row r="267" ht="26.25" customHeight="1" x14ac:dyDescent="0.75"/>
    <row r="268" ht="26.25" customHeight="1" x14ac:dyDescent="0.75"/>
    <row r="269" ht="26.25" customHeight="1" x14ac:dyDescent="0.75"/>
    <row r="270" ht="26.25" customHeight="1" x14ac:dyDescent="0.75"/>
    <row r="271" ht="26.25" customHeight="1" x14ac:dyDescent="0.75"/>
    <row r="272" ht="26.25" customHeight="1" x14ac:dyDescent="0.75"/>
    <row r="273" ht="26.25" customHeight="1" x14ac:dyDescent="0.75"/>
    <row r="274" ht="26.2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row r="1015" ht="15.75" customHeight="1" x14ac:dyDescent="0.75"/>
  </sheetData>
  <mergeCells count="1">
    <mergeCell ref="A9:A18"/>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014"/>
  <sheetViews>
    <sheetView topLeftCell="A29" zoomScale="108" workbookViewId="0">
      <selection activeCell="C46" sqref="C46"/>
    </sheetView>
  </sheetViews>
  <sheetFormatPr defaultColWidth="14.5" defaultRowHeight="15" customHeight="1" x14ac:dyDescent="0.75"/>
  <cols>
    <col min="1" max="1" width="20.81640625" customWidth="1"/>
    <col min="2" max="2" width="105" customWidth="1"/>
    <col min="3" max="3" width="15.1796875" customWidth="1"/>
    <col min="4" max="4" width="30.31640625" customWidth="1"/>
    <col min="5" max="5" width="24.31640625" customWidth="1"/>
    <col min="6" max="6" width="18.5" customWidth="1"/>
    <col min="7" max="7" width="14" customWidth="1"/>
    <col min="8" max="10" width="12.31640625" customWidth="1"/>
    <col min="11" max="11" width="27.1796875" bestFit="1" customWidth="1"/>
    <col min="12" max="12" width="8.81640625" customWidth="1"/>
    <col min="13" max="13" width="31" customWidth="1"/>
    <col min="14" max="14" width="15.36328125" customWidth="1"/>
  </cols>
  <sheetData>
    <row r="1" spans="1:17" ht="80.25" customHeight="1" x14ac:dyDescent="0.75">
      <c r="A1" s="245"/>
      <c r="B1" s="429" t="s">
        <v>235</v>
      </c>
      <c r="C1" s="430" t="s">
        <v>236</v>
      </c>
      <c r="D1" s="430" t="s">
        <v>237</v>
      </c>
      <c r="E1" s="453" t="s">
        <v>518</v>
      </c>
      <c r="F1" s="1" t="s">
        <v>238</v>
      </c>
      <c r="H1" s="1">
        <v>590</v>
      </c>
      <c r="I1" s="1" t="s">
        <v>239</v>
      </c>
      <c r="J1" s="1" t="s">
        <v>240</v>
      </c>
    </row>
    <row r="2" spans="1:17" ht="14.25" customHeight="1" x14ac:dyDescent="0.75">
      <c r="A2" s="233"/>
      <c r="B2" s="428" t="s">
        <v>241</v>
      </c>
      <c r="C2" s="431">
        <f>N11</f>
        <v>7764</v>
      </c>
      <c r="D2" s="431">
        <f>O11</f>
        <v>1941</v>
      </c>
      <c r="E2" s="453"/>
      <c r="F2" s="55">
        <v>8</v>
      </c>
      <c r="G2" s="56">
        <v>6</v>
      </c>
      <c r="H2" s="57">
        <v>0.14199999999999999</v>
      </c>
      <c r="I2" s="1" t="s">
        <v>242</v>
      </c>
      <c r="J2" s="1">
        <f>44.9301897177261*12</f>
        <v>539.16227661271319</v>
      </c>
      <c r="K2" s="1">
        <f>134.790569153178*12</f>
        <v>1617.4868298381361</v>
      </c>
      <c r="M2" t="s">
        <v>575</v>
      </c>
    </row>
    <row r="3" spans="1:17" ht="14.25" customHeight="1" x14ac:dyDescent="0.75">
      <c r="A3" s="233"/>
      <c r="B3" s="428" t="s">
        <v>243</v>
      </c>
      <c r="C3" s="431">
        <f>P11</f>
        <v>1827.2</v>
      </c>
      <c r="D3" s="431">
        <f>Q11</f>
        <v>456.8</v>
      </c>
      <c r="E3" s="163"/>
      <c r="M3" t="s">
        <v>576</v>
      </c>
      <c r="N3" t="s">
        <v>577</v>
      </c>
      <c r="O3" t="s">
        <v>578</v>
      </c>
    </row>
    <row r="4" spans="1:17" ht="14.25" customHeight="1" x14ac:dyDescent="0.75">
      <c r="A4" s="233"/>
      <c r="B4" s="428" t="s">
        <v>244</v>
      </c>
      <c r="C4" s="432">
        <f>J2/F2</f>
        <v>67.395284576589148</v>
      </c>
      <c r="D4" s="432">
        <f>K2/G2</f>
        <v>269.58113830635602</v>
      </c>
      <c r="E4" s="163"/>
      <c r="G4" s="127" t="s">
        <v>526</v>
      </c>
      <c r="M4" t="s">
        <v>579</v>
      </c>
      <c r="N4">
        <v>108266</v>
      </c>
      <c r="O4">
        <v>33636</v>
      </c>
    </row>
    <row r="5" spans="1:17" ht="14.25" customHeight="1" x14ac:dyDescent="0.75">
      <c r="A5" s="233"/>
      <c r="B5" s="428" t="s">
        <v>245</v>
      </c>
      <c r="C5" s="432">
        <f>C4*0.02</f>
        <v>1.3479056915317831</v>
      </c>
      <c r="D5" s="432">
        <f>D4*0.01</f>
        <v>2.6958113830635604</v>
      </c>
      <c r="E5" s="163"/>
      <c r="F5" s="1" t="s">
        <v>246</v>
      </c>
      <c r="G5" s="1" t="s">
        <v>247</v>
      </c>
      <c r="H5" s="1"/>
      <c r="M5" t="s">
        <v>580</v>
      </c>
      <c r="N5">
        <v>9705</v>
      </c>
      <c r="O5">
        <v>2284</v>
      </c>
    </row>
    <row r="6" spans="1:17" ht="14.25" customHeight="1" x14ac:dyDescent="0.75">
      <c r="A6" s="494"/>
      <c r="B6" s="445" t="s">
        <v>248</v>
      </c>
      <c r="C6" s="433">
        <v>0.4</v>
      </c>
      <c r="D6" s="433">
        <v>0.1</v>
      </c>
      <c r="E6" s="493" t="s">
        <v>249</v>
      </c>
      <c r="F6" s="1" t="s">
        <v>250</v>
      </c>
      <c r="G6" s="446" t="s">
        <v>38</v>
      </c>
      <c r="H6" s="446" t="s">
        <v>41</v>
      </c>
      <c r="I6" s="446" t="s">
        <v>40</v>
      </c>
      <c r="J6" s="446" t="s">
        <v>42</v>
      </c>
      <c r="K6" s="447" t="s">
        <v>251</v>
      </c>
      <c r="M6" t="s">
        <v>581</v>
      </c>
    </row>
    <row r="7" spans="1:17" ht="13.5" customHeight="1" x14ac:dyDescent="0.75">
      <c r="A7" s="495"/>
      <c r="B7" s="445" t="s">
        <v>252</v>
      </c>
      <c r="C7" s="433">
        <v>7.0000000000000007E-2</v>
      </c>
      <c r="D7" s="433">
        <v>0.1</v>
      </c>
      <c r="E7" s="493"/>
      <c r="F7" s="58" t="s">
        <v>45</v>
      </c>
      <c r="G7" s="448">
        <f>$C$6/SUM($C$6:$C$11)*$C$2*$C$4/($C$6/SUM($C$6:$C$11)*$C$2*$C$4+$D$6/SUM($D$6:$D$11)*$D$2*$D$4)</f>
        <v>0.8016194331983808</v>
      </c>
      <c r="H7" s="448">
        <f>$C$7/SUM($C$6:$C$11)*$C$2*$C$4/($C$7/SUM($C$6:$C$11)*$C$2*$C$4+$D$7/SUM($D$6:$D$11)*$D$2*$D$4)</f>
        <v>0.41422594142259461</v>
      </c>
      <c r="I7" s="448">
        <f>$C$8/SUM($C$6:$C$11)*$C$2*$C$4/($C$8/SUM($C$6:$C$11)*$C$2*$C$4+$D$8/SUM($D$6:$D$11)*$D$2*$D$4)</f>
        <v>0.79333614508646177</v>
      </c>
      <c r="J7" s="448">
        <f>$C$9/SUM($C$6:$C$11)*$C$2*$C$4/($C$9/SUM($C$6:$C$11)*$C$2*$C$4+$D$9/SUM($D$6:$D$11)*$D$2*$D$4)</f>
        <v>0.8016194331983808</v>
      </c>
      <c r="K7" s="449">
        <f>$C$10/SUM($C$6:$C$11)*$C$2*$C$4/($C$10/SUM($C$6:$C$11)*$C$2*$C$4+$D$10/SUM($D$6:$D$11)*$D$2*$D$4)</f>
        <v>8.1840727473133229E-2</v>
      </c>
    </row>
    <row r="8" spans="1:17" ht="15.75" customHeight="1" x14ac:dyDescent="0.75">
      <c r="A8" s="495"/>
      <c r="B8" s="445" t="s">
        <v>253</v>
      </c>
      <c r="C8" s="433">
        <v>0.38</v>
      </c>
      <c r="D8" s="433">
        <v>0.1</v>
      </c>
      <c r="E8" s="493"/>
      <c r="F8" s="58" t="s">
        <v>47</v>
      </c>
      <c r="G8" s="448">
        <f>$D$6/SUM($D$6:$D$11)*$D$2*$D$4/($C$6/SUM($C$6:$C$11)*$C$2*$C$4+$D$6/SUM($D$6:$D$11)*$D$2*$D$4)</f>
        <v>0.19838056680161908</v>
      </c>
      <c r="H8" s="448">
        <f>$D$7/SUM($D$6:$D$11)*$D$2*$D$4/($C$7/SUM($C$6:$C$11)*$C$2*$C$4+$D$7/SUM($D$6:$D$11)*$D$2*$D$4)</f>
        <v>0.58577405857740528</v>
      </c>
      <c r="I8" s="448">
        <f>$D$8/SUM($D$6:$D$11)*$D$2*$D$4/($C$8/SUM($C$6:$C$11)*$C$2*$C$4+$D$8/SUM($D$6:$D$11)*$D$2*$D$4)</f>
        <v>0.20666385491353828</v>
      </c>
      <c r="J8" s="448">
        <f>$D$9/SUM($D$6:$D$11)*$D$2*$D$4/($C$9/SUM($C$6:$C$11)*$C$2*$C$4+$D$9/SUM($D$6:$D$11)*$D$2*$D$4)</f>
        <v>0.19838056680161914</v>
      </c>
      <c r="K8" s="449">
        <f>$D$10/SUM($D$6:$D$11)*$D$2*$D$4/($C$10/SUM($C$6:$C$11)*$C$2*$C$4+$D$10/SUM($D$6:$D$11)*$D$2*$D$4)</f>
        <v>0.9181592725268668</v>
      </c>
      <c r="M8" s="484" t="s">
        <v>582</v>
      </c>
      <c r="N8">
        <v>80</v>
      </c>
    </row>
    <row r="9" spans="1:17" ht="28.5" customHeight="1" x14ac:dyDescent="0.75">
      <c r="A9" s="495"/>
      <c r="B9" s="445" t="s">
        <v>254</v>
      </c>
      <c r="C9" s="433">
        <v>0.04</v>
      </c>
      <c r="D9" s="433">
        <v>0.01</v>
      </c>
      <c r="E9" s="493"/>
      <c r="F9" s="58"/>
      <c r="G9" s="450">
        <f>G8+G7</f>
        <v>0.99999999999999989</v>
      </c>
      <c r="H9" s="450">
        <f t="shared" ref="H9:K9" si="0">H8+H7</f>
        <v>0.99999999999999989</v>
      </c>
      <c r="I9" s="450">
        <f t="shared" si="0"/>
        <v>1</v>
      </c>
      <c r="J9" s="450">
        <f t="shared" si="0"/>
        <v>1</v>
      </c>
      <c r="K9" s="450">
        <f t="shared" si="0"/>
        <v>1</v>
      </c>
      <c r="M9" t="s">
        <v>576</v>
      </c>
      <c r="N9" s="485" t="s">
        <v>583</v>
      </c>
      <c r="O9" s="485" t="s">
        <v>584</v>
      </c>
      <c r="P9" s="485" t="s">
        <v>585</v>
      </c>
      <c r="Q9" s="485" t="s">
        <v>586</v>
      </c>
    </row>
    <row r="10" spans="1:17" ht="14.25" customHeight="1" x14ac:dyDescent="0.75">
      <c r="A10" s="495"/>
      <c r="B10" s="445" t="s">
        <v>255</v>
      </c>
      <c r="C10" s="433">
        <v>0.06</v>
      </c>
      <c r="D10" s="433">
        <v>0.68</v>
      </c>
      <c r="E10" s="493"/>
      <c r="G10" s="22"/>
      <c r="H10" s="22"/>
      <c r="M10" t="s">
        <v>579</v>
      </c>
      <c r="N10">
        <f>N4*N8/100</f>
        <v>86612.800000000003</v>
      </c>
      <c r="O10">
        <f>N4*(100-N8)/100</f>
        <v>21653.200000000001</v>
      </c>
      <c r="P10">
        <f>O4*N8/100</f>
        <v>26908.799999999999</v>
      </c>
      <c r="Q10">
        <f>O4*(100-O8)/100</f>
        <v>33636</v>
      </c>
    </row>
    <row r="11" spans="1:17" ht="14.25" customHeight="1" x14ac:dyDescent="0.75">
      <c r="A11" s="496"/>
      <c r="B11" s="445" t="s">
        <v>256</v>
      </c>
      <c r="C11" s="433">
        <v>0.03</v>
      </c>
      <c r="D11" s="433">
        <v>0</v>
      </c>
      <c r="E11" s="493"/>
      <c r="G11" s="1" t="s">
        <v>257</v>
      </c>
      <c r="H11" s="22"/>
      <c r="M11" t="s">
        <v>580</v>
      </c>
      <c r="N11">
        <f>N5*N8/100</f>
        <v>7764</v>
      </c>
      <c r="O11">
        <f>N5*(100-N8)/100</f>
        <v>1941</v>
      </c>
      <c r="P11">
        <f>O5*N8/100</f>
        <v>1827.2</v>
      </c>
      <c r="Q11">
        <f>O5*(100-N8)/100</f>
        <v>456.8</v>
      </c>
    </row>
    <row r="12" spans="1:17" ht="14.25" customHeight="1" x14ac:dyDescent="0.75">
      <c r="A12" s="14"/>
      <c r="B12" s="54" t="s">
        <v>525</v>
      </c>
      <c r="C12" s="54"/>
      <c r="D12" s="54"/>
      <c r="F12" s="1" t="s">
        <v>258</v>
      </c>
      <c r="G12" s="451">
        <f>$C$6/SUM($C$6:$C$11)*$C$2*$C$4</f>
        <v>213574.28140924004</v>
      </c>
      <c r="H12" s="451">
        <f>$D$6/SUM($D$6:$D$11)*$D$2*$D$4</f>
        <v>52854.241358852225</v>
      </c>
    </row>
    <row r="13" spans="1:17" ht="14.25" customHeight="1" x14ac:dyDescent="0.75">
      <c r="A13" s="491" t="s">
        <v>523</v>
      </c>
      <c r="B13" s="427" t="s">
        <v>259</v>
      </c>
      <c r="C13" s="433">
        <v>0.46</v>
      </c>
      <c r="D13" s="433">
        <v>0.5</v>
      </c>
      <c r="E13" s="497" t="s">
        <v>249</v>
      </c>
      <c r="F13" s="22" t="s">
        <v>251</v>
      </c>
      <c r="G13" s="451">
        <f>$C$10/SUM($C$6:$C$11)*$C$2*$C$4</f>
        <v>32036.142211385999</v>
      </c>
      <c r="H13" s="451">
        <f>$D$10/SUM($D$6:$D$11)*$D$2*$D$4</f>
        <v>359408.84124019515</v>
      </c>
    </row>
    <row r="14" spans="1:17" ht="14.25" customHeight="1" x14ac:dyDescent="0.75">
      <c r="A14" s="492"/>
      <c r="B14" s="427" t="s">
        <v>260</v>
      </c>
      <c r="C14" s="433">
        <v>0</v>
      </c>
      <c r="D14" s="433">
        <v>0</v>
      </c>
      <c r="E14" s="497"/>
      <c r="F14" s="22" t="s">
        <v>261</v>
      </c>
      <c r="G14" s="452">
        <f t="shared" ref="G14:H14" si="1">C11/SUM(C6:C11)*C2*C4</f>
        <v>16018.071105692999</v>
      </c>
      <c r="H14" s="452">
        <f t="shared" si="1"/>
        <v>0</v>
      </c>
    </row>
    <row r="15" spans="1:17" ht="14.25" customHeight="1" x14ac:dyDescent="0.75">
      <c r="A15" s="492"/>
      <c r="B15" s="427" t="s">
        <v>262</v>
      </c>
      <c r="C15" s="433">
        <v>0</v>
      </c>
      <c r="D15" s="433">
        <v>0</v>
      </c>
      <c r="E15" s="497"/>
      <c r="F15" s="22" t="s">
        <v>181</v>
      </c>
      <c r="G15" s="452">
        <f t="shared" ref="G15:H15" si="2">C2*C4</f>
        <v>523256.98945263814</v>
      </c>
      <c r="H15" s="452">
        <f t="shared" si="2"/>
        <v>523256.98945263703</v>
      </c>
    </row>
    <row r="16" spans="1:17" ht="14.25" customHeight="1" x14ac:dyDescent="0.75">
      <c r="A16" s="492"/>
      <c r="B16" s="427" t="s">
        <v>263</v>
      </c>
      <c r="C16" s="433">
        <v>7.0000000000000007E-2</v>
      </c>
      <c r="D16" s="433">
        <v>0.02</v>
      </c>
      <c r="E16" s="497"/>
      <c r="G16" s="451">
        <f t="shared" ref="G16:H16" si="3">SUM(G12:G14)</f>
        <v>261628.49472631904</v>
      </c>
      <c r="H16" s="451">
        <f t="shared" si="3"/>
        <v>412263.0825990474</v>
      </c>
    </row>
    <row r="17" spans="1:5" ht="14.25" customHeight="1" x14ac:dyDescent="0.75">
      <c r="A17" s="492"/>
      <c r="B17" s="427" t="s">
        <v>264</v>
      </c>
      <c r="C17" s="433">
        <v>7.0000000000000007E-2</v>
      </c>
      <c r="D17" s="433">
        <v>0</v>
      </c>
      <c r="E17" s="497"/>
    </row>
    <row r="18" spans="1:5" ht="14.25" customHeight="1" x14ac:dyDescent="0.75">
      <c r="A18" s="492"/>
      <c r="B18" s="427" t="s">
        <v>265</v>
      </c>
      <c r="C18" s="433">
        <v>0</v>
      </c>
      <c r="D18" s="433">
        <v>0</v>
      </c>
      <c r="E18" s="497"/>
    </row>
    <row r="19" spans="1:5" ht="14.25" customHeight="1" x14ac:dyDescent="0.75">
      <c r="A19" s="492"/>
      <c r="B19" s="427" t="s">
        <v>266</v>
      </c>
      <c r="C19" s="433">
        <v>0</v>
      </c>
      <c r="D19" s="433">
        <v>0</v>
      </c>
      <c r="E19" s="497"/>
    </row>
    <row r="20" spans="1:5" ht="14.25" customHeight="1" x14ac:dyDescent="0.75">
      <c r="A20" s="492"/>
      <c r="B20" s="427" t="s">
        <v>267</v>
      </c>
      <c r="C20" s="433">
        <v>0.13</v>
      </c>
      <c r="D20" s="433">
        <v>0.2</v>
      </c>
      <c r="E20" s="497"/>
    </row>
    <row r="21" spans="1:5" ht="14.25" customHeight="1" x14ac:dyDescent="0.75">
      <c r="A21" s="492"/>
      <c r="B21" s="435" t="s">
        <v>268</v>
      </c>
      <c r="C21" s="433">
        <v>0.12000000000000001</v>
      </c>
      <c r="D21" s="444">
        <v>0.23</v>
      </c>
      <c r="E21" s="497"/>
    </row>
    <row r="22" spans="1:5" ht="14.25" customHeight="1" x14ac:dyDescent="0.75">
      <c r="A22" s="492"/>
      <c r="B22" s="436" t="s">
        <v>269</v>
      </c>
      <c r="C22" s="434">
        <v>0.12</v>
      </c>
      <c r="D22" s="443">
        <v>0.04</v>
      </c>
      <c r="E22" s="497"/>
    </row>
    <row r="23" spans="1:5" ht="14.25" customHeight="1" x14ac:dyDescent="0.75">
      <c r="A23" s="492"/>
      <c r="B23" s="436" t="s">
        <v>553</v>
      </c>
      <c r="C23" s="434">
        <v>0.02</v>
      </c>
      <c r="D23" s="443">
        <v>0.01</v>
      </c>
      <c r="E23" s="497"/>
    </row>
    <row r="24" spans="1:5" ht="14.25" customHeight="1" x14ac:dyDescent="0.75">
      <c r="A24" s="492"/>
      <c r="B24" s="437" t="s">
        <v>573</v>
      </c>
      <c r="C24" s="434">
        <v>0</v>
      </c>
      <c r="D24" s="438">
        <v>0</v>
      </c>
      <c r="E24" s="497"/>
    </row>
    <row r="25" spans="1:5" ht="14.25" customHeight="1" x14ac:dyDescent="0.75">
      <c r="A25" s="492"/>
      <c r="B25" s="437" t="s">
        <v>574</v>
      </c>
      <c r="C25" s="443">
        <v>0.01</v>
      </c>
      <c r="D25" s="438">
        <v>2.7959999999999999E-3</v>
      </c>
      <c r="E25" s="497"/>
    </row>
    <row r="26" spans="1:5" ht="14.25" customHeight="1" x14ac:dyDescent="0.75">
      <c r="A26" s="439"/>
      <c r="B26" s="440" t="s">
        <v>270</v>
      </c>
      <c r="C26" s="441">
        <f>SUM(C13:C25)</f>
        <v>1</v>
      </c>
      <c r="D26" s="442">
        <f>SUM(D13:D25)</f>
        <v>1.002796</v>
      </c>
      <c r="E26" s="23" t="s">
        <v>524</v>
      </c>
    </row>
    <row r="27" spans="1:5" ht="14.25" customHeight="1" x14ac:dyDescent="0.75">
      <c r="B27" s="11"/>
    </row>
    <row r="28" spans="1:5" ht="14.25" customHeight="1" x14ac:dyDescent="0.75">
      <c r="B28" s="156" t="s">
        <v>521</v>
      </c>
      <c r="C28" s="60"/>
      <c r="D28" s="60"/>
    </row>
    <row r="29" spans="1:5" ht="14.25" customHeight="1" x14ac:dyDescent="0.75">
      <c r="B29" s="326" t="s">
        <v>271</v>
      </c>
      <c r="C29" s="327" t="s">
        <v>45</v>
      </c>
      <c r="D29" s="328" t="s">
        <v>47</v>
      </c>
    </row>
    <row r="30" spans="1:5" ht="14.25" customHeight="1" x14ac:dyDescent="0.75">
      <c r="B30" s="329" t="s">
        <v>30</v>
      </c>
      <c r="C30" s="330">
        <f>C$2*C$4*C16/SUM(C13:C25)</f>
        <v>36627.98926168467</v>
      </c>
      <c r="D30" s="330">
        <f>D$2*D$4*D16/SUM(D13:D25)</f>
        <v>10435.960842537006</v>
      </c>
      <c r="E30" s="1" t="s">
        <v>272</v>
      </c>
    </row>
    <row r="31" spans="1:5" ht="14.25" customHeight="1" x14ac:dyDescent="0.75">
      <c r="B31" s="331" t="s">
        <v>32</v>
      </c>
      <c r="C31" s="467">
        <f>C$2*C$4*C23/SUM(C13:C25)</f>
        <v>10465.139789052762</v>
      </c>
      <c r="D31" s="468">
        <f>D$2*D$4*D23/SUM(D13:D25)</f>
        <v>5217.9804212685031</v>
      </c>
      <c r="E31" s="127" t="s">
        <v>554</v>
      </c>
    </row>
    <row r="32" spans="1:5" ht="14.25" customHeight="1" x14ac:dyDescent="0.75">
      <c r="B32" s="329" t="s">
        <v>34</v>
      </c>
      <c r="C32" s="330">
        <f>C2*C4*SUM(C13:C15,C18,C20)/SUM(C13:C25)</f>
        <v>308721.62377705652</v>
      </c>
      <c r="D32" s="330">
        <f>D2*D4*SUM(D13:D15,D18,D20)/SUM(D13:D25)</f>
        <v>365258.62948879524</v>
      </c>
      <c r="E32" s="1" t="s">
        <v>273</v>
      </c>
    </row>
    <row r="33" spans="1:5" ht="14.25" customHeight="1" x14ac:dyDescent="0.75">
      <c r="B33" s="329" t="s">
        <v>36</v>
      </c>
      <c r="C33" s="330">
        <f t="shared" ref="C33:D33" si="4">C2*C4*C17/SUM(C13:C25)</f>
        <v>36627.98926168467</v>
      </c>
      <c r="D33" s="330">
        <f t="shared" si="4"/>
        <v>0</v>
      </c>
      <c r="E33" s="1" t="s">
        <v>274</v>
      </c>
    </row>
    <row r="34" spans="1:5" ht="14.25" customHeight="1" x14ac:dyDescent="0.75">
      <c r="B34" s="331" t="s">
        <v>38</v>
      </c>
      <c r="C34" s="330">
        <v>0</v>
      </c>
      <c r="D34" s="330">
        <v>0</v>
      </c>
      <c r="E34" s="1" t="s">
        <v>275</v>
      </c>
    </row>
    <row r="35" spans="1:5" ht="14.25" customHeight="1" x14ac:dyDescent="0.75">
      <c r="B35" s="331" t="s">
        <v>40</v>
      </c>
      <c r="C35" s="330">
        <v>0</v>
      </c>
      <c r="D35" s="330">
        <v>0</v>
      </c>
      <c r="E35" s="1" t="s">
        <v>275</v>
      </c>
    </row>
    <row r="36" spans="1:5" ht="14.25" customHeight="1" x14ac:dyDescent="0.75">
      <c r="B36" s="331" t="s">
        <v>41</v>
      </c>
      <c r="C36" s="330">
        <v>0</v>
      </c>
      <c r="D36" s="330">
        <v>0</v>
      </c>
      <c r="E36" s="1" t="s">
        <v>275</v>
      </c>
    </row>
    <row r="37" spans="1:5" ht="14.25" customHeight="1" x14ac:dyDescent="0.75">
      <c r="B37" s="331" t="s">
        <v>42</v>
      </c>
      <c r="C37" s="330">
        <v>0</v>
      </c>
      <c r="D37" s="330">
        <v>0</v>
      </c>
      <c r="E37" s="1" t="s">
        <v>275</v>
      </c>
    </row>
    <row r="38" spans="1:5" ht="14.25" customHeight="1" x14ac:dyDescent="0.75">
      <c r="B38" s="329" t="s">
        <v>43</v>
      </c>
      <c r="C38" s="330">
        <f t="shared" ref="C38:D38" si="5">C2*C4*C22/SUM(C13:C25)</f>
        <v>62790.838734316574</v>
      </c>
      <c r="D38" s="330">
        <f t="shared" si="5"/>
        <v>20871.921685074012</v>
      </c>
      <c r="E38" s="1" t="s">
        <v>276</v>
      </c>
    </row>
    <row r="39" spans="1:5" ht="14.25" customHeight="1" x14ac:dyDescent="0.75">
      <c r="B39" s="329" t="s">
        <v>45</v>
      </c>
      <c r="C39" s="330">
        <v>0</v>
      </c>
      <c r="D39" s="330">
        <v>0</v>
      </c>
      <c r="E39" s="1" t="s">
        <v>277</v>
      </c>
    </row>
    <row r="40" spans="1:5" ht="14.25" customHeight="1" x14ac:dyDescent="0.75">
      <c r="B40" s="329" t="s">
        <v>47</v>
      </c>
      <c r="C40" s="330">
        <v>0</v>
      </c>
      <c r="D40" s="330">
        <v>0</v>
      </c>
      <c r="E40" s="1" t="s">
        <v>277</v>
      </c>
    </row>
    <row r="41" spans="1:5" ht="14.25" customHeight="1" x14ac:dyDescent="0.75">
      <c r="B41" s="329" t="s">
        <v>48</v>
      </c>
      <c r="C41" s="330">
        <f t="shared" ref="C41:D41" si="6">C2*C4*C19/SUM(C13:C25)</f>
        <v>0</v>
      </c>
      <c r="D41" s="330">
        <f t="shared" si="6"/>
        <v>0</v>
      </c>
      <c r="E41" s="1" t="s">
        <v>278</v>
      </c>
    </row>
    <row r="42" spans="1:5" ht="14.25" customHeight="1" x14ac:dyDescent="0.75">
      <c r="B42" s="329" t="s">
        <v>50</v>
      </c>
      <c r="C42" s="330">
        <v>0</v>
      </c>
      <c r="D42" s="330">
        <v>0</v>
      </c>
      <c r="E42" s="1" t="s">
        <v>279</v>
      </c>
    </row>
    <row r="43" spans="1:5" ht="14.25" customHeight="1" x14ac:dyDescent="0.75">
      <c r="B43" s="329" t="s">
        <v>52</v>
      </c>
      <c r="C43" s="330">
        <v>0</v>
      </c>
      <c r="D43" s="330">
        <v>0</v>
      </c>
      <c r="E43" s="1" t="s">
        <v>280</v>
      </c>
    </row>
    <row r="44" spans="1:5" ht="14.25" customHeight="1" x14ac:dyDescent="0.75">
      <c r="B44" s="329" t="s">
        <v>54</v>
      </c>
      <c r="C44" s="330">
        <v>0</v>
      </c>
      <c r="D44" s="330">
        <v>0</v>
      </c>
      <c r="E44" s="1" t="s">
        <v>281</v>
      </c>
    </row>
    <row r="45" spans="1:5" ht="16.5" customHeight="1" x14ac:dyDescent="0.75">
      <c r="A45" s="19"/>
      <c r="B45" s="329" t="s">
        <v>568</v>
      </c>
      <c r="C45" s="330">
        <f>$C$2*$C$4*C24/SUM($C$13:$C$25)</f>
        <v>0</v>
      </c>
      <c r="D45" s="346" t="s">
        <v>569</v>
      </c>
    </row>
    <row r="46" spans="1:5" ht="14.25" customHeight="1" x14ac:dyDescent="0.75">
      <c r="B46" s="329" t="s">
        <v>57</v>
      </c>
      <c r="C46" s="330">
        <f>$C$2*$C$4*C25/SUM($C$13:$C$25)</f>
        <v>5232.5698945263812</v>
      </c>
      <c r="D46" s="330">
        <f>D2*D4*D25/SUM(D13:D25)</f>
        <v>1458.9473257866734</v>
      </c>
      <c r="E46" s="1" t="s">
        <v>282</v>
      </c>
    </row>
    <row r="47" spans="1:5" ht="14.25" customHeight="1" x14ac:dyDescent="0.75">
      <c r="B47" s="333" t="s">
        <v>59</v>
      </c>
      <c r="C47" s="330">
        <f>C2*C4*C21/SUM(C13:C25)</f>
        <v>62790.838734316581</v>
      </c>
      <c r="D47" s="330">
        <f>D2*D4*D21/SUM(D13:D25)</f>
        <v>120013.54968917559</v>
      </c>
      <c r="E47" s="1" t="s">
        <v>283</v>
      </c>
    </row>
    <row r="48" spans="1:5" ht="14.25" customHeight="1" x14ac:dyDescent="0.75">
      <c r="B48" s="329" t="s">
        <v>61</v>
      </c>
      <c r="C48" s="330">
        <f>SUM(C30:C47)</f>
        <v>523256.98945263814</v>
      </c>
      <c r="D48" s="334">
        <f t="shared" ref="D48" si="7">SUM(D30:D47)</f>
        <v>523256.98945263703</v>
      </c>
      <c r="E48" s="1" t="s">
        <v>284</v>
      </c>
    </row>
    <row r="49" spans="2:14" ht="14.25" customHeight="1" x14ac:dyDescent="0.75">
      <c r="B49" s="329" t="s">
        <v>63</v>
      </c>
      <c r="C49" s="335">
        <f>C2*C4</f>
        <v>523256.98945263814</v>
      </c>
      <c r="D49" s="336">
        <f>D2*D4</f>
        <v>523256.98945263703</v>
      </c>
      <c r="E49" s="1" t="s">
        <v>285</v>
      </c>
    </row>
    <row r="50" spans="2:14" ht="14.25" customHeight="1" x14ac:dyDescent="0.75">
      <c r="B50" s="329" t="s">
        <v>65</v>
      </c>
      <c r="C50" s="330">
        <f t="shared" ref="C50:D50" si="8">C49-C48</f>
        <v>0</v>
      </c>
      <c r="D50" s="334">
        <f t="shared" si="8"/>
        <v>0</v>
      </c>
    </row>
    <row r="51" spans="2:14" ht="14.25" customHeight="1" x14ac:dyDescent="0.75">
      <c r="B51" s="337" t="s">
        <v>67</v>
      </c>
      <c r="C51" s="338">
        <f t="shared" ref="C51:D51" si="9">C50/C49</f>
        <v>0</v>
      </c>
      <c r="D51" s="339">
        <f t="shared" si="9"/>
        <v>0</v>
      </c>
    </row>
    <row r="52" spans="2:14" ht="14.25" customHeight="1" x14ac:dyDescent="0.75"/>
    <row r="53" spans="2:14" ht="14.25" customHeight="1" x14ac:dyDescent="0.75"/>
    <row r="54" spans="2:14" ht="14.25" customHeight="1" x14ac:dyDescent="0.75"/>
    <row r="55" spans="2:14" ht="14.25" customHeight="1" x14ac:dyDescent="0.75"/>
    <row r="56" spans="2:14" ht="14.25" customHeight="1" x14ac:dyDescent="0.75">
      <c r="B56" s="23" t="s">
        <v>522</v>
      </c>
      <c r="I56" s="23" t="s">
        <v>522</v>
      </c>
    </row>
    <row r="57" spans="2:14" ht="14.25" customHeight="1" x14ac:dyDescent="0.75">
      <c r="B57" s="33" t="s">
        <v>0</v>
      </c>
      <c r="C57" s="34" t="s">
        <v>1</v>
      </c>
      <c r="D57" s="35" t="s">
        <v>2</v>
      </c>
      <c r="E57" s="35" t="s">
        <v>3</v>
      </c>
      <c r="F57" s="35" t="s">
        <v>4</v>
      </c>
      <c r="G57" s="35" t="s">
        <v>5</v>
      </c>
      <c r="I57" s="33" t="s">
        <v>0</v>
      </c>
      <c r="J57" s="34" t="s">
        <v>1</v>
      </c>
      <c r="K57" s="35" t="s">
        <v>2</v>
      </c>
      <c r="L57" s="35" t="s">
        <v>3</v>
      </c>
      <c r="M57" s="35" t="s">
        <v>4</v>
      </c>
      <c r="N57" s="35" t="s">
        <v>5</v>
      </c>
    </row>
    <row r="58" spans="2:14" ht="14.25" customHeight="1" x14ac:dyDescent="0.75">
      <c r="B58" s="181" t="str">
        <f t="shared" ref="B58:C58" si="10">B2</f>
        <v>What is the population of the communities constituting this local economy? (Number of people)</v>
      </c>
      <c r="C58" s="325">
        <f t="shared" si="10"/>
        <v>7764</v>
      </c>
      <c r="D58" s="181" t="s">
        <v>287</v>
      </c>
      <c r="E58" s="181">
        <v>0</v>
      </c>
      <c r="F58" s="181">
        <v>1000000</v>
      </c>
      <c r="G58" s="181">
        <v>1</v>
      </c>
      <c r="I58" s="181" t="str">
        <f>B2</f>
        <v>What is the population of the communities constituting this local economy? (Number of people)</v>
      </c>
      <c r="J58" s="324">
        <f>D2</f>
        <v>1941</v>
      </c>
      <c r="K58" s="181" t="s">
        <v>286</v>
      </c>
      <c r="L58" s="181">
        <v>0</v>
      </c>
      <c r="M58" s="181">
        <v>1000000</v>
      </c>
      <c r="N58" s="181">
        <v>1</v>
      </c>
    </row>
    <row r="59" spans="2:14" ht="14.25" customHeight="1" x14ac:dyDescent="0.75">
      <c r="B59" s="181" t="str">
        <f t="shared" ref="B59:C59" si="11">B3</f>
        <v>How many households are in this local economy? (Number of households)</v>
      </c>
      <c r="C59" s="325">
        <f t="shared" si="11"/>
        <v>1827.2</v>
      </c>
      <c r="D59" s="181" t="s">
        <v>289</v>
      </c>
      <c r="E59" s="181">
        <v>0</v>
      </c>
      <c r="F59" s="181">
        <v>1000000</v>
      </c>
      <c r="G59" s="181">
        <v>1</v>
      </c>
      <c r="I59" s="181" t="str">
        <f>B3</f>
        <v>How many households are in this local economy? (Number of households)</v>
      </c>
      <c r="J59" s="324">
        <f>D3</f>
        <v>456.8</v>
      </c>
      <c r="K59" s="181" t="s">
        <v>288</v>
      </c>
      <c r="L59" s="181">
        <v>0</v>
      </c>
      <c r="M59" s="181">
        <v>1000000</v>
      </c>
      <c r="N59" s="181">
        <v>1</v>
      </c>
    </row>
    <row r="60" spans="2:14" ht="14.25" customHeight="1" x14ac:dyDescent="0.75">
      <c r="B60" s="181" t="str">
        <f t="shared" ref="B60:C60" si="12">B4</f>
        <v>About what is the average annual per-capita income of households in this region (US$)?</v>
      </c>
      <c r="C60" s="325">
        <f t="shared" si="12"/>
        <v>67.395284576589148</v>
      </c>
      <c r="D60" s="181" t="s">
        <v>291</v>
      </c>
      <c r="E60" s="181">
        <v>0</v>
      </c>
      <c r="F60" s="181">
        <v>1000000</v>
      </c>
      <c r="G60" s="181">
        <v>1</v>
      </c>
      <c r="I60" s="181" t="str">
        <f>B4</f>
        <v>About what is the average annual per-capita income of households in this region (US$)?</v>
      </c>
      <c r="J60" s="325">
        <f>D4</f>
        <v>269.58113830635602</v>
      </c>
      <c r="K60" s="181" t="s">
        <v>290</v>
      </c>
      <c r="L60" s="181">
        <v>0</v>
      </c>
      <c r="M60" s="181">
        <v>1000000</v>
      </c>
      <c r="N60" s="181">
        <v>1</v>
      </c>
    </row>
    <row r="61" spans="2:14" ht="14.25" customHeight="1" x14ac:dyDescent="0.75">
      <c r="B61" s="181" t="str">
        <f t="shared" ref="B61:C61" si="13">B5</f>
        <v>About what is the average annual government transfers (e.g., SCTs) to households in this region?</v>
      </c>
      <c r="C61" s="325">
        <f t="shared" si="13"/>
        <v>1.3479056915317831</v>
      </c>
      <c r="D61" s="181" t="s">
        <v>293</v>
      </c>
      <c r="E61" s="181">
        <v>0</v>
      </c>
      <c r="F61" s="181">
        <v>1000000</v>
      </c>
      <c r="G61" s="181">
        <v>1</v>
      </c>
      <c r="I61" s="181" t="str">
        <f>B5</f>
        <v>About what is the average annual government transfers (e.g., SCTs) to households in this region?</v>
      </c>
      <c r="J61" s="325">
        <f>D5</f>
        <v>2.6958113830635604</v>
      </c>
      <c r="K61" s="181" t="s">
        <v>292</v>
      </c>
      <c r="L61" s="181">
        <v>0</v>
      </c>
      <c r="M61" s="181">
        <v>1000000</v>
      </c>
      <c r="N61" s="181">
        <v>1</v>
      </c>
    </row>
    <row r="62" spans="2:14" ht="14.25" customHeight="1" x14ac:dyDescent="0.75">
      <c r="B62" s="33" t="s">
        <v>0</v>
      </c>
      <c r="C62" s="34" t="s">
        <v>1</v>
      </c>
      <c r="D62" s="35" t="s">
        <v>2</v>
      </c>
      <c r="E62" s="35" t="s">
        <v>3</v>
      </c>
      <c r="F62" s="35" t="s">
        <v>4</v>
      </c>
      <c r="G62" s="35" t="s">
        <v>5</v>
      </c>
      <c r="I62" s="33" t="s">
        <v>0</v>
      </c>
      <c r="J62" s="34" t="s">
        <v>1</v>
      </c>
      <c r="K62" s="35" t="s">
        <v>2</v>
      </c>
      <c r="L62" s="35" t="s">
        <v>3</v>
      </c>
      <c r="M62" s="35" t="s">
        <v>4</v>
      </c>
      <c r="N62" s="35" t="s">
        <v>5</v>
      </c>
    </row>
    <row r="63" spans="2:14" ht="14.25" customHeight="1" x14ac:dyDescent="0.75">
      <c r="B63" s="181" t="str">
        <f>B6</f>
        <v>About what % of household income comes from wages earned by male unskilled workers in the household?</v>
      </c>
      <c r="C63" s="181">
        <f>C6*100</f>
        <v>40</v>
      </c>
      <c r="D63" s="181" t="s">
        <v>371</v>
      </c>
      <c r="E63" s="181">
        <v>0</v>
      </c>
      <c r="F63" s="181">
        <v>100</v>
      </c>
      <c r="G63" s="181">
        <v>0.01</v>
      </c>
      <c r="I63" s="181" t="str">
        <f>B63</f>
        <v>About what % of household income comes from wages earned by male unskilled workers in the household?</v>
      </c>
      <c r="J63" s="181">
        <f>D6*100</f>
        <v>10</v>
      </c>
      <c r="K63" s="181" t="s">
        <v>375</v>
      </c>
      <c r="L63" s="181">
        <v>0</v>
      </c>
      <c r="M63" s="181">
        <v>100</v>
      </c>
      <c r="N63" s="181">
        <v>0.01</v>
      </c>
    </row>
    <row r="64" spans="2:14" ht="14.25" customHeight="1" x14ac:dyDescent="0.75">
      <c r="B64" s="181" t="str">
        <f>B7</f>
        <v>About what % of household income comes from wages earned by male skilled workers in the household?</v>
      </c>
      <c r="C64" s="181">
        <f>C7*100</f>
        <v>7.0000000000000009</v>
      </c>
      <c r="D64" s="181" t="s">
        <v>372</v>
      </c>
      <c r="E64" s="181">
        <v>0</v>
      </c>
      <c r="F64" s="181">
        <v>100</v>
      </c>
      <c r="G64" s="181">
        <v>0.01</v>
      </c>
      <c r="I64" s="181" t="str">
        <f t="shared" ref="I64:I68" si="14">B64</f>
        <v>About what % of household income comes from wages earned by male skilled workers in the household?</v>
      </c>
      <c r="J64" s="181">
        <f>D7*100</f>
        <v>10</v>
      </c>
      <c r="K64" s="181" t="s">
        <v>376</v>
      </c>
      <c r="L64" s="181">
        <v>0</v>
      </c>
      <c r="M64" s="181">
        <v>100</v>
      </c>
      <c r="N64" s="181">
        <v>0.01</v>
      </c>
    </row>
    <row r="65" spans="2:14" ht="14.25" customHeight="1" x14ac:dyDescent="0.75">
      <c r="B65" s="181" t="str">
        <f>B8</f>
        <v>About what % of household income comes from wages earned by female unskilled workers in the household?</v>
      </c>
      <c r="C65" s="181">
        <f>C8*100</f>
        <v>38</v>
      </c>
      <c r="D65" s="181" t="s">
        <v>373</v>
      </c>
      <c r="E65" s="181">
        <v>0</v>
      </c>
      <c r="F65" s="181">
        <v>100</v>
      </c>
      <c r="G65" s="181">
        <v>0.01</v>
      </c>
      <c r="I65" s="181" t="str">
        <f t="shared" si="14"/>
        <v>About what % of household income comes from wages earned by female unskilled workers in the household?</v>
      </c>
      <c r="J65" s="181">
        <f>D8*100</f>
        <v>10</v>
      </c>
      <c r="K65" s="181" t="s">
        <v>377</v>
      </c>
      <c r="L65" s="181">
        <v>0</v>
      </c>
      <c r="M65" s="181">
        <v>100</v>
      </c>
      <c r="N65" s="181">
        <v>0.01</v>
      </c>
    </row>
    <row r="66" spans="2:14" ht="14.25" customHeight="1" x14ac:dyDescent="0.75">
      <c r="B66" s="181" t="str">
        <f>B9</f>
        <v>About what % of household income comes from wages earned by female skilled workers in the household?</v>
      </c>
      <c r="C66" s="181">
        <f>C9*100</f>
        <v>4</v>
      </c>
      <c r="D66" s="181" t="s">
        <v>374</v>
      </c>
      <c r="E66" s="181">
        <v>0</v>
      </c>
      <c r="F66" s="181">
        <v>100</v>
      </c>
      <c r="G66" s="181">
        <v>0.01</v>
      </c>
      <c r="I66" s="181" t="str">
        <f t="shared" si="14"/>
        <v>About what % of household income comes from wages earned by female skilled workers in the household?</v>
      </c>
      <c r="J66" s="181">
        <f>D9*100</f>
        <v>1</v>
      </c>
      <c r="K66" s="181" t="s">
        <v>378</v>
      </c>
      <c r="L66" s="181">
        <v>0</v>
      </c>
      <c r="M66" s="181">
        <v>100</v>
      </c>
      <c r="N66" s="181">
        <v>0.01</v>
      </c>
    </row>
    <row r="67" spans="2:14" ht="14.25" customHeight="1" x14ac:dyDescent="0.75">
      <c r="B67" s="181" t="str">
        <f>B10</f>
        <v>About what % of household incomes comes from profits from household-owned farms or businesses or renting property the household owns?</v>
      </c>
      <c r="C67" s="181">
        <f>C10*100</f>
        <v>6</v>
      </c>
      <c r="D67" s="181" t="s">
        <v>295</v>
      </c>
      <c r="E67" s="181">
        <v>0</v>
      </c>
      <c r="F67" s="181">
        <v>100</v>
      </c>
      <c r="G67" s="181">
        <v>0.01</v>
      </c>
      <c r="I67" s="181" t="str">
        <f t="shared" si="14"/>
        <v>About what % of household incomes comes from profits from household-owned farms or businesses or renting property the household owns?</v>
      </c>
      <c r="J67" s="181">
        <f>D10*100</f>
        <v>68</v>
      </c>
      <c r="K67" s="181" t="s">
        <v>294</v>
      </c>
      <c r="L67" s="181">
        <v>0</v>
      </c>
      <c r="M67" s="181">
        <v>100</v>
      </c>
      <c r="N67" s="181">
        <v>0.01</v>
      </c>
    </row>
    <row r="68" spans="2:14" ht="14.25" customHeight="1" x14ac:dyDescent="0.75">
      <c r="B68" s="181" t="str">
        <f>B11</f>
        <v>About what % of household incomes comes from migrant remittances (domestic and foreign?</v>
      </c>
      <c r="C68" s="181">
        <f>C11*100</f>
        <v>3</v>
      </c>
      <c r="D68" s="181" t="s">
        <v>297</v>
      </c>
      <c r="E68" s="181">
        <v>0</v>
      </c>
      <c r="F68" s="181">
        <v>100</v>
      </c>
      <c r="G68" s="181">
        <v>0.01</v>
      </c>
      <c r="I68" s="181" t="str">
        <f t="shared" si="14"/>
        <v>About what % of household incomes comes from migrant remittances (domestic and foreign?</v>
      </c>
      <c r="J68" s="181">
        <f>D11*100</f>
        <v>0</v>
      </c>
      <c r="K68" s="181" t="s">
        <v>296</v>
      </c>
      <c r="L68" s="181">
        <v>0</v>
      </c>
      <c r="M68" s="181">
        <v>100</v>
      </c>
      <c r="N68" s="181">
        <v>0.01</v>
      </c>
    </row>
    <row r="69" spans="2:14" ht="14.25" customHeight="1" x14ac:dyDescent="0.75">
      <c r="B69" s="61" t="str">
        <f>B12</f>
        <v>About what percentage of households' spending each month is on…</v>
      </c>
      <c r="C69" s="1">
        <f>C12</f>
        <v>0</v>
      </c>
      <c r="I69" s="61" t="str">
        <f>B12</f>
        <v>About what percentage of households' spending each month is on…</v>
      </c>
      <c r="J69" s="1">
        <f>D12</f>
        <v>0</v>
      </c>
    </row>
    <row r="70" spans="2:14" ht="14.25" customHeight="1" x14ac:dyDescent="0.75">
      <c r="B70" s="33" t="s">
        <v>0</v>
      </c>
      <c r="C70" s="34" t="s">
        <v>1</v>
      </c>
      <c r="D70" s="35" t="s">
        <v>2</v>
      </c>
      <c r="E70" s="35" t="s">
        <v>3</v>
      </c>
      <c r="F70" s="35" t="s">
        <v>4</v>
      </c>
      <c r="G70" s="35" t="s">
        <v>5</v>
      </c>
      <c r="I70" s="33" t="s">
        <v>0</v>
      </c>
      <c r="J70" s="34" t="s">
        <v>1</v>
      </c>
      <c r="K70" s="35" t="s">
        <v>2</v>
      </c>
      <c r="L70" s="35" t="s">
        <v>3</v>
      </c>
      <c r="M70" s="35" t="s">
        <v>4</v>
      </c>
      <c r="N70" s="35" t="s">
        <v>5</v>
      </c>
    </row>
    <row r="71" spans="2:14" ht="14.25" customHeight="1" x14ac:dyDescent="0.75">
      <c r="B71" s="181" t="str">
        <f t="shared" ref="B71:B80" si="15">B13</f>
        <v>Food bought from Local grocery stores</v>
      </c>
      <c r="C71" s="181">
        <f t="shared" ref="C71:C80" si="16">C13*100</f>
        <v>46</v>
      </c>
      <c r="D71" s="181" t="s">
        <v>299</v>
      </c>
      <c r="E71" s="181">
        <v>0</v>
      </c>
      <c r="F71" s="181">
        <v>100</v>
      </c>
      <c r="G71" s="181">
        <v>0.01</v>
      </c>
      <c r="I71" s="181" t="str">
        <f t="shared" ref="I71:I80" si="17">B13</f>
        <v>Food bought from Local grocery stores</v>
      </c>
      <c r="J71" s="181">
        <f t="shared" ref="J71:J80" si="18">D13*100</f>
        <v>50</v>
      </c>
      <c r="K71" s="181" t="s">
        <v>298</v>
      </c>
      <c r="L71" s="181">
        <v>0</v>
      </c>
      <c r="M71" s="181">
        <v>100</v>
      </c>
      <c r="N71" s="181">
        <v>0.01</v>
      </c>
    </row>
    <row r="72" spans="2:14" ht="14.25" customHeight="1" x14ac:dyDescent="0.75">
      <c r="B72" s="181" t="str">
        <f t="shared" si="15"/>
        <v>Other goods from local grocery stores</v>
      </c>
      <c r="C72" s="181">
        <f t="shared" si="16"/>
        <v>0</v>
      </c>
      <c r="D72" s="181" t="s">
        <v>301</v>
      </c>
      <c r="E72" s="181">
        <v>0</v>
      </c>
      <c r="F72" s="181">
        <v>100</v>
      </c>
      <c r="G72" s="181">
        <v>0.01</v>
      </c>
      <c r="I72" s="181" t="str">
        <f t="shared" si="17"/>
        <v>Other goods from local grocery stores</v>
      </c>
      <c r="J72" s="181">
        <f t="shared" si="18"/>
        <v>0</v>
      </c>
      <c r="K72" s="181" t="s">
        <v>300</v>
      </c>
      <c r="L72" s="181">
        <v>0</v>
      </c>
      <c r="M72" s="181">
        <v>100</v>
      </c>
      <c r="N72" s="181">
        <v>0.01</v>
      </c>
    </row>
    <row r="73" spans="2:14" ht="14.25" customHeight="1" x14ac:dyDescent="0.75">
      <c r="B73" s="181" t="str">
        <f t="shared" si="15"/>
        <v>Food from Periodic markets</v>
      </c>
      <c r="C73" s="181">
        <f t="shared" si="16"/>
        <v>0</v>
      </c>
      <c r="D73" s="181" t="s">
        <v>303</v>
      </c>
      <c r="E73" s="181">
        <v>0</v>
      </c>
      <c r="F73" s="181">
        <v>100</v>
      </c>
      <c r="G73" s="181">
        <v>0.01</v>
      </c>
      <c r="I73" s="181" t="str">
        <f t="shared" si="17"/>
        <v>Food from Periodic markets</v>
      </c>
      <c r="J73" s="181">
        <f t="shared" si="18"/>
        <v>0</v>
      </c>
      <c r="K73" s="181" t="s">
        <v>302</v>
      </c>
      <c r="L73" s="181">
        <v>0</v>
      </c>
      <c r="M73" s="181">
        <v>100</v>
      </c>
      <c r="N73" s="181">
        <v>0.01</v>
      </c>
    </row>
    <row r="74" spans="2:14" ht="14.25" customHeight="1" x14ac:dyDescent="0.75">
      <c r="B74" s="181" t="str">
        <f t="shared" si="15"/>
        <v>Buying food direct from local farmers or your own farm</v>
      </c>
      <c r="C74" s="181">
        <f t="shared" si="16"/>
        <v>7.0000000000000009</v>
      </c>
      <c r="D74" s="181" t="s">
        <v>305</v>
      </c>
      <c r="E74" s="181">
        <v>0</v>
      </c>
      <c r="F74" s="181">
        <v>100</v>
      </c>
      <c r="G74" s="181">
        <v>0.01</v>
      </c>
      <c r="I74" s="181" t="str">
        <f t="shared" si="17"/>
        <v>Buying food direct from local farmers or your own farm</v>
      </c>
      <c r="J74" s="181">
        <f t="shared" si="18"/>
        <v>2</v>
      </c>
      <c r="K74" s="181" t="s">
        <v>304</v>
      </c>
      <c r="L74" s="181">
        <v>0</v>
      </c>
      <c r="M74" s="181">
        <v>100</v>
      </c>
      <c r="N74" s="181">
        <v>0.01</v>
      </c>
    </row>
    <row r="75" spans="2:14" ht="14.25" customHeight="1" x14ac:dyDescent="0.75">
      <c r="B75" s="181" t="str">
        <f t="shared" si="15"/>
        <v>Buying local fish</v>
      </c>
      <c r="C75" s="181">
        <f t="shared" si="16"/>
        <v>7.0000000000000009</v>
      </c>
      <c r="D75" s="181" t="s">
        <v>307</v>
      </c>
      <c r="E75" s="181">
        <v>0</v>
      </c>
      <c r="F75" s="181">
        <v>100</v>
      </c>
      <c r="G75" s="181">
        <v>0.01</v>
      </c>
      <c r="I75" s="181" t="str">
        <f t="shared" si="17"/>
        <v>Buying local fish</v>
      </c>
      <c r="J75" s="181">
        <f t="shared" si="18"/>
        <v>0</v>
      </c>
      <c r="K75" s="181" t="s">
        <v>306</v>
      </c>
      <c r="L75" s="181">
        <v>0</v>
      </c>
      <c r="M75" s="181">
        <v>100</v>
      </c>
      <c r="N75" s="181">
        <v>0.01</v>
      </c>
    </row>
    <row r="76" spans="2:14" ht="14.25" customHeight="1" x14ac:dyDescent="0.75">
      <c r="B76" s="181" t="str">
        <f t="shared" si="15"/>
        <v>Buying from local food processors, including neighbors who sell foods they prepare for sale</v>
      </c>
      <c r="C76" s="181">
        <f t="shared" si="16"/>
        <v>0</v>
      </c>
      <c r="D76" s="181" t="s">
        <v>309</v>
      </c>
      <c r="E76" s="181">
        <v>0</v>
      </c>
      <c r="F76" s="181">
        <v>100</v>
      </c>
      <c r="G76" s="181">
        <v>0.01</v>
      </c>
      <c r="I76" s="181" t="str">
        <f t="shared" si="17"/>
        <v>Buying from local food processors, including neighbors who sell foods they prepare for sale</v>
      </c>
      <c r="J76" s="181">
        <f t="shared" si="18"/>
        <v>0</v>
      </c>
      <c r="K76" s="181" t="s">
        <v>308</v>
      </c>
      <c r="L76" s="181">
        <v>0</v>
      </c>
      <c r="M76" s="181">
        <v>100</v>
      </c>
      <c r="N76" s="181">
        <v>0.01</v>
      </c>
    </row>
    <row r="77" spans="2:14" ht="14.25" customHeight="1" x14ac:dyDescent="0.75">
      <c r="B77" s="181" t="str">
        <f t="shared" si="15"/>
        <v>Buying food and drink at local restaurants (food and drink)</v>
      </c>
      <c r="C77" s="181">
        <f t="shared" si="16"/>
        <v>0</v>
      </c>
      <c r="D77" s="181" t="s">
        <v>311</v>
      </c>
      <c r="E77" s="181">
        <v>0</v>
      </c>
      <c r="F77" s="181">
        <v>100</v>
      </c>
      <c r="G77" s="181">
        <v>0.01</v>
      </c>
      <c r="I77" s="181" t="str">
        <f t="shared" si="17"/>
        <v>Buying food and drink at local restaurants (food and drink)</v>
      </c>
      <c r="J77" s="181">
        <f t="shared" si="18"/>
        <v>0</v>
      </c>
      <c r="K77" s="181" t="s">
        <v>310</v>
      </c>
      <c r="L77" s="181">
        <v>0</v>
      </c>
      <c r="M77" s="181">
        <v>100</v>
      </c>
      <c r="N77" s="181">
        <v>0.01</v>
      </c>
    </row>
    <row r="78" spans="2:14" ht="14.25" customHeight="1" x14ac:dyDescent="0.75">
      <c r="B78" s="181" t="str">
        <f t="shared" si="15"/>
        <v>Things besides food that are sold by people or businesses in your community, including services</v>
      </c>
      <c r="C78" s="181">
        <f t="shared" si="16"/>
        <v>13</v>
      </c>
      <c r="D78" s="181" t="s">
        <v>313</v>
      </c>
      <c r="E78" s="181">
        <v>0</v>
      </c>
      <c r="F78" s="181">
        <v>100</v>
      </c>
      <c r="G78" s="181">
        <v>0.01</v>
      </c>
      <c r="I78" s="181" t="str">
        <f t="shared" si="17"/>
        <v>Things besides food that are sold by people or businesses in your community, including services</v>
      </c>
      <c r="J78" s="181">
        <f t="shared" si="18"/>
        <v>20</v>
      </c>
      <c r="K78" s="181" t="s">
        <v>312</v>
      </c>
      <c r="L78" s="181">
        <v>0</v>
      </c>
      <c r="M78" s="181">
        <v>100</v>
      </c>
      <c r="N78" s="181">
        <v>0.01</v>
      </c>
    </row>
    <row r="79" spans="2:14" ht="14.25" customHeight="1" x14ac:dyDescent="0.75">
      <c r="B79" s="181" t="str">
        <f t="shared" si="15"/>
        <v>Things you buy from businesses, etc., in places outside your community</v>
      </c>
      <c r="C79" s="181">
        <f t="shared" si="16"/>
        <v>12.000000000000002</v>
      </c>
      <c r="D79" s="181" t="s">
        <v>315</v>
      </c>
      <c r="E79" s="181">
        <v>0</v>
      </c>
      <c r="F79" s="181">
        <v>100</v>
      </c>
      <c r="G79" s="181">
        <v>0.01</v>
      </c>
      <c r="I79" s="181" t="str">
        <f t="shared" si="17"/>
        <v>Things you buy from businesses, etc., in places outside your community</v>
      </c>
      <c r="J79" s="181">
        <f t="shared" si="18"/>
        <v>23</v>
      </c>
      <c r="K79" s="181" t="s">
        <v>314</v>
      </c>
      <c r="L79" s="181">
        <v>0</v>
      </c>
      <c r="M79" s="181">
        <v>100</v>
      </c>
      <c r="N79" s="181">
        <v>0.01</v>
      </c>
    </row>
    <row r="80" spans="2:14" ht="14.25" customHeight="1" x14ac:dyDescent="0.75">
      <c r="B80" s="181" t="str">
        <f t="shared" si="15"/>
        <v>Rent (if household rents its house; don't include business rentals here)</v>
      </c>
      <c r="C80" s="181">
        <f t="shared" si="16"/>
        <v>12</v>
      </c>
      <c r="D80" s="181" t="s">
        <v>317</v>
      </c>
      <c r="E80" s="181">
        <v>0</v>
      </c>
      <c r="F80" s="181">
        <v>100</v>
      </c>
      <c r="G80" s="181">
        <v>0.01</v>
      </c>
      <c r="I80" s="181" t="str">
        <f t="shared" si="17"/>
        <v>Rent (if household rents its house; don't include business rentals here)</v>
      </c>
      <c r="J80" s="181">
        <f t="shared" si="18"/>
        <v>4</v>
      </c>
      <c r="K80" s="181" t="s">
        <v>316</v>
      </c>
      <c r="L80" s="181">
        <v>0</v>
      </c>
      <c r="M80" s="181">
        <v>100</v>
      </c>
      <c r="N80" s="181">
        <v>0.01</v>
      </c>
    </row>
    <row r="81" spans="2:14" ht="14.25" customHeight="1" x14ac:dyDescent="0.75">
      <c r="B81" s="181" t="str">
        <f t="shared" ref="B81:B82" si="19">B25</f>
        <v>Household federal income tax payments</v>
      </c>
      <c r="C81" s="181">
        <f t="shared" ref="C81:C82" si="20">C25*100</f>
        <v>1</v>
      </c>
      <c r="D81" s="181" t="s">
        <v>319</v>
      </c>
      <c r="E81" s="181">
        <v>0</v>
      </c>
      <c r="F81" s="181">
        <v>100</v>
      </c>
      <c r="G81" s="181">
        <v>0.01</v>
      </c>
      <c r="I81" s="181" t="str">
        <f t="shared" ref="I81:I82" si="21">B25</f>
        <v>Household federal income tax payments</v>
      </c>
      <c r="J81" s="181">
        <f t="shared" ref="J81:J82" si="22">D25*100</f>
        <v>0.27959999999999996</v>
      </c>
      <c r="K81" s="181" t="s">
        <v>318</v>
      </c>
      <c r="L81" s="181">
        <v>0</v>
      </c>
      <c r="M81" s="181">
        <v>100</v>
      </c>
      <c r="N81" s="181">
        <v>0.01</v>
      </c>
    </row>
    <row r="82" spans="2:14" ht="14.25" customHeight="1" x14ac:dyDescent="0.75">
      <c r="B82" s="1" t="str">
        <f t="shared" si="19"/>
        <v>Total (should equal 100%)</v>
      </c>
      <c r="C82" s="1">
        <f t="shared" si="20"/>
        <v>100</v>
      </c>
      <c r="I82" s="1" t="str">
        <f t="shared" si="21"/>
        <v>Total (should equal 100%)</v>
      </c>
      <c r="J82" s="1">
        <f t="shared" si="22"/>
        <v>100.2796</v>
      </c>
    </row>
    <row r="83" spans="2:14" ht="14.25" customHeight="1" x14ac:dyDescent="0.75"/>
    <row r="84" spans="2:14" ht="14.25" customHeight="1" x14ac:dyDescent="0.75">
      <c r="K84" s="102"/>
    </row>
    <row r="85" spans="2:14" ht="14.25" customHeight="1" x14ac:dyDescent="0.75"/>
    <row r="86" spans="2:14" ht="14.25" customHeight="1" x14ac:dyDescent="0.75"/>
    <row r="87" spans="2:14" ht="14.25" customHeight="1" x14ac:dyDescent="0.75">
      <c r="D87" s="102"/>
    </row>
    <row r="88" spans="2:14" ht="14.25" customHeight="1" x14ac:dyDescent="0.75"/>
    <row r="89" spans="2:14" ht="14.25" customHeight="1" x14ac:dyDescent="0.75"/>
    <row r="90" spans="2:14" ht="14.25" customHeight="1" x14ac:dyDescent="0.75"/>
    <row r="91" spans="2:14" ht="14.25" customHeight="1" x14ac:dyDescent="0.75"/>
    <row r="92" spans="2:14" ht="14.25" customHeight="1" x14ac:dyDescent="0.75"/>
    <row r="93" spans="2:14" ht="14.25" customHeight="1" x14ac:dyDescent="0.75"/>
    <row r="94" spans="2:14" ht="14.25" customHeight="1" x14ac:dyDescent="0.75"/>
    <row r="95" spans="2:14" ht="14.25" customHeight="1" x14ac:dyDescent="0.75"/>
    <row r="96" spans="2:14" ht="14.25" customHeight="1" x14ac:dyDescent="0.75"/>
    <row r="97" ht="14.25" customHeight="1" x14ac:dyDescent="0.75"/>
    <row r="98" ht="14.25" customHeight="1" x14ac:dyDescent="0.75"/>
    <row r="99" ht="14.25" customHeight="1" x14ac:dyDescent="0.75"/>
    <row r="100" ht="14.25" customHeight="1" x14ac:dyDescent="0.75"/>
    <row r="101" ht="14.25" customHeight="1" x14ac:dyDescent="0.75"/>
    <row r="102" ht="14.25" customHeight="1" x14ac:dyDescent="0.75"/>
    <row r="103" ht="14.25" customHeight="1" x14ac:dyDescent="0.75"/>
    <row r="104" ht="14.25" customHeight="1" x14ac:dyDescent="0.75"/>
    <row r="105" ht="14.25" customHeight="1" x14ac:dyDescent="0.75"/>
    <row r="106" ht="14.25" customHeight="1" x14ac:dyDescent="0.75"/>
    <row r="107" ht="14.25" customHeight="1" x14ac:dyDescent="0.75"/>
    <row r="108" ht="14.25" customHeight="1" x14ac:dyDescent="0.75"/>
    <row r="109" ht="14.25" customHeight="1" x14ac:dyDescent="0.75"/>
    <row r="110" ht="14.25" customHeight="1" x14ac:dyDescent="0.75"/>
    <row r="111" ht="14.25" customHeight="1" x14ac:dyDescent="0.75"/>
    <row r="112" ht="14.25" customHeight="1" x14ac:dyDescent="0.75"/>
    <row r="113" ht="14.25" customHeight="1" x14ac:dyDescent="0.75"/>
    <row r="114" ht="14.25" customHeight="1" x14ac:dyDescent="0.75"/>
    <row r="115" ht="14.25" customHeight="1" x14ac:dyDescent="0.75"/>
    <row r="116" ht="14.25" customHeight="1" x14ac:dyDescent="0.75"/>
    <row r="117" ht="14.25" customHeight="1" x14ac:dyDescent="0.75"/>
    <row r="118" ht="14.25" customHeight="1" x14ac:dyDescent="0.75"/>
    <row r="119" ht="14.25" customHeight="1" x14ac:dyDescent="0.75"/>
    <row r="120" ht="14.25" customHeight="1" x14ac:dyDescent="0.75"/>
    <row r="121" ht="14.25" customHeight="1" x14ac:dyDescent="0.75"/>
    <row r="122" ht="14.25" customHeight="1" x14ac:dyDescent="0.75"/>
    <row r="123" ht="14.25" customHeight="1" x14ac:dyDescent="0.75"/>
    <row r="124" ht="14.25" customHeight="1" x14ac:dyDescent="0.75"/>
    <row r="125" ht="14.25" customHeight="1" x14ac:dyDescent="0.75"/>
    <row r="126" ht="14.25" customHeight="1" x14ac:dyDescent="0.75"/>
    <row r="127" ht="14.25" customHeight="1" x14ac:dyDescent="0.75"/>
    <row r="128" ht="14.25" customHeight="1" x14ac:dyDescent="0.75"/>
    <row r="129" ht="14.25" customHeight="1" x14ac:dyDescent="0.75"/>
    <row r="130" ht="14.25" customHeight="1" x14ac:dyDescent="0.75"/>
    <row r="131" ht="14.25" customHeight="1" x14ac:dyDescent="0.75"/>
    <row r="132" ht="14.25" customHeight="1" x14ac:dyDescent="0.75"/>
    <row r="133" ht="14.25" customHeight="1" x14ac:dyDescent="0.75"/>
    <row r="134" ht="14.25" customHeight="1" x14ac:dyDescent="0.75"/>
    <row r="135" ht="14.25" customHeight="1" x14ac:dyDescent="0.75"/>
    <row r="136" ht="14.25" customHeight="1" x14ac:dyDescent="0.75"/>
    <row r="137" ht="14.25" customHeight="1" x14ac:dyDescent="0.75"/>
    <row r="138" ht="14.25" customHeight="1" x14ac:dyDescent="0.75"/>
    <row r="139" ht="14.25" customHeight="1" x14ac:dyDescent="0.75"/>
    <row r="140" ht="14.25" customHeight="1" x14ac:dyDescent="0.75"/>
    <row r="141" ht="14.25" customHeight="1" x14ac:dyDescent="0.75"/>
    <row r="142" ht="14.25" customHeight="1" x14ac:dyDescent="0.75"/>
    <row r="143" ht="14.25" customHeight="1" x14ac:dyDescent="0.75"/>
    <row r="144" ht="14.25" customHeight="1" x14ac:dyDescent="0.75"/>
    <row r="145" ht="14.25" customHeight="1" x14ac:dyDescent="0.75"/>
    <row r="146" ht="14.25" customHeight="1" x14ac:dyDescent="0.75"/>
    <row r="147" ht="14.25" customHeight="1" x14ac:dyDescent="0.75"/>
    <row r="148" ht="14.25" customHeight="1" x14ac:dyDescent="0.75"/>
    <row r="149" ht="14.25" customHeight="1" x14ac:dyDescent="0.75"/>
    <row r="150" ht="14.25" customHeight="1" x14ac:dyDescent="0.75"/>
    <row r="151" ht="14.25" customHeight="1" x14ac:dyDescent="0.75"/>
    <row r="152" ht="14.25" customHeight="1" x14ac:dyDescent="0.75"/>
    <row r="153" ht="14.25" customHeight="1" x14ac:dyDescent="0.75"/>
    <row r="154" ht="14.25" customHeight="1" x14ac:dyDescent="0.75"/>
    <row r="155" ht="14.25" customHeight="1" x14ac:dyDescent="0.75"/>
    <row r="156" ht="14.25" customHeight="1" x14ac:dyDescent="0.75"/>
    <row r="157" ht="14.25" customHeight="1" x14ac:dyDescent="0.75"/>
    <row r="158" ht="14.25" customHeight="1" x14ac:dyDescent="0.75"/>
    <row r="159" ht="14.25" customHeight="1" x14ac:dyDescent="0.75"/>
    <row r="160" ht="14.25" customHeight="1" x14ac:dyDescent="0.75"/>
    <row r="161" ht="14.25" customHeight="1" x14ac:dyDescent="0.75"/>
    <row r="162" ht="14.25" customHeight="1" x14ac:dyDescent="0.75"/>
    <row r="163" ht="14.25" customHeight="1" x14ac:dyDescent="0.75"/>
    <row r="164" ht="14.25" customHeight="1" x14ac:dyDescent="0.75"/>
    <row r="165" ht="14.25" customHeight="1" x14ac:dyDescent="0.75"/>
    <row r="166" ht="14.25" customHeight="1" x14ac:dyDescent="0.75"/>
    <row r="167" ht="14.25" customHeight="1" x14ac:dyDescent="0.75"/>
    <row r="168" ht="14.25" customHeight="1" x14ac:dyDescent="0.75"/>
    <row r="169" ht="14.25" customHeight="1" x14ac:dyDescent="0.75"/>
    <row r="170" ht="14.25" customHeight="1" x14ac:dyDescent="0.75"/>
    <row r="171" ht="14.25" customHeight="1" x14ac:dyDescent="0.75"/>
    <row r="172" ht="14.25" customHeight="1" x14ac:dyDescent="0.75"/>
    <row r="173" ht="14.25" customHeight="1" x14ac:dyDescent="0.75"/>
    <row r="174" ht="14.25" customHeight="1" x14ac:dyDescent="0.75"/>
    <row r="175" ht="14.25" customHeight="1" x14ac:dyDescent="0.75"/>
    <row r="176" ht="14.25" customHeight="1" x14ac:dyDescent="0.75"/>
    <row r="177" ht="14.25" customHeight="1" x14ac:dyDescent="0.75"/>
    <row r="178" ht="14.25" customHeight="1" x14ac:dyDescent="0.75"/>
    <row r="179" ht="14.25" customHeight="1" x14ac:dyDescent="0.75"/>
    <row r="180" ht="14.25" customHeight="1" x14ac:dyDescent="0.75"/>
    <row r="181" ht="14.25" customHeight="1" x14ac:dyDescent="0.75"/>
    <row r="182" ht="14.25" customHeight="1" x14ac:dyDescent="0.75"/>
    <row r="183" ht="14.25" customHeight="1" x14ac:dyDescent="0.75"/>
    <row r="184" ht="14.25" customHeight="1" x14ac:dyDescent="0.75"/>
    <row r="185" ht="14.25" customHeight="1" x14ac:dyDescent="0.75"/>
    <row r="186" ht="14.25" customHeight="1" x14ac:dyDescent="0.75"/>
    <row r="187" ht="14.25" customHeight="1" x14ac:dyDescent="0.75"/>
    <row r="188" ht="14.25" customHeight="1" x14ac:dyDescent="0.75"/>
    <row r="189" ht="14.25" customHeight="1" x14ac:dyDescent="0.75"/>
    <row r="190" ht="14.25" customHeight="1" x14ac:dyDescent="0.75"/>
    <row r="191" ht="14.25" customHeight="1" x14ac:dyDescent="0.75"/>
    <row r="192" ht="14.25" customHeight="1" x14ac:dyDescent="0.75"/>
    <row r="193" ht="14.25" customHeight="1" x14ac:dyDescent="0.75"/>
    <row r="194" ht="14.25" customHeight="1" x14ac:dyDescent="0.75"/>
    <row r="195" ht="14.25" customHeight="1" x14ac:dyDescent="0.75"/>
    <row r="196" ht="14.25" customHeight="1" x14ac:dyDescent="0.75"/>
    <row r="197" ht="14.25" customHeight="1" x14ac:dyDescent="0.75"/>
    <row r="198" ht="14.25" customHeight="1" x14ac:dyDescent="0.75"/>
    <row r="199" ht="14.25" customHeight="1" x14ac:dyDescent="0.75"/>
    <row r="200" ht="14.25" customHeight="1" x14ac:dyDescent="0.75"/>
    <row r="201" ht="14.25" customHeight="1" x14ac:dyDescent="0.75"/>
    <row r="202" ht="14.25" customHeight="1" x14ac:dyDescent="0.75"/>
    <row r="203" ht="14.25" customHeight="1" x14ac:dyDescent="0.75"/>
    <row r="204" ht="14.25" customHeight="1" x14ac:dyDescent="0.75"/>
    <row r="205" ht="14.25" customHeight="1" x14ac:dyDescent="0.75"/>
    <row r="206" ht="14.25" customHeight="1" x14ac:dyDescent="0.75"/>
    <row r="207" ht="14.25" customHeight="1" x14ac:dyDescent="0.75"/>
    <row r="208" ht="14.25" customHeight="1" x14ac:dyDescent="0.75"/>
    <row r="209" ht="14.25" customHeight="1" x14ac:dyDescent="0.75"/>
    <row r="210" ht="14.25" customHeight="1" x14ac:dyDescent="0.75"/>
    <row r="211" ht="14.25" customHeight="1" x14ac:dyDescent="0.75"/>
    <row r="212" ht="14.25" customHeight="1" x14ac:dyDescent="0.75"/>
    <row r="213" ht="14.25" customHeight="1" x14ac:dyDescent="0.75"/>
    <row r="214" ht="14.25" customHeight="1" x14ac:dyDescent="0.75"/>
    <row r="215" ht="14.25" customHeight="1" x14ac:dyDescent="0.75"/>
    <row r="216" ht="14.25" customHeight="1" x14ac:dyDescent="0.75"/>
    <row r="217" ht="14.25" customHeight="1" x14ac:dyDescent="0.75"/>
    <row r="218" ht="14.25" customHeight="1" x14ac:dyDescent="0.75"/>
    <row r="219" ht="14.25" customHeight="1" x14ac:dyDescent="0.75"/>
    <row r="220" ht="14.25" customHeight="1" x14ac:dyDescent="0.75"/>
    <row r="221" ht="14.25" customHeight="1" x14ac:dyDescent="0.75"/>
    <row r="222" ht="14.25" customHeight="1" x14ac:dyDescent="0.75"/>
    <row r="223" ht="14.25" customHeight="1" x14ac:dyDescent="0.75"/>
    <row r="224" ht="14.25" customHeight="1" x14ac:dyDescent="0.75"/>
    <row r="225" ht="14.25" customHeight="1" x14ac:dyDescent="0.75"/>
    <row r="226" ht="14.25" customHeight="1" x14ac:dyDescent="0.75"/>
    <row r="227" ht="14.25" customHeight="1" x14ac:dyDescent="0.75"/>
    <row r="228" ht="14.25" customHeight="1" x14ac:dyDescent="0.75"/>
    <row r="229" ht="14.25" customHeight="1" x14ac:dyDescent="0.75"/>
    <row r="230" ht="14.25" customHeight="1" x14ac:dyDescent="0.75"/>
    <row r="231" ht="14.25" customHeight="1" x14ac:dyDescent="0.75"/>
    <row r="232" ht="14.25" customHeight="1" x14ac:dyDescent="0.75"/>
    <row r="233" ht="14.25" customHeight="1" x14ac:dyDescent="0.75"/>
    <row r="234" ht="14.25" customHeight="1" x14ac:dyDescent="0.75"/>
    <row r="235" ht="14.25" customHeight="1" x14ac:dyDescent="0.75"/>
    <row r="236" ht="14.25" customHeight="1" x14ac:dyDescent="0.75"/>
    <row r="237" ht="14.25" customHeight="1" x14ac:dyDescent="0.75"/>
    <row r="238" ht="14.25" customHeight="1" x14ac:dyDescent="0.75"/>
    <row r="239" ht="14.25" customHeight="1" x14ac:dyDescent="0.75"/>
    <row r="240" ht="14.25" customHeight="1" x14ac:dyDescent="0.75"/>
    <row r="241" ht="14.25" customHeight="1" x14ac:dyDescent="0.75"/>
    <row r="242" ht="14.25" customHeight="1" x14ac:dyDescent="0.75"/>
    <row r="243" ht="14.25" customHeight="1" x14ac:dyDescent="0.75"/>
    <row r="244" ht="14.25" customHeight="1" x14ac:dyDescent="0.75"/>
    <row r="245" ht="14.25" customHeight="1" x14ac:dyDescent="0.75"/>
    <row r="246" ht="14.25" customHeight="1" x14ac:dyDescent="0.75"/>
    <row r="247" ht="14.25" customHeight="1" x14ac:dyDescent="0.75"/>
    <row r="248" ht="14.25" customHeight="1" x14ac:dyDescent="0.75"/>
    <row r="249" ht="14.25" customHeight="1" x14ac:dyDescent="0.75"/>
    <row r="250" ht="14.25" customHeight="1" x14ac:dyDescent="0.75"/>
    <row r="251" ht="14.25" customHeight="1" x14ac:dyDescent="0.75"/>
    <row r="252" ht="14.25" customHeight="1" x14ac:dyDescent="0.75"/>
    <row r="253" ht="14.25" customHeight="1" x14ac:dyDescent="0.75"/>
    <row r="254" ht="14.25" customHeight="1" x14ac:dyDescent="0.75"/>
    <row r="255" ht="14.25" customHeight="1" x14ac:dyDescent="0.75"/>
    <row r="256" ht="14.25" customHeight="1" x14ac:dyDescent="0.75"/>
    <row r="257" ht="14.25" customHeight="1" x14ac:dyDescent="0.75"/>
    <row r="258" ht="14.25" customHeight="1" x14ac:dyDescent="0.75"/>
    <row r="259" ht="14.25" customHeight="1" x14ac:dyDescent="0.75"/>
    <row r="260" ht="14.25" customHeight="1" x14ac:dyDescent="0.75"/>
    <row r="261" ht="14.25" customHeight="1" x14ac:dyDescent="0.75"/>
    <row r="262" ht="14.25" customHeight="1" x14ac:dyDescent="0.75"/>
    <row r="263" ht="14.25" customHeight="1" x14ac:dyDescent="0.75"/>
    <row r="264" ht="14.25" customHeight="1" x14ac:dyDescent="0.75"/>
    <row r="265" ht="14.25" customHeight="1" x14ac:dyDescent="0.75"/>
    <row r="266" ht="14.25" customHeight="1" x14ac:dyDescent="0.75"/>
    <row r="267" ht="14.25" customHeight="1" x14ac:dyDescent="0.75"/>
    <row r="268" ht="14.25" customHeight="1" x14ac:dyDescent="0.75"/>
    <row r="269" ht="14.25" customHeight="1" x14ac:dyDescent="0.75"/>
    <row r="270" ht="14.25" customHeight="1" x14ac:dyDescent="0.75"/>
    <row r="271" ht="14.25" customHeight="1" x14ac:dyDescent="0.75"/>
    <row r="272" ht="14.25" customHeight="1" x14ac:dyDescent="0.75"/>
    <row r="273" ht="14.25" customHeight="1" x14ac:dyDescent="0.75"/>
    <row r="274" ht="14.25" customHeight="1" x14ac:dyDescent="0.75"/>
    <row r="275" ht="14.25" customHeight="1" x14ac:dyDescent="0.75"/>
    <row r="276" ht="14.25" customHeight="1" x14ac:dyDescent="0.75"/>
    <row r="277" ht="14.25" customHeight="1" x14ac:dyDescent="0.75"/>
    <row r="278" ht="14.25" customHeight="1" x14ac:dyDescent="0.75"/>
    <row r="279" ht="14.25" customHeight="1" x14ac:dyDescent="0.75"/>
    <row r="280" ht="14.25" customHeight="1" x14ac:dyDescent="0.75"/>
    <row r="281" ht="14.25" customHeight="1" x14ac:dyDescent="0.75"/>
    <row r="282" ht="14.2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row r="928" ht="15.75" customHeight="1" x14ac:dyDescent="0.75"/>
    <row r="929" ht="15.75" customHeight="1" x14ac:dyDescent="0.75"/>
    <row r="930" ht="15.75" customHeight="1" x14ac:dyDescent="0.75"/>
    <row r="931" ht="15.75" customHeight="1" x14ac:dyDescent="0.75"/>
    <row r="932" ht="15.75" customHeight="1" x14ac:dyDescent="0.75"/>
    <row r="933" ht="15.75" customHeight="1" x14ac:dyDescent="0.75"/>
    <row r="934" ht="15.75" customHeight="1" x14ac:dyDescent="0.75"/>
    <row r="935" ht="15.75" customHeight="1" x14ac:dyDescent="0.75"/>
    <row r="936" ht="15.75" customHeight="1" x14ac:dyDescent="0.75"/>
    <row r="937" ht="15.75" customHeight="1" x14ac:dyDescent="0.75"/>
    <row r="938" ht="15.75" customHeight="1" x14ac:dyDescent="0.75"/>
    <row r="939" ht="15.75" customHeight="1" x14ac:dyDescent="0.75"/>
    <row r="940" ht="15.75" customHeight="1" x14ac:dyDescent="0.75"/>
    <row r="941" ht="15.75" customHeight="1" x14ac:dyDescent="0.75"/>
    <row r="942" ht="15.75" customHeight="1" x14ac:dyDescent="0.75"/>
    <row r="943" ht="15.75" customHeight="1" x14ac:dyDescent="0.75"/>
    <row r="944" ht="15.75" customHeight="1" x14ac:dyDescent="0.75"/>
    <row r="945" ht="15.75" customHeight="1" x14ac:dyDescent="0.75"/>
    <row r="946" ht="15.75" customHeight="1" x14ac:dyDescent="0.75"/>
    <row r="947" ht="15.75" customHeight="1" x14ac:dyDescent="0.75"/>
    <row r="948" ht="15.75" customHeight="1" x14ac:dyDescent="0.75"/>
    <row r="949" ht="15.75" customHeight="1" x14ac:dyDescent="0.75"/>
    <row r="950" ht="15.75" customHeight="1" x14ac:dyDescent="0.75"/>
    <row r="951" ht="15.75" customHeight="1" x14ac:dyDescent="0.75"/>
    <row r="952" ht="15.75" customHeight="1" x14ac:dyDescent="0.75"/>
    <row r="953" ht="15.75" customHeight="1" x14ac:dyDescent="0.75"/>
    <row r="954" ht="15.75" customHeight="1" x14ac:dyDescent="0.75"/>
    <row r="955" ht="15.75" customHeight="1" x14ac:dyDescent="0.75"/>
    <row r="956" ht="15.75" customHeight="1" x14ac:dyDescent="0.75"/>
    <row r="957" ht="15.75" customHeight="1" x14ac:dyDescent="0.75"/>
    <row r="958" ht="15.75" customHeight="1" x14ac:dyDescent="0.75"/>
    <row r="959" ht="15.75" customHeight="1" x14ac:dyDescent="0.75"/>
    <row r="960" ht="15.75" customHeight="1" x14ac:dyDescent="0.75"/>
    <row r="961" ht="15.75" customHeight="1" x14ac:dyDescent="0.75"/>
    <row r="962" ht="15.75" customHeight="1" x14ac:dyDescent="0.75"/>
    <row r="963" ht="15.75" customHeight="1" x14ac:dyDescent="0.75"/>
    <row r="964" ht="15.75" customHeight="1" x14ac:dyDescent="0.75"/>
    <row r="965" ht="15.75" customHeight="1" x14ac:dyDescent="0.75"/>
    <row r="966" ht="15.75" customHeight="1" x14ac:dyDescent="0.75"/>
    <row r="967" ht="15.75" customHeight="1" x14ac:dyDescent="0.75"/>
    <row r="968" ht="15.75" customHeight="1" x14ac:dyDescent="0.75"/>
    <row r="969" ht="15.75" customHeight="1" x14ac:dyDescent="0.75"/>
    <row r="970" ht="15.75" customHeight="1" x14ac:dyDescent="0.75"/>
    <row r="971" ht="15.75" customHeight="1" x14ac:dyDescent="0.75"/>
    <row r="972" ht="15.75" customHeight="1" x14ac:dyDescent="0.75"/>
    <row r="973" ht="15.75" customHeight="1" x14ac:dyDescent="0.75"/>
    <row r="974" ht="15.75" customHeight="1" x14ac:dyDescent="0.75"/>
    <row r="975" ht="15.75" customHeight="1" x14ac:dyDescent="0.75"/>
    <row r="976" ht="15.75" customHeight="1" x14ac:dyDescent="0.75"/>
    <row r="977" ht="15.75" customHeight="1" x14ac:dyDescent="0.75"/>
    <row r="978" ht="15.75" customHeight="1" x14ac:dyDescent="0.75"/>
    <row r="979" ht="15.75" customHeight="1" x14ac:dyDescent="0.75"/>
    <row r="980" ht="15.75" customHeight="1" x14ac:dyDescent="0.75"/>
    <row r="981" ht="15.75" customHeight="1" x14ac:dyDescent="0.75"/>
    <row r="982" ht="15.75" customHeight="1" x14ac:dyDescent="0.75"/>
    <row r="983" ht="15.75" customHeight="1" x14ac:dyDescent="0.75"/>
    <row r="984" ht="15.75" customHeight="1" x14ac:dyDescent="0.75"/>
    <row r="985" ht="15.75" customHeight="1" x14ac:dyDescent="0.75"/>
    <row r="986" ht="15.75" customHeight="1" x14ac:dyDescent="0.75"/>
    <row r="987" ht="15.75" customHeight="1" x14ac:dyDescent="0.75"/>
    <row r="988" ht="15.75" customHeight="1" x14ac:dyDescent="0.75"/>
    <row r="989" ht="15.75" customHeight="1" x14ac:dyDescent="0.75"/>
    <row r="990" ht="15.75" customHeight="1" x14ac:dyDescent="0.75"/>
    <row r="991" ht="15.75" customHeight="1" x14ac:dyDescent="0.75"/>
    <row r="992" ht="15.75" customHeight="1" x14ac:dyDescent="0.75"/>
    <row r="993" ht="15.75" customHeight="1" x14ac:dyDescent="0.75"/>
    <row r="994" ht="15.75" customHeight="1" x14ac:dyDescent="0.75"/>
    <row r="995" ht="15.75" customHeight="1" x14ac:dyDescent="0.75"/>
    <row r="996" ht="15.75" customHeight="1" x14ac:dyDescent="0.75"/>
    <row r="997" ht="15.75" customHeight="1" x14ac:dyDescent="0.75"/>
    <row r="998" ht="15.75" customHeight="1" x14ac:dyDescent="0.75"/>
    <row r="999" ht="15.75" customHeight="1" x14ac:dyDescent="0.75"/>
    <row r="1000" ht="15.75" customHeight="1" x14ac:dyDescent="0.75"/>
    <row r="1001" ht="15.75" customHeight="1" x14ac:dyDescent="0.75"/>
    <row r="1002" ht="15.75" customHeight="1" x14ac:dyDescent="0.75"/>
    <row r="1003" ht="15.75" customHeight="1" x14ac:dyDescent="0.75"/>
    <row r="1004" ht="15.75" customHeight="1" x14ac:dyDescent="0.75"/>
    <row r="1005" ht="15.75" customHeight="1" x14ac:dyDescent="0.75"/>
    <row r="1006" ht="15.75" customHeight="1" x14ac:dyDescent="0.75"/>
    <row r="1007" ht="15.75" customHeight="1" x14ac:dyDescent="0.75"/>
    <row r="1008" ht="15.75" customHeight="1" x14ac:dyDescent="0.75"/>
    <row r="1009" ht="15.75" customHeight="1" x14ac:dyDescent="0.75"/>
    <row r="1010" ht="15.75" customHeight="1" x14ac:dyDescent="0.75"/>
    <row r="1011" ht="15.75" customHeight="1" x14ac:dyDescent="0.75"/>
    <row r="1012" ht="15.75" customHeight="1" x14ac:dyDescent="0.75"/>
    <row r="1013" ht="15.75" customHeight="1" x14ac:dyDescent="0.75"/>
    <row r="1014" ht="15.75" customHeight="1" x14ac:dyDescent="0.75"/>
  </sheetData>
  <mergeCells count="4">
    <mergeCell ref="A13:A25"/>
    <mergeCell ref="E6:E11"/>
    <mergeCell ref="A6:A11"/>
    <mergeCell ref="E13:E25"/>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927"/>
  <sheetViews>
    <sheetView workbookViewId="0">
      <pane xSplit="1" ySplit="2" topLeftCell="K6" activePane="bottomRight" state="frozen"/>
      <selection pane="topRight" activeCell="B1" sqref="B1"/>
      <selection pane="bottomLeft" activeCell="A3" sqref="A3"/>
      <selection pane="bottomRight" activeCell="K19" sqref="K19"/>
    </sheetView>
  </sheetViews>
  <sheetFormatPr defaultColWidth="14.5" defaultRowHeight="15" customHeight="1" x14ac:dyDescent="0.75"/>
  <cols>
    <col min="1" max="1" width="15.5" customWidth="1"/>
    <col min="2" max="5" width="11.31640625" customWidth="1"/>
    <col min="6" max="10" width="10.81640625" customWidth="1"/>
    <col min="11" max="12" width="11.1796875" customWidth="1"/>
    <col min="13" max="14" width="10.81640625" customWidth="1"/>
    <col min="15" max="15" width="12.1796875" customWidth="1"/>
    <col min="16" max="18" width="10.81640625" customWidth="1"/>
    <col min="19" max="19" width="13.81640625" customWidth="1"/>
    <col min="20" max="20" width="14.5" customWidth="1"/>
    <col min="21" max="21" width="14.31640625" customWidth="1"/>
    <col min="22" max="22" width="10.5" customWidth="1"/>
    <col min="23" max="23" width="96.31640625" customWidth="1"/>
    <col min="24" max="32" width="8.5" customWidth="1"/>
  </cols>
  <sheetData>
    <row r="1" spans="1:32" ht="14.25" customHeight="1" x14ac:dyDescent="0.75">
      <c r="A1" s="63" t="s">
        <v>330</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row>
    <row r="2" spans="1:32" ht="14.25" customHeight="1" x14ac:dyDescent="0.75">
      <c r="A2" s="64"/>
      <c r="B2" s="65" t="s">
        <v>30</v>
      </c>
      <c r="C2" s="65" t="s">
        <v>32</v>
      </c>
      <c r="D2" s="65" t="s">
        <v>34</v>
      </c>
      <c r="E2" s="65" t="s">
        <v>36</v>
      </c>
      <c r="F2" s="13" t="str">
        <f>Households!G6</f>
        <v>L-MUSK</v>
      </c>
      <c r="G2" s="13" t="str">
        <f>Households!H6</f>
        <v>L-MSK</v>
      </c>
      <c r="H2" s="13" t="str">
        <f>Households!I6</f>
        <v>L-FUSK</v>
      </c>
      <c r="I2" s="13" t="str">
        <f>Households!J6</f>
        <v>L-FSK</v>
      </c>
      <c r="J2" s="65" t="s">
        <v>43</v>
      </c>
      <c r="K2" s="65" t="s">
        <v>45</v>
      </c>
      <c r="L2" s="65" t="s">
        <v>47</v>
      </c>
      <c r="M2" s="65" t="s">
        <v>48</v>
      </c>
      <c r="N2" s="65" t="s">
        <v>50</v>
      </c>
      <c r="O2" s="65" t="s">
        <v>52</v>
      </c>
      <c r="P2" s="65" t="s">
        <v>54</v>
      </c>
      <c r="Q2" s="65" t="s">
        <v>331</v>
      </c>
      <c r="R2" s="77" t="s">
        <v>568</v>
      </c>
      <c r="S2" s="65" t="s">
        <v>57</v>
      </c>
      <c r="T2" s="66" t="s">
        <v>59</v>
      </c>
      <c r="U2" s="67" t="s">
        <v>181</v>
      </c>
      <c r="V2" s="68" t="s">
        <v>332</v>
      </c>
      <c r="W2" s="68" t="s">
        <v>333</v>
      </c>
      <c r="X2" s="59"/>
      <c r="Y2" s="59"/>
      <c r="Z2" s="59"/>
      <c r="AA2" s="59"/>
      <c r="AB2" s="59"/>
      <c r="AC2" s="59"/>
      <c r="AD2" s="59"/>
      <c r="AE2" s="59"/>
      <c r="AF2" s="59"/>
    </row>
    <row r="3" spans="1:32" ht="14.25" customHeight="1" x14ac:dyDescent="0.75">
      <c r="A3" s="69" t="s">
        <v>30</v>
      </c>
      <c r="B3" s="70">
        <f>Ag!C26</f>
        <v>2086.2792481017927</v>
      </c>
      <c r="C3" s="70">
        <f>Tourism!C26</f>
        <v>2101.1881256969564</v>
      </c>
      <c r="D3" s="70">
        <f>Nonag!C26</f>
        <v>0</v>
      </c>
      <c r="E3" s="70">
        <f>Fishing!C28</f>
        <v>0</v>
      </c>
      <c r="F3" s="70">
        <v>0</v>
      </c>
      <c r="G3" s="70"/>
      <c r="H3" s="70"/>
      <c r="I3" s="70"/>
      <c r="J3" s="70">
        <v>0</v>
      </c>
      <c r="K3" s="71">
        <f>Households!C30</f>
        <v>36627.98926168467</v>
      </c>
      <c r="L3" s="71">
        <f>Households!D30</f>
        <v>10435.960842537006</v>
      </c>
      <c r="M3" s="72">
        <f>Restaurants!C27</f>
        <v>937.91432678942351</v>
      </c>
      <c r="N3" s="72">
        <f>Lodges!C27</f>
        <v>524.96501343809587</v>
      </c>
      <c r="O3" s="72">
        <f>Tourists!C25</f>
        <v>0</v>
      </c>
      <c r="P3" s="72">
        <f>NatParkPA!C27</f>
        <v>0</v>
      </c>
      <c r="Q3" s="72">
        <f>ComRevSh!C25</f>
        <v>0</v>
      </c>
      <c r="R3" s="72"/>
      <c r="S3" s="72">
        <v>0</v>
      </c>
      <c r="T3" s="73"/>
      <c r="U3" s="70">
        <f t="shared" ref="U3:U21" si="0">SUM(B3:T3)</f>
        <v>52714.296818247938</v>
      </c>
      <c r="V3" s="52">
        <f>U3/B22</f>
        <v>0.79338799999999998</v>
      </c>
      <c r="W3" s="52"/>
      <c r="X3" s="59"/>
      <c r="Y3" s="59"/>
      <c r="Z3" s="59"/>
      <c r="AA3" s="59"/>
      <c r="AB3" s="59"/>
      <c r="AC3" s="59"/>
      <c r="AD3" s="59"/>
      <c r="AE3" s="59"/>
      <c r="AF3" s="59"/>
    </row>
    <row r="4" spans="1:32" ht="14.25" customHeight="1" x14ac:dyDescent="0.75">
      <c r="A4" s="69" t="s">
        <v>32</v>
      </c>
      <c r="B4" s="70"/>
      <c r="C4" s="70">
        <f>Tourism!C27</f>
        <v>0</v>
      </c>
      <c r="D4" s="70"/>
      <c r="E4" s="70"/>
      <c r="F4" s="70"/>
      <c r="G4" s="70"/>
      <c r="H4" s="70"/>
      <c r="I4" s="70"/>
      <c r="J4" s="70"/>
      <c r="K4" s="71"/>
      <c r="L4" s="71"/>
      <c r="M4" s="72"/>
      <c r="N4" s="72"/>
      <c r="O4" s="72">
        <f>Tourists!C26</f>
        <v>489914.32982571534</v>
      </c>
      <c r="P4" s="72">
        <f>NatParkPA!C28</f>
        <v>0</v>
      </c>
      <c r="Q4" s="72">
        <f>ComRevSh!C26</f>
        <v>0</v>
      </c>
      <c r="R4" s="72"/>
      <c r="S4" s="72"/>
      <c r="T4" s="72"/>
      <c r="U4" s="70">
        <f t="shared" si="0"/>
        <v>489914.32982571534</v>
      </c>
      <c r="V4" s="52">
        <f>U4/C22</f>
        <v>1</v>
      </c>
      <c r="W4" s="52"/>
      <c r="X4" s="59"/>
      <c r="Y4" s="59"/>
      <c r="Z4" s="59"/>
      <c r="AA4" s="59"/>
      <c r="AB4" s="59"/>
      <c r="AC4" s="59"/>
      <c r="AD4" s="59"/>
      <c r="AE4" s="59"/>
      <c r="AF4" s="59"/>
    </row>
    <row r="5" spans="1:32" ht="14.25" customHeight="1" x14ac:dyDescent="0.75">
      <c r="A5" s="69" t="s">
        <v>34</v>
      </c>
      <c r="B5" s="70">
        <f>Ag!C28</f>
        <v>13727.717452509794</v>
      </c>
      <c r="C5" s="70">
        <f>Tourism!C28</f>
        <v>89930.85177982974</v>
      </c>
      <c r="D5" s="70">
        <f>Nonag!C28</f>
        <v>115181.20272582587</v>
      </c>
      <c r="E5" s="70">
        <f>Fishing!C30</f>
        <v>0</v>
      </c>
      <c r="F5" s="70">
        <v>0</v>
      </c>
      <c r="G5" s="70"/>
      <c r="H5" s="70"/>
      <c r="I5" s="70"/>
      <c r="J5" s="70">
        <v>0</v>
      </c>
      <c r="K5" s="71">
        <f>Households!C32</f>
        <v>308721.62377705652</v>
      </c>
      <c r="L5" s="71">
        <f>Households!D32</f>
        <v>365258.62948879524</v>
      </c>
      <c r="M5" s="72">
        <f>Restaurants!C29</f>
        <v>35555.47947919905</v>
      </c>
      <c r="N5" s="72">
        <f>Lodges!C29</f>
        <v>4062.8903875614774</v>
      </c>
      <c r="O5" s="72">
        <f>Tourists!C27</f>
        <v>507735.41128995328</v>
      </c>
      <c r="P5" s="72">
        <f>NatParkPA!C29</f>
        <v>72364.571908514859</v>
      </c>
      <c r="Q5" s="72">
        <f>ComRevSh!C27</f>
        <v>528.1</v>
      </c>
      <c r="R5" s="72"/>
      <c r="S5" s="72">
        <v>0</v>
      </c>
      <c r="T5" s="72">
        <v>0</v>
      </c>
      <c r="U5" s="70">
        <f t="shared" si="0"/>
        <v>1513066.4782892461</v>
      </c>
      <c r="V5" s="52">
        <f>U5/D22</f>
        <v>1.0091558477717528</v>
      </c>
      <c r="W5" s="52"/>
      <c r="X5" s="59"/>
      <c r="Y5" s="59"/>
      <c r="Z5" s="59"/>
      <c r="AA5" s="59"/>
      <c r="AB5" s="59"/>
      <c r="AC5" s="59"/>
      <c r="AD5" s="59"/>
      <c r="AE5" s="59"/>
      <c r="AF5" s="59"/>
    </row>
    <row r="6" spans="1:32" ht="14.25" customHeight="1" x14ac:dyDescent="0.75">
      <c r="A6" s="69" t="s">
        <v>36</v>
      </c>
      <c r="B6" s="70">
        <f>Ag!C29</f>
        <v>0</v>
      </c>
      <c r="C6" s="70">
        <f>Tourism!C29</f>
        <v>0</v>
      </c>
      <c r="D6" s="70">
        <f>Nonag!C29</f>
        <v>0</v>
      </c>
      <c r="E6" s="70">
        <f>Fishing!C31</f>
        <v>0</v>
      </c>
      <c r="F6" s="70"/>
      <c r="G6" s="70"/>
      <c r="H6" s="70"/>
      <c r="I6" s="70"/>
      <c r="J6" s="70"/>
      <c r="K6" s="71">
        <f>Households!C33</f>
        <v>36627.98926168467</v>
      </c>
      <c r="L6" s="71">
        <f>Households!D33</f>
        <v>0</v>
      </c>
      <c r="M6" s="72">
        <f>Restaurants!C30</f>
        <v>0</v>
      </c>
      <c r="N6" s="72">
        <f>Lodges!C30</f>
        <v>34.382852703698077</v>
      </c>
      <c r="O6" s="72">
        <f>Tourists!C28</f>
        <v>0</v>
      </c>
      <c r="P6" s="72">
        <f>NatParkPA!C30</f>
        <v>0</v>
      </c>
      <c r="Q6" s="72">
        <f>ComRevSh!C28</f>
        <v>0</v>
      </c>
      <c r="R6" s="72">
        <f>Localgov!C25</f>
        <v>0</v>
      </c>
      <c r="S6" s="72">
        <v>0</v>
      </c>
      <c r="T6" s="72"/>
      <c r="U6" s="70">
        <f t="shared" si="0"/>
        <v>36662.372114388367</v>
      </c>
      <c r="V6" s="52">
        <f>U6/E22</f>
        <v>1</v>
      </c>
      <c r="W6" s="52"/>
      <c r="X6" s="59"/>
      <c r="Y6" s="59"/>
      <c r="Z6" s="59"/>
      <c r="AA6" s="59"/>
      <c r="AB6" s="59"/>
      <c r="AC6" s="59"/>
      <c r="AD6" s="59"/>
      <c r="AE6" s="59"/>
      <c r="AF6" s="59"/>
    </row>
    <row r="7" spans="1:32" ht="14.25" customHeight="1" x14ac:dyDescent="0.75">
      <c r="A7" s="13" t="s">
        <v>38</v>
      </c>
      <c r="B7" s="70">
        <f>Ag!C30</f>
        <v>10222.768315698782</v>
      </c>
      <c r="C7" s="70">
        <f>Tourism!C30</f>
        <v>23113.069382666527</v>
      </c>
      <c r="D7" s="70">
        <f>Nonag!C30</f>
        <v>115476.53914307158</v>
      </c>
      <c r="E7" s="70">
        <f>Fishing!C32</f>
        <v>0</v>
      </c>
      <c r="F7" s="70">
        <v>0</v>
      </c>
      <c r="G7" s="70"/>
      <c r="H7" s="70"/>
      <c r="I7" s="70"/>
      <c r="J7" s="70">
        <v>0</v>
      </c>
      <c r="K7" s="71">
        <f>Households!C34</f>
        <v>0</v>
      </c>
      <c r="L7" s="71">
        <f>Households!D34</f>
        <v>0</v>
      </c>
      <c r="M7" s="72">
        <f>Restaurants!C31</f>
        <v>3615.2334050792324</v>
      </c>
      <c r="N7" s="72">
        <f>Lodges!C31</f>
        <v>1498.1604894432135</v>
      </c>
      <c r="O7" s="72">
        <f>Tourists!C29</f>
        <v>0</v>
      </c>
      <c r="P7" s="72">
        <f>NatParkPA!C31</f>
        <v>7928.9601729226742</v>
      </c>
      <c r="Q7" s="72">
        <f>ComRevSh!C29</f>
        <v>0</v>
      </c>
      <c r="R7" s="72">
        <f>Localgov!C26</f>
        <v>0</v>
      </c>
      <c r="S7" s="72">
        <v>0</v>
      </c>
      <c r="T7" s="72">
        <v>0</v>
      </c>
      <c r="U7" s="70">
        <f t="shared" si="0"/>
        <v>161854.73090888202</v>
      </c>
      <c r="V7" s="52">
        <f>U7/F22</f>
        <v>1.0000000000000002</v>
      </c>
      <c r="W7" s="498" t="s">
        <v>334</v>
      </c>
      <c r="X7" s="59"/>
      <c r="Y7" s="59"/>
      <c r="Z7" s="59"/>
      <c r="AA7" s="59"/>
      <c r="AB7" s="59"/>
      <c r="AC7" s="59"/>
      <c r="AD7" s="59"/>
      <c r="AE7" s="59"/>
      <c r="AF7" s="59"/>
    </row>
    <row r="8" spans="1:32" ht="14.25" customHeight="1" x14ac:dyDescent="0.75">
      <c r="A8" s="13" t="s">
        <v>40</v>
      </c>
      <c r="B8" s="70">
        <f>Ag!C31</f>
        <v>0</v>
      </c>
      <c r="C8" s="70">
        <f>Tourism!C31</f>
        <v>21712.277298868557</v>
      </c>
      <c r="D8" s="70">
        <f>Nonag!C31</f>
        <v>0</v>
      </c>
      <c r="E8" s="70">
        <f>Fishing!C33</f>
        <v>0</v>
      </c>
      <c r="F8" s="70"/>
      <c r="G8" s="70"/>
      <c r="H8" s="70"/>
      <c r="I8" s="70"/>
      <c r="J8" s="70"/>
      <c r="K8" s="71"/>
      <c r="L8" s="71"/>
      <c r="M8" s="72">
        <f>Restaurants!C32</f>
        <v>0</v>
      </c>
      <c r="N8" s="72">
        <f>Lodges!C32</f>
        <v>473.06482999988225</v>
      </c>
      <c r="O8" s="72"/>
      <c r="P8" s="72">
        <f>NatParkPA!C32</f>
        <v>109182.44556660917</v>
      </c>
      <c r="Q8" s="72">
        <f>ComRevSh!C30</f>
        <v>1161.82</v>
      </c>
      <c r="R8" s="72">
        <f>Localgov!C27</f>
        <v>10682.15</v>
      </c>
      <c r="S8" s="72"/>
      <c r="T8" s="72"/>
      <c r="U8" s="70">
        <f t="shared" si="0"/>
        <v>143211.7576954776</v>
      </c>
      <c r="V8" s="52">
        <f>U8/G22</f>
        <v>1.0000000000000002</v>
      </c>
      <c r="W8" s="490"/>
      <c r="X8" s="59"/>
      <c r="Y8" s="59"/>
      <c r="Z8" s="59"/>
      <c r="AA8" s="59"/>
      <c r="AB8" s="59"/>
      <c r="AC8" s="59"/>
      <c r="AD8" s="59"/>
      <c r="AE8" s="59"/>
      <c r="AF8" s="59"/>
    </row>
    <row r="9" spans="1:32" ht="14.25" customHeight="1" x14ac:dyDescent="0.75">
      <c r="A9" s="13" t="s">
        <v>41</v>
      </c>
      <c r="B9" s="70">
        <f>Ag!C32</f>
        <v>2211.4560029878999</v>
      </c>
      <c r="C9" s="70">
        <f>Tourism!C32</f>
        <v>2101.1881256969573</v>
      </c>
      <c r="D9" s="70">
        <f>Nonag!C32</f>
        <v>6792.7375966512682</v>
      </c>
      <c r="E9" s="70">
        <f>Fishing!C34</f>
        <v>0</v>
      </c>
      <c r="F9" s="70"/>
      <c r="G9" s="70"/>
      <c r="H9" s="70"/>
      <c r="I9" s="70"/>
      <c r="J9" s="70"/>
      <c r="K9" s="71"/>
      <c r="L9" s="71"/>
      <c r="M9" s="72">
        <f>Restaurants!C33</f>
        <v>2933.1138946869246</v>
      </c>
      <c r="N9" s="72">
        <f>Lodges!C33</f>
        <v>1392.4662864842833</v>
      </c>
      <c r="O9" s="72"/>
      <c r="P9" s="72">
        <f>NatParkPA!C33</f>
        <v>0</v>
      </c>
      <c r="Q9" s="72">
        <f>ComRevSh!C31</f>
        <v>0</v>
      </c>
      <c r="R9" s="72">
        <f>Localgov!C28</f>
        <v>0</v>
      </c>
      <c r="S9" s="72"/>
      <c r="T9" s="72"/>
      <c r="U9" s="70">
        <f t="shared" si="0"/>
        <v>15430.961906507333</v>
      </c>
      <c r="V9" s="52">
        <f>U9/H22</f>
        <v>1</v>
      </c>
      <c r="W9" s="490"/>
      <c r="X9" s="59"/>
      <c r="Y9" s="59"/>
      <c r="Z9" s="59"/>
      <c r="AA9" s="59"/>
      <c r="AB9" s="59"/>
      <c r="AC9" s="59"/>
      <c r="AD9" s="59"/>
      <c r="AE9" s="59"/>
      <c r="AF9" s="59"/>
    </row>
    <row r="10" spans="1:32" ht="14.25" customHeight="1" x14ac:dyDescent="0.75">
      <c r="A10" s="13" t="s">
        <v>42</v>
      </c>
      <c r="B10" s="70">
        <f>Ag!C33</f>
        <v>0</v>
      </c>
      <c r="C10" s="70">
        <f>Tourism!C33</f>
        <v>3221.8217927353339</v>
      </c>
      <c r="D10" s="70">
        <f>Nonag!C33</f>
        <v>0</v>
      </c>
      <c r="E10" s="70">
        <f>Fishing!C35</f>
        <v>0</v>
      </c>
      <c r="F10" s="70"/>
      <c r="G10" s="70"/>
      <c r="H10" s="70"/>
      <c r="I10" s="70"/>
      <c r="J10" s="70"/>
      <c r="K10" s="71"/>
      <c r="L10" s="71"/>
      <c r="M10" s="72">
        <f>Restaurants!C34</f>
        <v>477.48365727461555</v>
      </c>
      <c r="N10" s="72">
        <f>Lodges!C34</f>
        <v>679.74127298798135</v>
      </c>
      <c r="O10" s="72"/>
      <c r="P10" s="72">
        <f>NatParkPA!C34</f>
        <v>18070.645608750605</v>
      </c>
      <c r="Q10" s="72">
        <f>ComRevSh!C32</f>
        <v>105.62</v>
      </c>
      <c r="R10" s="72">
        <f>Localgov!C29</f>
        <v>2946.8</v>
      </c>
      <c r="S10" s="72"/>
      <c r="T10" s="72"/>
      <c r="U10" s="70">
        <f t="shared" si="0"/>
        <v>25502.112331748533</v>
      </c>
      <c r="V10" s="52">
        <f>U10/I22</f>
        <v>1</v>
      </c>
      <c r="W10" s="490"/>
      <c r="X10" s="59"/>
      <c r="Y10" s="59"/>
      <c r="Z10" s="59"/>
      <c r="AA10" s="59"/>
      <c r="AB10" s="59"/>
      <c r="AC10" s="59"/>
      <c r="AD10" s="59"/>
      <c r="AE10" s="59"/>
      <c r="AF10" s="59"/>
    </row>
    <row r="11" spans="1:32" ht="14.25" customHeight="1" x14ac:dyDescent="0.75">
      <c r="A11" s="69" t="s">
        <v>43</v>
      </c>
      <c r="B11" s="70">
        <f>Ag!C34</f>
        <v>24716.429308721879</v>
      </c>
      <c r="C11" s="70">
        <f>Tourism!C34</f>
        <v>173804.1850459922</v>
      </c>
      <c r="D11" s="70">
        <f>Nonag!C34</f>
        <v>391827.19616533368</v>
      </c>
      <c r="E11" s="70">
        <f>Fishing!C36</f>
        <v>0</v>
      </c>
      <c r="F11" s="70">
        <v>0</v>
      </c>
      <c r="G11" s="70"/>
      <c r="H11" s="70"/>
      <c r="I11" s="70"/>
      <c r="J11" s="70">
        <v>0</v>
      </c>
      <c r="K11" s="71">
        <f>Households!C38</f>
        <v>62790.838734316574</v>
      </c>
      <c r="L11" s="71">
        <f>Households!D38</f>
        <v>20871.921685074012</v>
      </c>
      <c r="M11" s="72">
        <f>Restaurants!C35</f>
        <v>28421.646266346164</v>
      </c>
      <c r="N11" s="72">
        <f>Lodges!C35</f>
        <v>3900.7557046105544</v>
      </c>
      <c r="O11" s="72">
        <f>Tourists!C33</f>
        <v>0</v>
      </c>
      <c r="P11" s="72">
        <f>NatParkPA!C35</f>
        <v>0</v>
      </c>
      <c r="Q11" s="72">
        <f>ComRevSh!C33</f>
        <v>0</v>
      </c>
      <c r="R11" s="72">
        <f>Localgov!C30</f>
        <v>17680.8</v>
      </c>
      <c r="S11" s="72">
        <v>0</v>
      </c>
      <c r="T11" s="72">
        <v>0</v>
      </c>
      <c r="U11" s="70">
        <f t="shared" si="0"/>
        <v>724013.77291039517</v>
      </c>
      <c r="V11" s="52">
        <f>U11/J22</f>
        <v>1</v>
      </c>
      <c r="W11" s="490"/>
      <c r="X11" s="59"/>
      <c r="Y11" s="59"/>
      <c r="Z11" s="59"/>
      <c r="AA11" s="59"/>
      <c r="AB11" s="59"/>
      <c r="AC11" s="59"/>
      <c r="AD11" s="59"/>
      <c r="AE11" s="59"/>
      <c r="AF11" s="59"/>
    </row>
    <row r="12" spans="1:32" ht="14.25" customHeight="1" x14ac:dyDescent="0.75">
      <c r="A12" s="69" t="s">
        <v>45</v>
      </c>
      <c r="B12" s="70">
        <f>Ag!C35</f>
        <v>0</v>
      </c>
      <c r="C12" s="70">
        <f>Tourism!C35</f>
        <v>0</v>
      </c>
      <c r="D12" s="70">
        <f>Nonag!C35</f>
        <v>0</v>
      </c>
      <c r="E12" s="70">
        <f>Fishing!C37</f>
        <v>0</v>
      </c>
      <c r="F12" s="74">
        <f>Households!G7*SUM($B$7:$T$7)</f>
        <v>129745.89765165445</v>
      </c>
      <c r="G12" s="74">
        <f>Households!H7*SUM($B$8:$T$8)</f>
        <v>59322.025154193718</v>
      </c>
      <c r="H12" s="74">
        <f>Households!I7*SUM($B$9:$T$9)</f>
        <v>12241.939833884566</v>
      </c>
      <c r="I12" s="74">
        <f>Households!J7*SUM($B$10:$T$10)</f>
        <v>20442.988832737698</v>
      </c>
      <c r="J12" s="103">
        <f>Households!K7*SUM($B$11:$T$11)</f>
        <v>59253.813875554624</v>
      </c>
      <c r="K12" s="71">
        <f>Households!C39</f>
        <v>0</v>
      </c>
      <c r="L12" s="71">
        <f>Households!D39</f>
        <v>0</v>
      </c>
      <c r="M12" s="72">
        <f>Restaurants!C36</f>
        <v>0</v>
      </c>
      <c r="N12" s="72">
        <f>Lodges!C36</f>
        <v>0</v>
      </c>
      <c r="O12" s="72">
        <f>Tourists!C34</f>
        <v>0</v>
      </c>
      <c r="P12" s="72">
        <f>NatParkPA!C36</f>
        <v>0</v>
      </c>
      <c r="Q12" s="72">
        <f>ComRevSh!C34</f>
        <v>0</v>
      </c>
      <c r="R12" s="72">
        <f>Localgov!C31</f>
        <v>736.7</v>
      </c>
      <c r="S12" s="72">
        <v>0</v>
      </c>
      <c r="T12" s="75">
        <f>Households!G14</f>
        <v>16018.071105692999</v>
      </c>
      <c r="U12" s="70">
        <f t="shared" si="0"/>
        <v>297761.43645371805</v>
      </c>
      <c r="V12" s="52">
        <f>U12/K22</f>
        <v>0.58066725641030181</v>
      </c>
      <c r="W12" s="490"/>
      <c r="X12" s="59"/>
      <c r="Y12" s="59"/>
      <c r="Z12" s="59"/>
      <c r="AA12" s="59"/>
      <c r="AB12" s="59"/>
      <c r="AC12" s="59"/>
      <c r="AD12" s="59"/>
      <c r="AE12" s="59"/>
      <c r="AF12" s="59"/>
    </row>
    <row r="13" spans="1:32" ht="14.25" customHeight="1" x14ac:dyDescent="0.75">
      <c r="A13" s="69" t="s">
        <v>47</v>
      </c>
      <c r="B13" s="70">
        <f>Ag!C36</f>
        <v>0</v>
      </c>
      <c r="C13" s="70">
        <f>Tourism!C36</f>
        <v>0</v>
      </c>
      <c r="D13" s="70">
        <f>Nonag!C36</f>
        <v>0</v>
      </c>
      <c r="E13" s="70">
        <f>Fishing!C38</f>
        <v>0</v>
      </c>
      <c r="F13" s="74">
        <f>Households!G8*SUM($B$7:$T$7)</f>
        <v>32108.83325722755</v>
      </c>
      <c r="G13" s="74">
        <f>Households!H8*SUM($B$8:$T$8)</f>
        <v>83889.732541283869</v>
      </c>
      <c r="H13" s="74">
        <f>Households!I8*SUM($B$9:$T$9)</f>
        <v>3189.0220726227676</v>
      </c>
      <c r="I13" s="74">
        <f>Households!J8*SUM($B$10:$T$10)</f>
        <v>5059.1234990108351</v>
      </c>
      <c r="J13" s="103">
        <f>Households!K8*SUM($B$11:$T$11)</f>
        <v>664759.95903484058</v>
      </c>
      <c r="K13" s="71">
        <f>Households!C40</f>
        <v>0</v>
      </c>
      <c r="L13" s="71">
        <f>Households!D40</f>
        <v>0</v>
      </c>
      <c r="M13" s="72">
        <f>Restaurants!C37</f>
        <v>0</v>
      </c>
      <c r="N13" s="72">
        <f>Lodges!C37</f>
        <v>0</v>
      </c>
      <c r="O13" s="72">
        <f>Tourists!C35</f>
        <v>0</v>
      </c>
      <c r="P13" s="72">
        <f>NatParkPA!C37</f>
        <v>0</v>
      </c>
      <c r="Q13" s="72">
        <f>ComRevSh!C35</f>
        <v>0</v>
      </c>
      <c r="R13" s="72">
        <f>Localgov!C32</f>
        <v>3315.15</v>
      </c>
      <c r="S13" s="72">
        <v>0</v>
      </c>
      <c r="T13" s="72">
        <f>Households!H14</f>
        <v>0</v>
      </c>
      <c r="U13" s="70">
        <f t="shared" si="0"/>
        <v>792321.82040498557</v>
      </c>
      <c r="V13" s="52">
        <f>U13/L22</f>
        <v>1.5294636245376041</v>
      </c>
      <c r="W13" s="490"/>
      <c r="X13" s="59"/>
      <c r="Y13" s="59"/>
      <c r="Z13" s="59"/>
      <c r="AA13" s="59"/>
      <c r="AB13" s="59"/>
      <c r="AC13" s="59"/>
      <c r="AD13" s="59"/>
      <c r="AE13" s="59"/>
      <c r="AF13" s="59"/>
    </row>
    <row r="14" spans="1:32" ht="14.25" customHeight="1" x14ac:dyDescent="0.75">
      <c r="A14" s="69" t="s">
        <v>48</v>
      </c>
      <c r="B14" s="70">
        <f>Ag!C37</f>
        <v>0</v>
      </c>
      <c r="C14" s="70">
        <f>Tourism!C37</f>
        <v>0</v>
      </c>
      <c r="D14" s="70">
        <f>Nonag!C37</f>
        <v>0</v>
      </c>
      <c r="E14" s="70">
        <f>Fishing!C39</f>
        <v>0</v>
      </c>
      <c r="F14" s="72"/>
      <c r="G14" s="72"/>
      <c r="H14" s="72"/>
      <c r="I14" s="72"/>
      <c r="J14" s="72"/>
      <c r="K14" s="71">
        <f>Households!C41</f>
        <v>0</v>
      </c>
      <c r="L14" s="71">
        <f>Households!D41</f>
        <v>0</v>
      </c>
      <c r="M14" s="72">
        <f>Restaurants!C38</f>
        <v>0</v>
      </c>
      <c r="N14" s="72">
        <f>Lodges!C38</f>
        <v>0</v>
      </c>
      <c r="O14" s="72">
        <f>Tourists!C36</f>
        <v>113686.58506538466</v>
      </c>
      <c r="P14" s="72">
        <f>NatParkPA!C38</f>
        <v>0</v>
      </c>
      <c r="Q14" s="72">
        <f>ComRevSh!C36</f>
        <v>0</v>
      </c>
      <c r="R14" s="72">
        <f>Localgov!C33</f>
        <v>0</v>
      </c>
      <c r="S14" s="72">
        <v>0</v>
      </c>
      <c r="T14" s="70"/>
      <c r="U14" s="76">
        <f t="shared" si="0"/>
        <v>113686.58506538466</v>
      </c>
      <c r="V14" s="52">
        <f>U14/M22</f>
        <v>1</v>
      </c>
      <c r="W14" s="490"/>
      <c r="X14" s="59"/>
      <c r="Y14" s="59"/>
      <c r="Z14" s="59"/>
      <c r="AA14" s="59"/>
      <c r="AB14" s="59"/>
      <c r="AC14" s="59"/>
      <c r="AD14" s="59"/>
      <c r="AE14" s="59"/>
      <c r="AF14" s="59"/>
    </row>
    <row r="15" spans="1:32" ht="14.25" customHeight="1" x14ac:dyDescent="0.75">
      <c r="A15" s="69" t="s">
        <v>50</v>
      </c>
      <c r="B15" s="70">
        <f>Ag!C38</f>
        <v>0</v>
      </c>
      <c r="C15" s="70">
        <f>Tourism!C38</f>
        <v>0</v>
      </c>
      <c r="D15" s="70">
        <f>Nonag!C38</f>
        <v>0</v>
      </c>
      <c r="E15" s="70">
        <f>Fishing!C40</f>
        <v>0</v>
      </c>
      <c r="F15" s="72"/>
      <c r="G15" s="72"/>
      <c r="H15" s="72"/>
      <c r="I15" s="72"/>
      <c r="J15" s="72"/>
      <c r="K15" s="71">
        <f>Households!C42</f>
        <v>0</v>
      </c>
      <c r="L15" s="71">
        <f>Households!D42</f>
        <v>0</v>
      </c>
      <c r="M15" s="72">
        <f>Restaurants!C39</f>
        <v>0</v>
      </c>
      <c r="N15" s="72">
        <f>Lodges!C39</f>
        <v>0</v>
      </c>
      <c r="O15" s="72">
        <f>Tourists!C37</f>
        <v>24872.042824591415</v>
      </c>
      <c r="P15" s="72">
        <f>NatParkPA!C39</f>
        <v>0</v>
      </c>
      <c r="Q15" s="72">
        <f>ComRevSh!C37</f>
        <v>0</v>
      </c>
      <c r="R15" s="72">
        <f>Localgov!C34</f>
        <v>0</v>
      </c>
      <c r="S15" s="72">
        <v>0</v>
      </c>
      <c r="T15" s="70"/>
      <c r="U15" s="76">
        <f t="shared" si="0"/>
        <v>24872.042824591415</v>
      </c>
      <c r="V15" s="52">
        <f>U15/N22</f>
        <v>1</v>
      </c>
      <c r="W15" s="490"/>
      <c r="X15" s="59"/>
      <c r="Y15" s="59"/>
      <c r="Z15" s="59"/>
      <c r="AA15" s="59"/>
      <c r="AB15" s="59"/>
      <c r="AC15" s="59"/>
      <c r="AD15" s="59"/>
      <c r="AE15" s="59"/>
      <c r="AF15" s="59"/>
    </row>
    <row r="16" spans="1:32" ht="14.25" customHeight="1" x14ac:dyDescent="0.75">
      <c r="A16" s="69" t="s">
        <v>52</v>
      </c>
      <c r="B16" s="70">
        <f>Ag!C39</f>
        <v>0</v>
      </c>
      <c r="C16" s="70">
        <f>Tourism!C39</f>
        <v>0</v>
      </c>
      <c r="D16" s="70">
        <f>Nonag!C39</f>
        <v>0</v>
      </c>
      <c r="E16" s="70">
        <f>Fishing!C41</f>
        <v>0</v>
      </c>
      <c r="F16" s="72">
        <v>0</v>
      </c>
      <c r="G16" s="72"/>
      <c r="H16" s="72"/>
      <c r="I16" s="72"/>
      <c r="J16" s="72">
        <v>0</v>
      </c>
      <c r="K16" s="71">
        <f>Households!C43</f>
        <v>0</v>
      </c>
      <c r="L16" s="71">
        <f>Households!D43</f>
        <v>0</v>
      </c>
      <c r="M16" s="72">
        <f>Restaurants!C40</f>
        <v>0</v>
      </c>
      <c r="N16" s="72">
        <f>Lodges!C40</f>
        <v>0</v>
      </c>
      <c r="O16" s="72">
        <f>Tourists!C38</f>
        <v>0</v>
      </c>
      <c r="P16" s="72">
        <f>NatParkPA!C40</f>
        <v>0</v>
      </c>
      <c r="Q16" s="72">
        <f>ComRevSh!C38</f>
        <v>0</v>
      </c>
      <c r="R16" s="72">
        <f>Localgov!C35</f>
        <v>0</v>
      </c>
      <c r="S16" s="72">
        <v>0</v>
      </c>
      <c r="T16" s="105">
        <f>O22</f>
        <v>1248835.3922682505</v>
      </c>
      <c r="U16" s="70">
        <f t="shared" si="0"/>
        <v>1248835.3922682505</v>
      </c>
      <c r="V16" s="52">
        <f>U16/O22</f>
        <v>1</v>
      </c>
      <c r="W16" s="490"/>
      <c r="X16" s="59"/>
      <c r="Y16" s="59"/>
      <c r="Z16" s="59"/>
      <c r="AA16" s="59"/>
      <c r="AB16" s="59"/>
      <c r="AC16" s="59"/>
      <c r="AD16" s="59"/>
      <c r="AE16" s="59"/>
      <c r="AF16" s="59"/>
    </row>
    <row r="17" spans="1:32" ht="14.25" customHeight="1" x14ac:dyDescent="0.75">
      <c r="A17" s="69" t="s">
        <v>54</v>
      </c>
      <c r="B17" s="70">
        <f>Ag!C40</f>
        <v>0</v>
      </c>
      <c r="C17" s="70">
        <f>Tourism!C40</f>
        <v>0</v>
      </c>
      <c r="D17" s="70">
        <f>Nonag!C40</f>
        <v>0</v>
      </c>
      <c r="E17" s="70">
        <f>Fishing!C42</f>
        <v>0</v>
      </c>
      <c r="F17" s="72"/>
      <c r="G17" s="72"/>
      <c r="H17" s="72"/>
      <c r="I17" s="72"/>
      <c r="J17" s="72"/>
      <c r="K17" s="71">
        <f>Households!C44</f>
        <v>0</v>
      </c>
      <c r="L17" s="71">
        <f>Households!D44</f>
        <v>0</v>
      </c>
      <c r="M17" s="72">
        <f>Restaurants!C41</f>
        <v>0</v>
      </c>
      <c r="N17" s="72">
        <f>Lodges!C41</f>
        <v>0</v>
      </c>
      <c r="O17" s="104">
        <f>Tourists!C39</f>
        <v>112627.02326260571</v>
      </c>
      <c r="P17" s="72">
        <f>NatParkPA!C41</f>
        <v>0</v>
      </c>
      <c r="Q17" s="72">
        <f>ComRevSh!C39</f>
        <v>0</v>
      </c>
      <c r="R17" s="72">
        <f>Localgov!C36</f>
        <v>0</v>
      </c>
      <c r="S17" s="104">
        <f>NatParkPA!C47</f>
        <v>131495.5963247105</v>
      </c>
      <c r="T17" s="70"/>
      <c r="U17" s="70">
        <f t="shared" si="0"/>
        <v>244122.61958731621</v>
      </c>
      <c r="V17" s="52">
        <f>U17/P22</f>
        <v>1</v>
      </c>
      <c r="W17" s="490"/>
      <c r="X17" s="59"/>
      <c r="Y17" s="59"/>
      <c r="Z17" s="59"/>
      <c r="AA17" s="59"/>
      <c r="AB17" s="59"/>
      <c r="AC17" s="59"/>
      <c r="AD17" s="59"/>
      <c r="AE17" s="59"/>
      <c r="AF17" s="59"/>
    </row>
    <row r="18" spans="1:32" ht="14.25" customHeight="1" x14ac:dyDescent="0.75">
      <c r="A18" s="77" t="s">
        <v>55</v>
      </c>
      <c r="B18" s="70"/>
      <c r="C18" s="70">
        <f>Tourism!C41</f>
        <v>0</v>
      </c>
      <c r="D18" s="70"/>
      <c r="E18" s="70"/>
      <c r="F18" s="72"/>
      <c r="G18" s="72"/>
      <c r="H18" s="72"/>
      <c r="I18" s="72"/>
      <c r="J18" s="72"/>
      <c r="K18" s="71"/>
      <c r="L18" s="71"/>
      <c r="M18" s="72"/>
      <c r="N18" s="72"/>
      <c r="O18" s="72"/>
      <c r="P18" s="72">
        <f>NatParkPA!C42</f>
        <v>10562</v>
      </c>
      <c r="Q18" s="72">
        <f>ComRevSh!C40</f>
        <v>0</v>
      </c>
      <c r="R18" s="72">
        <f>Localgov!C37</f>
        <v>0</v>
      </c>
      <c r="S18" s="72"/>
      <c r="T18" s="70"/>
      <c r="U18" s="70">
        <f t="shared" si="0"/>
        <v>10562</v>
      </c>
      <c r="V18" s="52">
        <f>U18/Q22</f>
        <v>5.8796350417786982</v>
      </c>
      <c r="W18" s="490"/>
      <c r="X18" s="59"/>
      <c r="Y18" s="59"/>
      <c r="Z18" s="59"/>
      <c r="AA18" s="59"/>
      <c r="AB18" s="59"/>
      <c r="AC18" s="59"/>
      <c r="AD18" s="59"/>
      <c r="AE18" s="59"/>
      <c r="AF18" s="59"/>
    </row>
    <row r="19" spans="1:32" ht="14.25" customHeight="1" x14ac:dyDescent="0.75">
      <c r="A19" s="482" t="s">
        <v>572</v>
      </c>
      <c r="B19" s="70">
        <f>Ag!C41</f>
        <v>1251.7675488610753</v>
      </c>
      <c r="C19" s="70">
        <f>Tourism!C42</f>
        <v>6933.920814799958</v>
      </c>
      <c r="D19" s="70">
        <f>Nonag!C41</f>
        <v>31010.323810799266</v>
      </c>
      <c r="E19" s="70">
        <f>Fishing!C43</f>
        <v>0</v>
      </c>
      <c r="F19" s="72"/>
      <c r="G19" s="72"/>
      <c r="H19" s="72"/>
      <c r="I19" s="72"/>
      <c r="J19" s="72"/>
      <c r="K19" s="71">
        <f>Households!C44</f>
        <v>0</v>
      </c>
      <c r="L19" s="71">
        <f>Households!D44</f>
        <v>0</v>
      </c>
      <c r="M19" s="72">
        <f>Restaurants!C42</f>
        <v>2046.3585311769241</v>
      </c>
      <c r="N19" s="72">
        <f>Lodges!C42</f>
        <v>924.82856864232792</v>
      </c>
      <c r="O19" s="72">
        <v>0</v>
      </c>
      <c r="P19" s="72">
        <v>0</v>
      </c>
      <c r="Q19" s="72">
        <v>0</v>
      </c>
      <c r="R19" s="72">
        <f>Localgov!C38</f>
        <v>0</v>
      </c>
      <c r="S19" s="72">
        <v>0</v>
      </c>
      <c r="T19" s="70"/>
      <c r="U19" s="483">
        <f t="shared" si="0"/>
        <v>42167.199274279548</v>
      </c>
      <c r="V19" s="52"/>
      <c r="W19" s="490"/>
      <c r="X19" s="59"/>
      <c r="Y19" s="59"/>
      <c r="Z19" s="59"/>
      <c r="AA19" s="59"/>
      <c r="AB19" s="59"/>
      <c r="AC19" s="59"/>
      <c r="AD19" s="59"/>
      <c r="AE19" s="59"/>
      <c r="AF19" s="59"/>
    </row>
    <row r="20" spans="1:32" ht="14.25" customHeight="1" x14ac:dyDescent="0.75">
      <c r="A20" s="69" t="s">
        <v>57</v>
      </c>
      <c r="B20" s="70">
        <f>Ag!C42</f>
        <v>0</v>
      </c>
      <c r="C20" s="70">
        <f>Tourism!C43</f>
        <v>11976.772316472654</v>
      </c>
      <c r="D20" s="70">
        <f>Nonag!C42</f>
        <v>49468.849888655976</v>
      </c>
      <c r="E20" s="70">
        <f>Fishing!C44</f>
        <v>0</v>
      </c>
      <c r="F20" s="72"/>
      <c r="G20" s="72"/>
      <c r="H20" s="72"/>
      <c r="I20" s="72"/>
      <c r="J20" s="72"/>
      <c r="K20" s="71">
        <f>Households!C46</f>
        <v>5232.5698945263812</v>
      </c>
      <c r="L20" s="71">
        <f>Households!D46</f>
        <v>1458.9473257866734</v>
      </c>
      <c r="M20" s="72">
        <f>Restaurants!C43</f>
        <v>3922.1871847557709</v>
      </c>
      <c r="N20" s="72">
        <f>Lodges!C43</f>
        <v>1327.1981626733605</v>
      </c>
      <c r="O20" s="72">
        <f>Tourists!C42</f>
        <v>0</v>
      </c>
      <c r="P20" s="72">
        <f>NatParkPA!C43</f>
        <v>0</v>
      </c>
      <c r="Q20" s="72">
        <f>ComRevSh!C41</f>
        <v>0</v>
      </c>
      <c r="R20" s="72">
        <f>Localgov!C39</f>
        <v>0</v>
      </c>
      <c r="S20" s="72">
        <v>0</v>
      </c>
      <c r="T20" s="70"/>
      <c r="U20" s="76">
        <f t="shared" si="0"/>
        <v>73386.524772870835</v>
      </c>
      <c r="V20" s="52">
        <f>U20/S22</f>
        <v>0.55809112110228232</v>
      </c>
      <c r="W20" s="490"/>
      <c r="X20" s="59"/>
      <c r="Y20" s="59"/>
      <c r="Z20" s="59"/>
      <c r="AA20" s="59"/>
      <c r="AB20" s="59"/>
      <c r="AC20" s="59"/>
      <c r="AD20" s="59"/>
      <c r="AE20" s="59"/>
      <c r="AF20" s="59"/>
    </row>
    <row r="21" spans="1:32" ht="14.25" customHeight="1" x14ac:dyDescent="0.75">
      <c r="A21" s="78" t="s">
        <v>59</v>
      </c>
      <c r="B21" s="70">
        <f>Ag!C43</f>
        <v>12225.596393876505</v>
      </c>
      <c r="C21" s="70">
        <f>Tourism!C44</f>
        <v>155019.05514295644</v>
      </c>
      <c r="D21" s="70">
        <f>Nonag!C43</f>
        <v>789581.91150639858</v>
      </c>
      <c r="E21" s="70">
        <f>Fishing!C45</f>
        <v>36662.372114388367</v>
      </c>
      <c r="F21" s="72">
        <v>0</v>
      </c>
      <c r="G21" s="72"/>
      <c r="H21" s="72"/>
      <c r="I21" s="72"/>
      <c r="J21" s="72">
        <v>0</v>
      </c>
      <c r="K21" s="71">
        <f>Households!C47</f>
        <v>62790.838734316581</v>
      </c>
      <c r="L21" s="71">
        <f>Households!D47</f>
        <v>120013.54968917559</v>
      </c>
      <c r="M21" s="72">
        <f>Restaurants!C44</f>
        <v>35777.168320076547</v>
      </c>
      <c r="N21" s="72">
        <f>Lodges!C44</f>
        <v>10053.589256046545</v>
      </c>
      <c r="O21" s="72">
        <f>Tourists!C43</f>
        <v>0</v>
      </c>
      <c r="P21" s="72">
        <f>NatParkPA!C44</f>
        <v>26013.996330518905</v>
      </c>
      <c r="Q21" s="72">
        <f>ComRevSh!C42</f>
        <v>0.83</v>
      </c>
      <c r="R21" s="72">
        <f>Localgov!C40</f>
        <v>0</v>
      </c>
      <c r="S21" s="104">
        <f>IF(SUM(B20:P20)-SUM(S3:S17)&gt;0,SUM(B20:P20)-SUM(S3:S17),0)</f>
        <v>0</v>
      </c>
      <c r="T21" s="70"/>
      <c r="U21" s="70">
        <f t="shared" si="0"/>
        <v>1248138.9074877542</v>
      </c>
      <c r="V21" s="52">
        <f>U21/T22</f>
        <v>0.98678538157170881</v>
      </c>
      <c r="W21" s="490"/>
      <c r="X21" s="59"/>
      <c r="Y21" s="59"/>
      <c r="Z21" s="59"/>
      <c r="AA21" s="59"/>
      <c r="AB21" s="59"/>
      <c r="AC21" s="59"/>
      <c r="AD21" s="59"/>
      <c r="AE21" s="59"/>
      <c r="AF21" s="59"/>
    </row>
    <row r="22" spans="1:32" ht="14.25" customHeight="1" x14ac:dyDescent="0.75">
      <c r="A22" s="79" t="s">
        <v>181</v>
      </c>
      <c r="B22" s="70">
        <f t="shared" ref="B22:T22" si="1">SUM(B3:B21)</f>
        <v>66442.014270757732</v>
      </c>
      <c r="C22" s="70">
        <f t="shared" si="1"/>
        <v>489914.32982571534</v>
      </c>
      <c r="D22" s="70">
        <f t="shared" si="1"/>
        <v>1499338.7608367363</v>
      </c>
      <c r="E22" s="70">
        <f t="shared" si="1"/>
        <v>36662.372114388367</v>
      </c>
      <c r="F22" s="70">
        <f t="shared" si="1"/>
        <v>161854.73090888199</v>
      </c>
      <c r="G22" s="70">
        <f t="shared" si="1"/>
        <v>143211.75769547757</v>
      </c>
      <c r="H22" s="70">
        <f t="shared" si="1"/>
        <v>15430.961906507333</v>
      </c>
      <c r="I22" s="70">
        <f t="shared" si="1"/>
        <v>25502.112331748533</v>
      </c>
      <c r="J22" s="70">
        <f t="shared" si="1"/>
        <v>724013.77291039517</v>
      </c>
      <c r="K22" s="70">
        <f t="shared" si="1"/>
        <v>512791.84966358537</v>
      </c>
      <c r="L22" s="70">
        <f t="shared" si="1"/>
        <v>518039.00903136854</v>
      </c>
      <c r="M22" s="70">
        <f t="shared" si="1"/>
        <v>113686.58506538466</v>
      </c>
      <c r="N22" s="70">
        <f t="shared" si="1"/>
        <v>24872.042824591415</v>
      </c>
      <c r="O22" s="70">
        <f t="shared" si="1"/>
        <v>1248835.3922682505</v>
      </c>
      <c r="P22" s="70">
        <f t="shared" si="1"/>
        <v>244122.61958731621</v>
      </c>
      <c r="Q22" s="70">
        <f t="shared" si="1"/>
        <v>1796.37</v>
      </c>
      <c r="R22" s="483">
        <f t="shared" si="1"/>
        <v>35361.599999999999</v>
      </c>
      <c r="S22" s="104">
        <f t="shared" si="1"/>
        <v>131495.5963247105</v>
      </c>
      <c r="T22" s="105">
        <f t="shared" si="1"/>
        <v>1264853.4633739435</v>
      </c>
      <c r="U22" s="70"/>
      <c r="V22" s="59"/>
      <c r="W22" s="59"/>
      <c r="X22" s="59"/>
      <c r="Y22" s="59"/>
      <c r="Z22" s="59"/>
      <c r="AA22" s="59"/>
      <c r="AB22" s="59"/>
      <c r="AC22" s="59"/>
      <c r="AD22" s="59"/>
      <c r="AE22" s="59"/>
      <c r="AF22" s="59"/>
    </row>
    <row r="23" spans="1:32" ht="14.25" customHeight="1" x14ac:dyDescent="0.75">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c r="AF23" s="59"/>
    </row>
    <row r="24" spans="1:32" ht="14.25" customHeight="1" x14ac:dyDescent="0.75">
      <c r="A24" s="59"/>
      <c r="B24" s="59"/>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row>
    <row r="25" spans="1:32" ht="14.25" customHeight="1" x14ac:dyDescent="0.75">
      <c r="A25" s="59"/>
      <c r="B25" s="59">
        <f>B22-853262</f>
        <v>-786819.98572924221</v>
      </c>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c r="AF25" s="59"/>
    </row>
    <row r="26" spans="1:32" ht="14.25" customHeight="1" x14ac:dyDescent="0.75">
      <c r="A26" s="59"/>
      <c r="B26" s="59"/>
      <c r="C26" s="59"/>
      <c r="D26" s="59"/>
      <c r="E26" s="59"/>
      <c r="F26" s="59"/>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c r="AF26" s="59"/>
    </row>
    <row r="27" spans="1:32" ht="14.25" customHeight="1" x14ac:dyDescent="0.75">
      <c r="A27" s="59"/>
      <c r="B27" s="59">
        <f>SUM(K3:Q3)+C3</f>
        <v>50628.017570146149</v>
      </c>
      <c r="C27" s="106">
        <f>B25/B22</f>
        <v>-11.842205483459209</v>
      </c>
      <c r="D27" s="107">
        <f>B25/B27</f>
        <v>-15.541196821287484</v>
      </c>
      <c r="E27" s="59"/>
      <c r="F27" s="59">
        <f>SUM(K6:N6)+C6</f>
        <v>36662.372114388367</v>
      </c>
      <c r="G27" s="59"/>
      <c r="H27" s="59"/>
      <c r="I27" s="59"/>
      <c r="J27" s="59"/>
      <c r="K27" s="59"/>
      <c r="L27" s="59"/>
      <c r="M27" s="59"/>
      <c r="N27" s="59"/>
      <c r="O27" s="59"/>
      <c r="P27" s="59"/>
      <c r="Q27" s="59"/>
      <c r="R27" s="59"/>
      <c r="S27" s="59"/>
      <c r="T27" s="59"/>
      <c r="U27" s="59"/>
      <c r="V27" s="59"/>
      <c r="W27" s="59"/>
      <c r="X27" s="59"/>
      <c r="Y27" s="59"/>
      <c r="Z27" s="59"/>
      <c r="AA27" s="59"/>
      <c r="AB27" s="59"/>
      <c r="AC27" s="59"/>
      <c r="AD27" s="59"/>
      <c r="AE27" s="59"/>
      <c r="AF27" s="59"/>
    </row>
    <row r="28" spans="1:32" ht="14.25" customHeight="1" x14ac:dyDescent="0.75">
      <c r="A28" s="59"/>
      <c r="B28" s="59">
        <f>B27/(1-0.05-0.02-0.075)</f>
        <v>59214.055637597834</v>
      </c>
      <c r="C28" s="59"/>
      <c r="D28" s="59"/>
      <c r="E28" s="59"/>
      <c r="F28" s="59"/>
      <c r="G28" s="59"/>
      <c r="H28" s="59"/>
      <c r="I28" s="59"/>
      <c r="J28" s="59"/>
      <c r="K28" s="59"/>
      <c r="L28" s="59"/>
      <c r="M28" s="59"/>
      <c r="N28" s="59"/>
      <c r="O28" s="59"/>
      <c r="P28" s="59"/>
      <c r="Q28" s="59"/>
      <c r="R28" s="59"/>
      <c r="S28" s="59">
        <f>605550 - 606915</f>
        <v>-1365</v>
      </c>
      <c r="T28" s="59"/>
      <c r="U28" s="59"/>
      <c r="V28" s="59"/>
      <c r="W28" s="59"/>
      <c r="X28" s="59"/>
      <c r="Y28" s="59"/>
      <c r="Z28" s="59"/>
      <c r="AA28" s="59"/>
      <c r="AB28" s="59"/>
      <c r="AC28" s="59"/>
      <c r="AD28" s="59"/>
      <c r="AE28" s="59"/>
      <c r="AF28" s="59"/>
    </row>
    <row r="29" spans="1:32" ht="14.25" customHeight="1" x14ac:dyDescent="0.75">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c r="AF29" s="59"/>
    </row>
    <row r="30" spans="1:32" ht="14.25" customHeight="1" x14ac:dyDescent="0.75">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c r="AF30" s="59"/>
    </row>
    <row r="31" spans="1:32" ht="14.25" customHeight="1" x14ac:dyDescent="0.75">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c r="AF31" s="59"/>
    </row>
    <row r="32" spans="1:32" ht="14.25" customHeight="1" x14ac:dyDescent="0.75">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c r="AF32" s="59"/>
    </row>
    <row r="33" spans="1:32" ht="14.25" customHeight="1" x14ac:dyDescent="0.75">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c r="AF33" s="59"/>
    </row>
    <row r="34" spans="1:32" ht="14.25" customHeight="1" x14ac:dyDescent="0.75">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c r="AF34" s="59"/>
    </row>
    <row r="35" spans="1:32" ht="14.25" customHeight="1" x14ac:dyDescent="0.75">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c r="AF35" s="59"/>
    </row>
    <row r="36" spans="1:32" ht="14.25" customHeight="1" x14ac:dyDescent="0.75">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c r="AF36" s="59"/>
    </row>
    <row r="37" spans="1:32" ht="14.25" customHeight="1" x14ac:dyDescent="0.75">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c r="AF37" s="59"/>
    </row>
    <row r="38" spans="1:32" ht="14.25" customHeight="1" x14ac:dyDescent="0.75">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row>
    <row r="39" spans="1:32" ht="14.25" customHeight="1" x14ac:dyDescent="0.75">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c r="AF39" s="59"/>
    </row>
    <row r="40" spans="1:32" ht="14.25" customHeight="1" x14ac:dyDescent="0.75">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row>
    <row r="41" spans="1:32" ht="14.25" customHeight="1" x14ac:dyDescent="0.75">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c r="AF41" s="59"/>
    </row>
    <row r="42" spans="1:32" ht="14.25" customHeight="1" x14ac:dyDescent="0.75">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row>
    <row r="43" spans="1:32" ht="14.25" customHeight="1" x14ac:dyDescent="0.75">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c r="AF43" s="59"/>
    </row>
    <row r="44" spans="1:32" ht="14.25" customHeight="1" x14ac:dyDescent="0.75">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c r="AF44" s="59"/>
    </row>
    <row r="45" spans="1:32" ht="14.25" customHeight="1" x14ac:dyDescent="0.75">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c r="AF45" s="59"/>
    </row>
    <row r="46" spans="1:32" ht="14.25" customHeight="1" x14ac:dyDescent="0.75">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row>
    <row r="47" spans="1:32" ht="14.25" customHeight="1" x14ac:dyDescent="0.75">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c r="AF47" s="59"/>
    </row>
    <row r="48" spans="1:32" ht="14.25" customHeight="1" x14ac:dyDescent="0.75">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c r="AF48" s="59"/>
    </row>
    <row r="49" spans="1:32" ht="14.25" customHeight="1" x14ac:dyDescent="0.75">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c r="AF49" s="59"/>
    </row>
    <row r="50" spans="1:32" ht="14.25" customHeight="1" x14ac:dyDescent="0.75">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c r="AF50" s="59"/>
    </row>
    <row r="51" spans="1:32" ht="14.25" customHeight="1" x14ac:dyDescent="0.75">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c r="AF51" s="59"/>
    </row>
    <row r="52" spans="1:32" ht="14.25" customHeight="1" x14ac:dyDescent="0.75">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c r="AF52" s="59"/>
    </row>
    <row r="53" spans="1:32" ht="14.25" customHeight="1" x14ac:dyDescent="0.75">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c r="AF53" s="59"/>
    </row>
    <row r="54" spans="1:32" ht="14.25" customHeight="1" x14ac:dyDescent="0.75">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c r="AF54" s="59"/>
    </row>
    <row r="55" spans="1:32" ht="14.25" customHeight="1" x14ac:dyDescent="0.75">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c r="AF55" s="59"/>
    </row>
    <row r="56" spans="1:32" ht="14.25" customHeight="1" x14ac:dyDescent="0.75">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row>
    <row r="57" spans="1:32" ht="14.25" customHeight="1" x14ac:dyDescent="0.75">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c r="AF57" s="59"/>
    </row>
    <row r="58" spans="1:32" ht="14.25" customHeight="1" x14ac:dyDescent="0.75">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c r="AF58" s="59"/>
    </row>
    <row r="59" spans="1:32" ht="14.25" customHeight="1" x14ac:dyDescent="0.75">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c r="AF59" s="59"/>
    </row>
    <row r="60" spans="1:32" ht="14.25" customHeight="1" x14ac:dyDescent="0.75">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c r="AF60" s="59"/>
    </row>
    <row r="61" spans="1:32" ht="14.25" customHeight="1" x14ac:dyDescent="0.75">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c r="AF61" s="59"/>
    </row>
    <row r="62" spans="1:32" ht="14.25" customHeight="1" x14ac:dyDescent="0.75">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c r="AF62" s="59"/>
    </row>
    <row r="63" spans="1:32" ht="14.25" customHeight="1" x14ac:dyDescent="0.75">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c r="AF63" s="59"/>
    </row>
    <row r="64" spans="1:32" ht="14.25" customHeight="1" x14ac:dyDescent="0.75">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c r="AF64" s="59"/>
    </row>
    <row r="65" spans="1:32" ht="14.25" customHeight="1" x14ac:dyDescent="0.75">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c r="AF65" s="59"/>
    </row>
    <row r="66" spans="1:32" ht="14.25" customHeight="1" x14ac:dyDescent="0.75">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c r="AF66" s="59"/>
    </row>
    <row r="67" spans="1:32" ht="14.25" customHeight="1" x14ac:dyDescent="0.75">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c r="AF67" s="59"/>
    </row>
    <row r="68" spans="1:32" ht="14.25" customHeight="1" x14ac:dyDescent="0.75">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c r="AF68" s="59"/>
    </row>
    <row r="69" spans="1:32" ht="14.25" customHeight="1" x14ac:dyDescent="0.75">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c r="AF69" s="59"/>
    </row>
    <row r="70" spans="1:32" ht="14.25" customHeight="1" x14ac:dyDescent="0.75">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c r="AF70" s="59"/>
    </row>
    <row r="71" spans="1:32" ht="14.25" customHeight="1" x14ac:dyDescent="0.75">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c r="AF71" s="59"/>
    </row>
    <row r="72" spans="1:32" ht="14.25" customHeight="1" x14ac:dyDescent="0.75">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row>
    <row r="73" spans="1:32" ht="14.25" customHeight="1" x14ac:dyDescent="0.75">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c r="AF73" s="59"/>
    </row>
    <row r="74" spans="1:32" ht="14.25" customHeight="1" x14ac:dyDescent="0.75">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c r="AF74" s="59"/>
    </row>
    <row r="75" spans="1:32" ht="14.25" customHeight="1" x14ac:dyDescent="0.75">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c r="AF75" s="59"/>
    </row>
    <row r="76" spans="1:32" ht="14.25" customHeight="1" x14ac:dyDescent="0.75">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c r="AF76" s="59"/>
    </row>
    <row r="77" spans="1:32" ht="14.25" customHeight="1" x14ac:dyDescent="0.75">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c r="AF77" s="59"/>
    </row>
    <row r="78" spans="1:32" ht="14.25" customHeight="1" x14ac:dyDescent="0.75">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c r="AF78" s="59"/>
    </row>
    <row r="79" spans="1:32" ht="14.25" customHeight="1" x14ac:dyDescent="0.75">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c r="AF79" s="59"/>
    </row>
    <row r="80" spans="1:32" ht="14.25" customHeight="1" x14ac:dyDescent="0.75">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c r="AF80" s="59"/>
    </row>
    <row r="81" spans="1:32" ht="14.25" customHeight="1" x14ac:dyDescent="0.75">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c r="AF81" s="59"/>
    </row>
    <row r="82" spans="1:32" ht="14.25" customHeight="1" x14ac:dyDescent="0.75">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c r="AF82" s="59"/>
    </row>
    <row r="83" spans="1:32" ht="14.25" customHeight="1" x14ac:dyDescent="0.75">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c r="AF83" s="59"/>
    </row>
    <row r="84" spans="1:32" ht="14.25" customHeight="1" x14ac:dyDescent="0.75">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c r="AF84" s="59"/>
    </row>
    <row r="85" spans="1:32" ht="14.25" customHeight="1" x14ac:dyDescent="0.75">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c r="AF85" s="59"/>
    </row>
    <row r="86" spans="1:32" ht="14.25" customHeight="1" x14ac:dyDescent="0.75">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c r="AF86" s="59"/>
    </row>
    <row r="87" spans="1:32" ht="14.25" customHeight="1" x14ac:dyDescent="0.75">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c r="AF87" s="59"/>
    </row>
    <row r="88" spans="1:32" ht="14.25" customHeight="1" x14ac:dyDescent="0.75">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row>
    <row r="89" spans="1:32" ht="14.25" customHeight="1" x14ac:dyDescent="0.75">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c r="AF89" s="59"/>
    </row>
    <row r="90" spans="1:32" ht="14.25" customHeight="1" x14ac:dyDescent="0.75">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c r="AF90" s="59"/>
    </row>
    <row r="91" spans="1:32" ht="14.25" customHeight="1" x14ac:dyDescent="0.75">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c r="AF91" s="59"/>
    </row>
    <row r="92" spans="1:32" ht="14.25" customHeight="1" x14ac:dyDescent="0.75">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c r="AF92" s="59"/>
    </row>
    <row r="93" spans="1:32" ht="14.25" customHeight="1" x14ac:dyDescent="0.75">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c r="AF93" s="59"/>
    </row>
    <row r="94" spans="1:32" ht="14.25" customHeight="1" x14ac:dyDescent="0.75">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c r="AF94" s="59"/>
    </row>
    <row r="95" spans="1:32" ht="14.25" customHeight="1" x14ac:dyDescent="0.75">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c r="AF95" s="59"/>
    </row>
    <row r="96" spans="1:32" ht="14.25" customHeight="1" x14ac:dyDescent="0.75">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c r="AF96" s="59"/>
    </row>
    <row r="97" spans="1:32" ht="14.25" customHeight="1" x14ac:dyDescent="0.75">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c r="AF97" s="59"/>
    </row>
    <row r="98" spans="1:32" ht="14.25" customHeight="1" x14ac:dyDescent="0.75">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c r="AF98" s="59"/>
    </row>
    <row r="99" spans="1:32" ht="14.25" customHeight="1" x14ac:dyDescent="0.75">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c r="AF99" s="59"/>
    </row>
    <row r="100" spans="1:32" ht="14.25" customHeight="1" x14ac:dyDescent="0.75">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c r="AF100" s="59"/>
    </row>
    <row r="101" spans="1:32" ht="14.25" customHeight="1" x14ac:dyDescent="0.75">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c r="AF101" s="59"/>
    </row>
    <row r="102" spans="1:32" ht="14.25" customHeight="1" x14ac:dyDescent="0.75">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c r="AF102" s="59"/>
    </row>
    <row r="103" spans="1:32" ht="14.25" customHeight="1" x14ac:dyDescent="0.75">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c r="AF103" s="59"/>
    </row>
    <row r="104" spans="1:32" ht="14.25" customHeight="1" x14ac:dyDescent="0.75">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c r="AF104" s="59"/>
    </row>
    <row r="105" spans="1:32" ht="14.25" customHeight="1" x14ac:dyDescent="0.75">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c r="AF105" s="59"/>
    </row>
    <row r="106" spans="1:32" ht="14.25" customHeight="1" x14ac:dyDescent="0.75">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c r="AF106" s="59"/>
    </row>
    <row r="107" spans="1:32" ht="14.25" customHeight="1" x14ac:dyDescent="0.75">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row>
    <row r="108" spans="1:32" ht="14.25" customHeight="1" x14ac:dyDescent="0.75">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c r="AF108" s="59"/>
    </row>
    <row r="109" spans="1:32" ht="14.25" customHeight="1" x14ac:dyDescent="0.75">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c r="AF109" s="59"/>
    </row>
    <row r="110" spans="1:32" ht="14.25" customHeight="1" x14ac:dyDescent="0.75">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c r="AF110" s="59"/>
    </row>
    <row r="111" spans="1:32" ht="14.25" customHeight="1" x14ac:dyDescent="0.75">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c r="AF111" s="59"/>
    </row>
    <row r="112" spans="1:32" ht="14.25" customHeight="1" x14ac:dyDescent="0.75">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c r="AF112" s="59"/>
    </row>
    <row r="113" spans="1:32" ht="14.25" customHeight="1" x14ac:dyDescent="0.75">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row>
    <row r="114" spans="1:32" ht="14.25" customHeight="1" x14ac:dyDescent="0.75">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c r="AF114" s="59"/>
    </row>
    <row r="115" spans="1:32" ht="14.25" customHeight="1" x14ac:dyDescent="0.75">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c r="AF115" s="59"/>
    </row>
    <row r="116" spans="1:32" ht="14.25" customHeight="1" x14ac:dyDescent="0.75">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c r="AF116" s="59"/>
    </row>
    <row r="117" spans="1:32" ht="14.25" customHeight="1" x14ac:dyDescent="0.75">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c r="AF117" s="59"/>
    </row>
    <row r="118" spans="1:32" ht="14.25" customHeight="1" x14ac:dyDescent="0.75">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c r="AF118" s="59"/>
    </row>
    <row r="119" spans="1:32" ht="14.25" customHeight="1" x14ac:dyDescent="0.75">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c r="AF119" s="59"/>
    </row>
    <row r="120" spans="1:32" ht="14.25" customHeight="1" x14ac:dyDescent="0.75">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c r="AF120" s="59"/>
    </row>
    <row r="121" spans="1:32" ht="14.25" customHeight="1" x14ac:dyDescent="0.75">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c r="AF121" s="59"/>
    </row>
    <row r="122" spans="1:32" ht="14.25" customHeight="1" x14ac:dyDescent="0.75">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c r="AF122" s="59"/>
    </row>
    <row r="123" spans="1:32" ht="14.25" customHeight="1" x14ac:dyDescent="0.75">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c r="AF123" s="59"/>
    </row>
    <row r="124" spans="1:32" ht="14.25" customHeight="1" x14ac:dyDescent="0.75">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c r="AF124" s="59"/>
    </row>
    <row r="125" spans="1:32" ht="14.25" customHeight="1" x14ac:dyDescent="0.75">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c r="AF125" s="59"/>
    </row>
    <row r="126" spans="1:32" ht="14.25" customHeight="1" x14ac:dyDescent="0.75">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c r="AF126" s="59"/>
    </row>
    <row r="127" spans="1:32" ht="14.25" customHeight="1" x14ac:dyDescent="0.75">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c r="AF127" s="59"/>
    </row>
    <row r="128" spans="1:32" ht="14.25" customHeight="1" x14ac:dyDescent="0.75">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c r="AF128" s="59"/>
    </row>
    <row r="129" spans="1:32" ht="14.25" customHeight="1" x14ac:dyDescent="0.75">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c r="AF129" s="59"/>
    </row>
    <row r="130" spans="1:32" ht="14.25" customHeight="1" x14ac:dyDescent="0.75">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c r="AF130" s="59"/>
    </row>
    <row r="131" spans="1:32" ht="14.25" customHeight="1" x14ac:dyDescent="0.75">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c r="AF131" s="59"/>
    </row>
    <row r="132" spans="1:32" ht="14.25" customHeight="1" x14ac:dyDescent="0.75">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c r="AF132" s="59"/>
    </row>
    <row r="133" spans="1:32" ht="14.25" customHeight="1" x14ac:dyDescent="0.75">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c r="AF133" s="59"/>
    </row>
    <row r="134" spans="1:32" ht="14.25" customHeight="1" x14ac:dyDescent="0.75">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c r="AF134" s="59"/>
    </row>
    <row r="135" spans="1:32" ht="14.25" customHeight="1" x14ac:dyDescent="0.75">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c r="AF135" s="59"/>
    </row>
    <row r="136" spans="1:32" ht="14.25" customHeight="1" x14ac:dyDescent="0.75">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c r="AF136" s="59"/>
    </row>
    <row r="137" spans="1:32" ht="14.25" customHeight="1" x14ac:dyDescent="0.75">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c r="AF137" s="59"/>
    </row>
    <row r="138" spans="1:32" ht="14.25" customHeight="1" x14ac:dyDescent="0.75">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c r="AF138" s="59"/>
    </row>
    <row r="139" spans="1:32" ht="14.25" customHeight="1" x14ac:dyDescent="0.75">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c r="AF139" s="59"/>
    </row>
    <row r="140" spans="1:32" ht="14.25" customHeight="1" x14ac:dyDescent="0.75">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c r="AF140" s="59"/>
    </row>
    <row r="141" spans="1:32" ht="14.25" customHeight="1" x14ac:dyDescent="0.75">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c r="AF141" s="59"/>
    </row>
    <row r="142" spans="1:32" ht="14.25" customHeight="1" x14ac:dyDescent="0.75">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c r="AF142" s="59"/>
    </row>
    <row r="143" spans="1:32" ht="14.25" customHeight="1" x14ac:dyDescent="0.75">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c r="AF143" s="59"/>
    </row>
    <row r="144" spans="1:32" ht="14.25" customHeight="1" x14ac:dyDescent="0.75">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c r="AF144" s="59"/>
    </row>
    <row r="145" spans="1:32" ht="14.25" customHeight="1" x14ac:dyDescent="0.75">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c r="AF145" s="59"/>
    </row>
    <row r="146" spans="1:32" ht="14.25" customHeight="1" x14ac:dyDescent="0.75">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c r="AF146" s="59"/>
    </row>
    <row r="147" spans="1:32" ht="14.25" customHeight="1" x14ac:dyDescent="0.75">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c r="AF147" s="59"/>
    </row>
    <row r="148" spans="1:32" ht="14.25" customHeight="1" x14ac:dyDescent="0.75">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c r="AF148" s="59"/>
    </row>
    <row r="149" spans="1:32" ht="14.25" customHeight="1" x14ac:dyDescent="0.75">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c r="AF149" s="59"/>
    </row>
    <row r="150" spans="1:32" ht="14.25" customHeight="1" x14ac:dyDescent="0.75">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c r="AF150" s="59"/>
    </row>
    <row r="151" spans="1:32" ht="14.25" customHeight="1" x14ac:dyDescent="0.75">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c r="AF151" s="59"/>
    </row>
    <row r="152" spans="1:32" ht="14.25" customHeight="1" x14ac:dyDescent="0.75">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c r="AF152" s="59"/>
    </row>
    <row r="153" spans="1:32" ht="14.25" customHeight="1" x14ac:dyDescent="0.75">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c r="AF153" s="59"/>
    </row>
    <row r="154" spans="1:32" ht="14.25" customHeight="1" x14ac:dyDescent="0.75">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c r="AF154" s="59"/>
    </row>
    <row r="155" spans="1:32" ht="14.25" customHeight="1" x14ac:dyDescent="0.75">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c r="AF155" s="59"/>
    </row>
    <row r="156" spans="1:32" ht="14.25" customHeight="1" x14ac:dyDescent="0.75">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c r="AF156" s="59"/>
    </row>
    <row r="157" spans="1:32" ht="14.25" customHeight="1" x14ac:dyDescent="0.75">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c r="AF157" s="59"/>
    </row>
    <row r="158" spans="1:32" ht="14.25" customHeight="1" x14ac:dyDescent="0.75">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c r="AF158" s="59"/>
    </row>
    <row r="159" spans="1:32" ht="14.25" customHeight="1" x14ac:dyDescent="0.75">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c r="AF159" s="59"/>
    </row>
    <row r="160" spans="1:32" ht="14.25" customHeight="1" x14ac:dyDescent="0.75">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c r="AF160" s="59"/>
    </row>
    <row r="161" spans="1:32" ht="14.25" customHeight="1" x14ac:dyDescent="0.75">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c r="AF161" s="59"/>
    </row>
    <row r="162" spans="1:32" ht="14.25" customHeight="1" x14ac:dyDescent="0.75">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c r="AF162" s="59"/>
    </row>
    <row r="163" spans="1:32" ht="14.25" customHeight="1" x14ac:dyDescent="0.75">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c r="AF163" s="59"/>
    </row>
    <row r="164" spans="1:32" ht="14.25" customHeight="1" x14ac:dyDescent="0.75">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c r="AF164" s="59"/>
    </row>
    <row r="165" spans="1:32" ht="14.25" customHeight="1" x14ac:dyDescent="0.75">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c r="AF165" s="59"/>
    </row>
    <row r="166" spans="1:32" ht="14.25" customHeight="1" x14ac:dyDescent="0.75">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c r="AF166" s="59"/>
    </row>
    <row r="167" spans="1:32" ht="14.25" customHeight="1" x14ac:dyDescent="0.75">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c r="AF167" s="59"/>
    </row>
    <row r="168" spans="1:32" ht="14.25" customHeight="1" x14ac:dyDescent="0.75">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c r="AF168" s="59"/>
    </row>
    <row r="169" spans="1:32" ht="14.25" customHeight="1" x14ac:dyDescent="0.75">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c r="AF169" s="59"/>
    </row>
    <row r="170" spans="1:32" ht="14.25" customHeight="1" x14ac:dyDescent="0.75">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c r="AF170" s="59"/>
    </row>
    <row r="171" spans="1:32" ht="14.25" customHeight="1" x14ac:dyDescent="0.75">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c r="AF171" s="59"/>
    </row>
    <row r="172" spans="1:32" ht="14.25" customHeight="1" x14ac:dyDescent="0.75">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c r="AF172" s="59"/>
    </row>
    <row r="173" spans="1:32" ht="14.25" customHeight="1" x14ac:dyDescent="0.75">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c r="AF173" s="59"/>
    </row>
    <row r="174" spans="1:32" ht="14.25" customHeight="1" x14ac:dyDescent="0.75">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c r="AF174" s="59"/>
    </row>
    <row r="175" spans="1:32" ht="14.25" customHeight="1" x14ac:dyDescent="0.75">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c r="AF175" s="59"/>
    </row>
    <row r="176" spans="1:32" ht="14.25" customHeight="1" x14ac:dyDescent="0.75">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c r="AF176" s="59"/>
    </row>
    <row r="177" spans="1:32" ht="14.25" customHeight="1" x14ac:dyDescent="0.75">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c r="AF177" s="59"/>
    </row>
    <row r="178" spans="1:32" ht="14.25" customHeight="1" x14ac:dyDescent="0.75">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c r="AF178" s="59"/>
    </row>
    <row r="179" spans="1:32" ht="14.25" customHeight="1" x14ac:dyDescent="0.75">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c r="AF179" s="59"/>
    </row>
    <row r="180" spans="1:32" ht="14.25" customHeight="1" x14ac:dyDescent="0.75">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c r="AF180" s="59"/>
    </row>
    <row r="181" spans="1:32" ht="14.25" customHeight="1" x14ac:dyDescent="0.75">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c r="AF181" s="59"/>
    </row>
    <row r="182" spans="1:32" ht="14.25" customHeight="1" x14ac:dyDescent="0.75">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c r="AF182" s="59"/>
    </row>
    <row r="183" spans="1:32" ht="14.25" customHeight="1" x14ac:dyDescent="0.75">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c r="AF183" s="59"/>
    </row>
    <row r="184" spans="1:32" ht="14.25" customHeight="1" x14ac:dyDescent="0.75">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c r="AF184" s="59"/>
    </row>
    <row r="185" spans="1:32" ht="14.25" customHeight="1" x14ac:dyDescent="0.75">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c r="AF185" s="59"/>
    </row>
    <row r="186" spans="1:32" ht="14.25" customHeight="1" x14ac:dyDescent="0.75">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c r="AF186" s="59"/>
    </row>
    <row r="187" spans="1:32" ht="14.25" customHeight="1" x14ac:dyDescent="0.75">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c r="AF187" s="59"/>
    </row>
    <row r="188" spans="1:32" ht="14.25" customHeight="1" x14ac:dyDescent="0.75">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c r="AA188" s="59"/>
      <c r="AB188" s="59"/>
      <c r="AC188" s="59"/>
      <c r="AD188" s="59"/>
      <c r="AE188" s="59"/>
      <c r="AF188" s="59"/>
    </row>
    <row r="189" spans="1:32" ht="15.75" customHeight="1" x14ac:dyDescent="0.75"/>
    <row r="190" spans="1:32" ht="15.75" customHeight="1" x14ac:dyDescent="0.75"/>
    <row r="191" spans="1:32" ht="15.75" customHeight="1" x14ac:dyDescent="0.75"/>
    <row r="192" spans="1:32" ht="15.75" customHeight="1" x14ac:dyDescent="0.75"/>
    <row r="193" ht="15.75" customHeight="1" x14ac:dyDescent="0.75"/>
    <row r="194" ht="15.75" customHeight="1" x14ac:dyDescent="0.75"/>
    <row r="195" ht="15.75" customHeight="1" x14ac:dyDescent="0.75"/>
    <row r="196" ht="15.75" customHeight="1" x14ac:dyDescent="0.75"/>
    <row r="197" ht="15.75" customHeight="1" x14ac:dyDescent="0.75"/>
    <row r="198" ht="15.75" customHeight="1" x14ac:dyDescent="0.75"/>
    <row r="199" ht="15.75" customHeight="1" x14ac:dyDescent="0.75"/>
    <row r="200" ht="15.75" customHeight="1" x14ac:dyDescent="0.75"/>
    <row r="201" ht="15.75" customHeight="1" x14ac:dyDescent="0.75"/>
    <row r="202" ht="15.75" customHeight="1" x14ac:dyDescent="0.75"/>
    <row r="203" ht="15.75" customHeight="1" x14ac:dyDescent="0.75"/>
    <row r="204" ht="15.75" customHeight="1" x14ac:dyDescent="0.75"/>
    <row r="205" ht="15.75" customHeight="1" x14ac:dyDescent="0.75"/>
    <row r="206" ht="15.75" customHeight="1" x14ac:dyDescent="0.75"/>
    <row r="207" ht="15.75" customHeight="1" x14ac:dyDescent="0.75"/>
    <row r="208" ht="15.75" customHeight="1" x14ac:dyDescent="0.75"/>
    <row r="209" ht="15.75" customHeight="1" x14ac:dyDescent="0.75"/>
    <row r="210" ht="15.75" customHeight="1" x14ac:dyDescent="0.75"/>
    <row r="211" ht="15.75" customHeight="1" x14ac:dyDescent="0.75"/>
    <row r="212" ht="15.75" customHeight="1" x14ac:dyDescent="0.75"/>
    <row r="213" ht="15.75" customHeight="1" x14ac:dyDescent="0.75"/>
    <row r="214" ht="15.75" customHeight="1" x14ac:dyDescent="0.75"/>
    <row r="215" ht="15.75" customHeight="1" x14ac:dyDescent="0.75"/>
    <row r="216" ht="15.75" customHeight="1" x14ac:dyDescent="0.75"/>
    <row r="217" ht="15.75" customHeight="1" x14ac:dyDescent="0.75"/>
    <row r="218" ht="15.75" customHeight="1" x14ac:dyDescent="0.75"/>
    <row r="219" ht="15.75" customHeight="1" x14ac:dyDescent="0.75"/>
    <row r="220" ht="15.75" customHeight="1" x14ac:dyDescent="0.75"/>
    <row r="221" ht="15.75" customHeight="1" x14ac:dyDescent="0.75"/>
    <row r="222" ht="15.75" customHeight="1" x14ac:dyDescent="0.75"/>
    <row r="223" ht="15.75" customHeight="1" x14ac:dyDescent="0.75"/>
    <row r="224" ht="15.75" customHeight="1" x14ac:dyDescent="0.75"/>
    <row r="225" ht="15.75" customHeight="1" x14ac:dyDescent="0.75"/>
    <row r="226" ht="15.75" customHeight="1" x14ac:dyDescent="0.75"/>
    <row r="227" ht="15.75" customHeight="1" x14ac:dyDescent="0.75"/>
    <row r="228" ht="15.75" customHeight="1" x14ac:dyDescent="0.75"/>
    <row r="229" ht="15.75" customHeight="1" x14ac:dyDescent="0.75"/>
    <row r="230" ht="15.75" customHeight="1" x14ac:dyDescent="0.75"/>
    <row r="231" ht="15.75" customHeight="1" x14ac:dyDescent="0.75"/>
    <row r="232" ht="15.75" customHeight="1" x14ac:dyDescent="0.75"/>
    <row r="233" ht="15.75" customHeight="1" x14ac:dyDescent="0.75"/>
    <row r="234" ht="15.75" customHeight="1" x14ac:dyDescent="0.75"/>
    <row r="235" ht="15.75" customHeight="1" x14ac:dyDescent="0.75"/>
    <row r="236" ht="15.75" customHeight="1" x14ac:dyDescent="0.75"/>
    <row r="237" ht="15.75" customHeight="1" x14ac:dyDescent="0.75"/>
    <row r="238" ht="15.75" customHeight="1" x14ac:dyDescent="0.75"/>
    <row r="239" ht="15.75" customHeight="1" x14ac:dyDescent="0.75"/>
    <row r="240" ht="15.75" customHeight="1" x14ac:dyDescent="0.75"/>
    <row r="241" ht="15.75" customHeight="1" x14ac:dyDescent="0.75"/>
    <row r="242" ht="15.75" customHeight="1" x14ac:dyDescent="0.75"/>
    <row r="243" ht="15.75" customHeight="1" x14ac:dyDescent="0.75"/>
    <row r="244" ht="15.75" customHeight="1" x14ac:dyDescent="0.75"/>
    <row r="245" ht="15.75" customHeight="1" x14ac:dyDescent="0.75"/>
    <row r="246" ht="15.75" customHeight="1" x14ac:dyDescent="0.75"/>
    <row r="247" ht="15.75" customHeight="1" x14ac:dyDescent="0.75"/>
    <row r="248" ht="15.75" customHeight="1" x14ac:dyDescent="0.75"/>
    <row r="249" ht="15.75" customHeight="1" x14ac:dyDescent="0.75"/>
    <row r="250" ht="15.75" customHeight="1" x14ac:dyDescent="0.75"/>
    <row r="251" ht="15.75" customHeight="1" x14ac:dyDescent="0.75"/>
    <row r="252" ht="15.75" customHeight="1" x14ac:dyDescent="0.75"/>
    <row r="253" ht="15.75" customHeight="1" x14ac:dyDescent="0.75"/>
    <row r="254" ht="15.75" customHeight="1" x14ac:dyDescent="0.75"/>
    <row r="255" ht="15.75" customHeight="1" x14ac:dyDescent="0.75"/>
    <row r="256" ht="15.75" customHeight="1" x14ac:dyDescent="0.75"/>
    <row r="257" ht="15.75" customHeight="1" x14ac:dyDescent="0.75"/>
    <row r="258" ht="15.75" customHeight="1" x14ac:dyDescent="0.75"/>
    <row r="259" ht="15.75" customHeight="1" x14ac:dyDescent="0.75"/>
    <row r="260" ht="15.75" customHeight="1" x14ac:dyDescent="0.75"/>
    <row r="261" ht="15.75" customHeight="1" x14ac:dyDescent="0.75"/>
    <row r="262" ht="15.75" customHeight="1" x14ac:dyDescent="0.75"/>
    <row r="263" ht="15.75" customHeight="1" x14ac:dyDescent="0.75"/>
    <row r="264" ht="15.75" customHeight="1" x14ac:dyDescent="0.75"/>
    <row r="265" ht="15.75" customHeight="1" x14ac:dyDescent="0.75"/>
    <row r="266" ht="15.75" customHeight="1" x14ac:dyDescent="0.75"/>
    <row r="267" ht="15.75" customHeight="1" x14ac:dyDescent="0.75"/>
    <row r="268" ht="15.75" customHeight="1" x14ac:dyDescent="0.75"/>
    <row r="269" ht="15.75" customHeight="1" x14ac:dyDescent="0.75"/>
    <row r="270" ht="15.75" customHeight="1" x14ac:dyDescent="0.75"/>
    <row r="271" ht="15.75" customHeight="1" x14ac:dyDescent="0.75"/>
    <row r="272" ht="15.75" customHeight="1" x14ac:dyDescent="0.75"/>
    <row r="273" ht="15.75" customHeight="1" x14ac:dyDescent="0.75"/>
    <row r="274" ht="15.75" customHeight="1" x14ac:dyDescent="0.75"/>
    <row r="275" ht="15.75" customHeight="1" x14ac:dyDescent="0.75"/>
    <row r="276" ht="15.75" customHeight="1" x14ac:dyDescent="0.75"/>
    <row r="277" ht="15.75" customHeight="1" x14ac:dyDescent="0.75"/>
    <row r="278" ht="15.75" customHeight="1" x14ac:dyDescent="0.75"/>
    <row r="279" ht="15.75" customHeight="1" x14ac:dyDescent="0.75"/>
    <row r="280" ht="15.75" customHeight="1" x14ac:dyDescent="0.75"/>
    <row r="281" ht="15.75" customHeight="1" x14ac:dyDescent="0.75"/>
    <row r="282" ht="15.75" customHeight="1" x14ac:dyDescent="0.75"/>
    <row r="283" ht="15.75" customHeight="1" x14ac:dyDescent="0.75"/>
    <row r="284" ht="15.75" customHeight="1" x14ac:dyDescent="0.75"/>
    <row r="285" ht="15.75" customHeight="1" x14ac:dyDescent="0.75"/>
    <row r="286" ht="15.75" customHeight="1" x14ac:dyDescent="0.75"/>
    <row r="287" ht="15.75" customHeight="1" x14ac:dyDescent="0.75"/>
    <row r="288" ht="15.75" customHeight="1" x14ac:dyDescent="0.75"/>
    <row r="289" ht="15.75" customHeight="1" x14ac:dyDescent="0.75"/>
    <row r="290" ht="15.75" customHeight="1" x14ac:dyDescent="0.75"/>
    <row r="291" ht="15.75" customHeight="1" x14ac:dyDescent="0.75"/>
    <row r="292" ht="15.75" customHeight="1" x14ac:dyDescent="0.75"/>
    <row r="293" ht="15.75" customHeight="1" x14ac:dyDescent="0.75"/>
    <row r="294" ht="15.75" customHeight="1" x14ac:dyDescent="0.75"/>
    <row r="295" ht="15.75" customHeight="1" x14ac:dyDescent="0.75"/>
    <row r="296" ht="15.75" customHeight="1" x14ac:dyDescent="0.75"/>
    <row r="297" ht="15.75" customHeight="1" x14ac:dyDescent="0.75"/>
    <row r="298" ht="15.75" customHeight="1" x14ac:dyDescent="0.75"/>
    <row r="299" ht="15.75" customHeight="1" x14ac:dyDescent="0.75"/>
    <row r="300" ht="15.75" customHeight="1" x14ac:dyDescent="0.75"/>
    <row r="301" ht="15.75" customHeight="1" x14ac:dyDescent="0.75"/>
    <row r="302" ht="15.75" customHeight="1" x14ac:dyDescent="0.75"/>
    <row r="303" ht="15.75" customHeight="1" x14ac:dyDescent="0.75"/>
    <row r="304" ht="15.75" customHeight="1" x14ac:dyDescent="0.75"/>
    <row r="305" ht="15.75" customHeight="1" x14ac:dyDescent="0.75"/>
    <row r="306" ht="15.75" customHeight="1" x14ac:dyDescent="0.75"/>
    <row r="307" ht="15.75" customHeight="1" x14ac:dyDescent="0.75"/>
    <row r="308" ht="15.75" customHeight="1" x14ac:dyDescent="0.75"/>
    <row r="309" ht="15.75" customHeight="1" x14ac:dyDescent="0.75"/>
    <row r="310" ht="15.75" customHeight="1" x14ac:dyDescent="0.75"/>
    <row r="311" ht="15.75" customHeight="1" x14ac:dyDescent="0.75"/>
    <row r="312" ht="15.75" customHeight="1" x14ac:dyDescent="0.75"/>
    <row r="313" ht="15.75" customHeight="1" x14ac:dyDescent="0.75"/>
    <row r="314" ht="15.75" customHeight="1" x14ac:dyDescent="0.75"/>
    <row r="315" ht="15.75" customHeight="1" x14ac:dyDescent="0.75"/>
    <row r="316" ht="15.75" customHeight="1" x14ac:dyDescent="0.75"/>
    <row r="317" ht="15.75" customHeight="1" x14ac:dyDescent="0.75"/>
    <row r="318" ht="15.75" customHeight="1" x14ac:dyDescent="0.75"/>
    <row r="319" ht="15.75" customHeight="1" x14ac:dyDescent="0.75"/>
    <row r="320" ht="15.75" customHeight="1" x14ac:dyDescent="0.75"/>
    <row r="321" ht="15.75" customHeight="1" x14ac:dyDescent="0.75"/>
    <row r="322" ht="15.75" customHeight="1" x14ac:dyDescent="0.75"/>
    <row r="323" ht="15.75" customHeight="1" x14ac:dyDescent="0.75"/>
    <row r="324" ht="15.75" customHeight="1" x14ac:dyDescent="0.75"/>
    <row r="325" ht="15.75" customHeight="1" x14ac:dyDescent="0.75"/>
    <row r="326" ht="15.75" customHeight="1" x14ac:dyDescent="0.75"/>
    <row r="327" ht="15.75" customHeight="1" x14ac:dyDescent="0.75"/>
    <row r="328" ht="15.75" customHeight="1" x14ac:dyDescent="0.75"/>
    <row r="329" ht="15.75" customHeight="1" x14ac:dyDescent="0.75"/>
    <row r="330" ht="15.75" customHeight="1" x14ac:dyDescent="0.75"/>
    <row r="331" ht="15.75" customHeight="1" x14ac:dyDescent="0.75"/>
    <row r="332" ht="15.75" customHeight="1" x14ac:dyDescent="0.75"/>
    <row r="333" ht="15.75" customHeight="1" x14ac:dyDescent="0.75"/>
    <row r="334" ht="15.75" customHeight="1" x14ac:dyDescent="0.75"/>
    <row r="335" ht="15.75" customHeight="1" x14ac:dyDescent="0.75"/>
    <row r="336" ht="15.75" customHeight="1" x14ac:dyDescent="0.75"/>
    <row r="337" ht="15.75" customHeight="1" x14ac:dyDescent="0.75"/>
    <row r="338" ht="15.75" customHeight="1" x14ac:dyDescent="0.75"/>
    <row r="339" ht="15.75" customHeight="1" x14ac:dyDescent="0.75"/>
    <row r="340" ht="15.75" customHeight="1" x14ac:dyDescent="0.75"/>
    <row r="341" ht="15.75" customHeight="1" x14ac:dyDescent="0.75"/>
    <row r="342" ht="15.75" customHeight="1" x14ac:dyDescent="0.75"/>
    <row r="343" ht="15.75" customHeight="1" x14ac:dyDescent="0.75"/>
    <row r="344" ht="15.75" customHeight="1" x14ac:dyDescent="0.75"/>
    <row r="345" ht="15.75" customHeight="1" x14ac:dyDescent="0.75"/>
    <row r="346" ht="15.75" customHeight="1" x14ac:dyDescent="0.75"/>
    <row r="347" ht="15.75" customHeight="1" x14ac:dyDescent="0.75"/>
    <row r="348" ht="15.75" customHeight="1" x14ac:dyDescent="0.75"/>
    <row r="349" ht="15.75" customHeight="1" x14ac:dyDescent="0.75"/>
    <row r="350" ht="15.75" customHeight="1" x14ac:dyDescent="0.75"/>
    <row r="351" ht="15.75" customHeight="1" x14ac:dyDescent="0.75"/>
    <row r="352" ht="15.75" customHeight="1" x14ac:dyDescent="0.75"/>
    <row r="353" ht="15.75" customHeight="1" x14ac:dyDescent="0.75"/>
    <row r="354" ht="15.75" customHeight="1" x14ac:dyDescent="0.75"/>
    <row r="355" ht="15.75" customHeight="1" x14ac:dyDescent="0.75"/>
    <row r="356" ht="15.75" customHeight="1" x14ac:dyDescent="0.75"/>
    <row r="357" ht="15.75" customHeight="1" x14ac:dyDescent="0.75"/>
    <row r="358" ht="15.75" customHeight="1" x14ac:dyDescent="0.75"/>
    <row r="359" ht="15.75" customHeight="1" x14ac:dyDescent="0.75"/>
    <row r="360" ht="15.75" customHeight="1" x14ac:dyDescent="0.75"/>
    <row r="361" ht="15.75" customHeight="1" x14ac:dyDescent="0.75"/>
    <row r="362" ht="15.75" customHeight="1" x14ac:dyDescent="0.75"/>
    <row r="363" ht="15.75" customHeight="1" x14ac:dyDescent="0.75"/>
    <row r="364" ht="15.75" customHeight="1" x14ac:dyDescent="0.75"/>
    <row r="365" ht="15.75" customHeight="1" x14ac:dyDescent="0.75"/>
    <row r="366" ht="15.75" customHeight="1" x14ac:dyDescent="0.75"/>
    <row r="367" ht="15.75" customHeight="1" x14ac:dyDescent="0.75"/>
    <row r="368" ht="15.75" customHeight="1" x14ac:dyDescent="0.75"/>
    <row r="369" ht="15.75" customHeight="1" x14ac:dyDescent="0.75"/>
    <row r="370" ht="15.75" customHeight="1" x14ac:dyDescent="0.75"/>
    <row r="371" ht="15.75" customHeight="1" x14ac:dyDescent="0.75"/>
    <row r="372" ht="15.75" customHeight="1" x14ac:dyDescent="0.75"/>
    <row r="373" ht="15.75" customHeight="1" x14ac:dyDescent="0.75"/>
    <row r="374" ht="15.75" customHeight="1" x14ac:dyDescent="0.75"/>
    <row r="375" ht="15.75" customHeight="1" x14ac:dyDescent="0.75"/>
    <row r="376" ht="15.75" customHeight="1" x14ac:dyDescent="0.75"/>
    <row r="377" ht="15.75" customHeight="1" x14ac:dyDescent="0.75"/>
    <row r="378" ht="15.75" customHeight="1" x14ac:dyDescent="0.75"/>
    <row r="379" ht="15.75" customHeight="1" x14ac:dyDescent="0.75"/>
    <row r="380" ht="15.75" customHeight="1" x14ac:dyDescent="0.75"/>
    <row r="381" ht="15.75" customHeight="1" x14ac:dyDescent="0.75"/>
    <row r="382" ht="15.75" customHeight="1" x14ac:dyDescent="0.75"/>
    <row r="383" ht="15.75" customHeight="1" x14ac:dyDescent="0.75"/>
    <row r="384" ht="15.75" customHeight="1" x14ac:dyDescent="0.75"/>
    <row r="385" ht="15.75" customHeight="1" x14ac:dyDescent="0.75"/>
    <row r="386" ht="15.75" customHeight="1" x14ac:dyDescent="0.75"/>
    <row r="387" ht="15.75" customHeight="1" x14ac:dyDescent="0.75"/>
    <row r="388" ht="15.75" customHeight="1" x14ac:dyDescent="0.75"/>
    <row r="389" ht="15.75" customHeight="1" x14ac:dyDescent="0.75"/>
    <row r="390" ht="15.75" customHeight="1" x14ac:dyDescent="0.75"/>
    <row r="391" ht="15.75" customHeight="1" x14ac:dyDescent="0.75"/>
    <row r="392" ht="15.75" customHeight="1" x14ac:dyDescent="0.75"/>
    <row r="393" ht="15.75" customHeight="1" x14ac:dyDescent="0.75"/>
    <row r="394" ht="15.75" customHeight="1" x14ac:dyDescent="0.75"/>
    <row r="395" ht="15.75" customHeight="1" x14ac:dyDescent="0.75"/>
    <row r="396" ht="15.75" customHeight="1" x14ac:dyDescent="0.75"/>
    <row r="397" ht="15.75" customHeight="1" x14ac:dyDescent="0.75"/>
    <row r="398" ht="15.75" customHeight="1" x14ac:dyDescent="0.75"/>
    <row r="399" ht="15.75" customHeight="1" x14ac:dyDescent="0.75"/>
    <row r="400" ht="15.75" customHeight="1" x14ac:dyDescent="0.75"/>
    <row r="401" ht="15.75" customHeight="1" x14ac:dyDescent="0.75"/>
    <row r="402" ht="15.75" customHeight="1" x14ac:dyDescent="0.75"/>
    <row r="403" ht="15.75" customHeight="1" x14ac:dyDescent="0.75"/>
    <row r="404" ht="15.75" customHeight="1" x14ac:dyDescent="0.75"/>
    <row r="405" ht="15.75" customHeight="1" x14ac:dyDescent="0.75"/>
    <row r="406" ht="15.75" customHeight="1" x14ac:dyDescent="0.75"/>
    <row r="407" ht="15.75" customHeight="1" x14ac:dyDescent="0.75"/>
    <row r="408" ht="15.75" customHeight="1" x14ac:dyDescent="0.75"/>
    <row r="409" ht="15.75" customHeight="1" x14ac:dyDescent="0.75"/>
    <row r="410" ht="15.75" customHeight="1" x14ac:dyDescent="0.75"/>
    <row r="411" ht="15.75" customHeight="1" x14ac:dyDescent="0.75"/>
    <row r="412" ht="15.75" customHeight="1" x14ac:dyDescent="0.75"/>
    <row r="413" ht="15.75" customHeight="1" x14ac:dyDescent="0.75"/>
    <row r="414" ht="15.75" customHeight="1" x14ac:dyDescent="0.75"/>
    <row r="415" ht="15.75" customHeight="1" x14ac:dyDescent="0.75"/>
    <row r="416" ht="15.75" customHeight="1" x14ac:dyDescent="0.75"/>
    <row r="417" ht="15.75" customHeight="1" x14ac:dyDescent="0.75"/>
    <row r="418" ht="15.75" customHeight="1" x14ac:dyDescent="0.75"/>
    <row r="419" ht="15.75" customHeight="1" x14ac:dyDescent="0.75"/>
    <row r="420" ht="15.75" customHeight="1" x14ac:dyDescent="0.75"/>
    <row r="421" ht="15.75" customHeight="1" x14ac:dyDescent="0.75"/>
    <row r="422" ht="15.75" customHeight="1" x14ac:dyDescent="0.75"/>
    <row r="423" ht="15.75" customHeight="1" x14ac:dyDescent="0.75"/>
    <row r="424" ht="15.75" customHeight="1" x14ac:dyDescent="0.75"/>
    <row r="425" ht="15.75" customHeight="1" x14ac:dyDescent="0.75"/>
    <row r="426" ht="15.75" customHeight="1" x14ac:dyDescent="0.75"/>
    <row r="427" ht="15.75" customHeight="1" x14ac:dyDescent="0.75"/>
    <row r="428" ht="15.75" customHeight="1" x14ac:dyDescent="0.75"/>
    <row r="429" ht="15.75" customHeight="1" x14ac:dyDescent="0.75"/>
    <row r="430" ht="15.75" customHeight="1" x14ac:dyDescent="0.75"/>
    <row r="431" ht="15.75" customHeight="1" x14ac:dyDescent="0.75"/>
    <row r="432" ht="15.75" customHeight="1" x14ac:dyDescent="0.75"/>
    <row r="433" ht="15.75" customHeight="1" x14ac:dyDescent="0.75"/>
    <row r="434" ht="15.75" customHeight="1" x14ac:dyDescent="0.75"/>
    <row r="435" ht="15.75" customHeight="1" x14ac:dyDescent="0.75"/>
    <row r="436" ht="15.75" customHeight="1" x14ac:dyDescent="0.75"/>
    <row r="437" ht="15.75" customHeight="1" x14ac:dyDescent="0.75"/>
    <row r="438" ht="15.75" customHeight="1" x14ac:dyDescent="0.75"/>
    <row r="439" ht="15.75" customHeight="1" x14ac:dyDescent="0.75"/>
    <row r="440" ht="15.75" customHeight="1" x14ac:dyDescent="0.75"/>
    <row r="441" ht="15.75" customHeight="1" x14ac:dyDescent="0.75"/>
    <row r="442" ht="15.75" customHeight="1" x14ac:dyDescent="0.75"/>
    <row r="443" ht="15.75" customHeight="1" x14ac:dyDescent="0.75"/>
    <row r="444" ht="15.75" customHeight="1" x14ac:dyDescent="0.75"/>
    <row r="445" ht="15.75" customHeight="1" x14ac:dyDescent="0.75"/>
    <row r="446" ht="15.75" customHeight="1" x14ac:dyDescent="0.75"/>
    <row r="447" ht="15.75" customHeight="1" x14ac:dyDescent="0.75"/>
    <row r="448" ht="15.75" customHeight="1" x14ac:dyDescent="0.75"/>
    <row r="449" ht="15.75" customHeight="1" x14ac:dyDescent="0.75"/>
    <row r="450" ht="15.75" customHeight="1" x14ac:dyDescent="0.75"/>
    <row r="451" ht="15.75" customHeight="1" x14ac:dyDescent="0.75"/>
    <row r="452" ht="15.75" customHeight="1" x14ac:dyDescent="0.75"/>
    <row r="453" ht="15.75" customHeight="1" x14ac:dyDescent="0.75"/>
    <row r="454" ht="15.75" customHeight="1" x14ac:dyDescent="0.75"/>
    <row r="455" ht="15.75" customHeight="1" x14ac:dyDescent="0.75"/>
    <row r="456" ht="15.75" customHeight="1" x14ac:dyDescent="0.75"/>
    <row r="457" ht="15.75" customHeight="1" x14ac:dyDescent="0.75"/>
    <row r="458" ht="15.75" customHeight="1" x14ac:dyDescent="0.75"/>
    <row r="459" ht="15.75" customHeight="1" x14ac:dyDescent="0.75"/>
    <row r="460" ht="15.75" customHeight="1" x14ac:dyDescent="0.75"/>
    <row r="461" ht="15.75" customHeight="1" x14ac:dyDescent="0.75"/>
    <row r="462" ht="15.75" customHeight="1" x14ac:dyDescent="0.75"/>
    <row r="463" ht="15.75" customHeight="1" x14ac:dyDescent="0.75"/>
    <row r="464" ht="15.75" customHeight="1" x14ac:dyDescent="0.75"/>
    <row r="465" ht="15.75" customHeight="1" x14ac:dyDescent="0.75"/>
    <row r="466" ht="15.75" customHeight="1" x14ac:dyDescent="0.75"/>
    <row r="467" ht="15.75" customHeight="1" x14ac:dyDescent="0.75"/>
    <row r="468" ht="15.75" customHeight="1" x14ac:dyDescent="0.75"/>
    <row r="469" ht="15.75" customHeight="1" x14ac:dyDescent="0.75"/>
    <row r="470" ht="15.75" customHeight="1" x14ac:dyDescent="0.75"/>
    <row r="471" ht="15.75" customHeight="1" x14ac:dyDescent="0.75"/>
    <row r="472" ht="15.75" customHeight="1" x14ac:dyDescent="0.75"/>
    <row r="473" ht="15.75" customHeight="1" x14ac:dyDescent="0.75"/>
    <row r="474" ht="15.75" customHeight="1" x14ac:dyDescent="0.75"/>
    <row r="475" ht="15.75" customHeight="1" x14ac:dyDescent="0.75"/>
    <row r="476" ht="15.75" customHeight="1" x14ac:dyDescent="0.75"/>
    <row r="477" ht="15.75" customHeight="1" x14ac:dyDescent="0.75"/>
    <row r="478" ht="15.75" customHeight="1" x14ac:dyDescent="0.75"/>
    <row r="479" ht="15.75" customHeight="1" x14ac:dyDescent="0.75"/>
    <row r="480" ht="15.75" customHeight="1" x14ac:dyDescent="0.75"/>
    <row r="481" ht="15.75" customHeight="1" x14ac:dyDescent="0.75"/>
    <row r="482" ht="15.75" customHeight="1" x14ac:dyDescent="0.75"/>
    <row r="483" ht="15.75" customHeight="1" x14ac:dyDescent="0.75"/>
    <row r="484" ht="15.75" customHeight="1" x14ac:dyDescent="0.75"/>
    <row r="485" ht="15.75" customHeight="1" x14ac:dyDescent="0.75"/>
    <row r="486" ht="15.75" customHeight="1" x14ac:dyDescent="0.75"/>
    <row r="487" ht="15.75" customHeight="1" x14ac:dyDescent="0.75"/>
    <row r="488" ht="15.75" customHeight="1" x14ac:dyDescent="0.75"/>
    <row r="489" ht="15.75" customHeight="1" x14ac:dyDescent="0.75"/>
    <row r="490" ht="15.75" customHeight="1" x14ac:dyDescent="0.75"/>
    <row r="491" ht="15.75" customHeight="1" x14ac:dyDescent="0.75"/>
    <row r="492" ht="15.75" customHeight="1" x14ac:dyDescent="0.75"/>
    <row r="493" ht="15.75" customHeight="1" x14ac:dyDescent="0.75"/>
    <row r="494" ht="15.75" customHeight="1" x14ac:dyDescent="0.75"/>
    <row r="495" ht="15.75" customHeight="1" x14ac:dyDescent="0.75"/>
    <row r="496" ht="15.75" customHeight="1" x14ac:dyDescent="0.75"/>
    <row r="497" ht="15.75" customHeight="1" x14ac:dyDescent="0.75"/>
    <row r="498" ht="15.75" customHeight="1" x14ac:dyDescent="0.75"/>
    <row r="499" ht="15.75" customHeight="1" x14ac:dyDescent="0.75"/>
    <row r="500" ht="15.75" customHeight="1" x14ac:dyDescent="0.75"/>
    <row r="501" ht="15.75" customHeight="1" x14ac:dyDescent="0.75"/>
    <row r="502" ht="15.75" customHeight="1" x14ac:dyDescent="0.75"/>
    <row r="503" ht="15.75" customHeight="1" x14ac:dyDescent="0.75"/>
    <row r="504" ht="15.75" customHeight="1" x14ac:dyDescent="0.75"/>
    <row r="505" ht="15.75" customHeight="1" x14ac:dyDescent="0.75"/>
    <row r="506" ht="15.75" customHeight="1" x14ac:dyDescent="0.75"/>
    <row r="507" ht="15.75" customHeight="1" x14ac:dyDescent="0.75"/>
    <row r="508" ht="15.75" customHeight="1" x14ac:dyDescent="0.75"/>
    <row r="509" ht="15.75" customHeight="1" x14ac:dyDescent="0.75"/>
    <row r="510" ht="15.75" customHeight="1" x14ac:dyDescent="0.75"/>
    <row r="511" ht="15.75" customHeight="1" x14ac:dyDescent="0.75"/>
    <row r="512" ht="15.75" customHeight="1" x14ac:dyDescent="0.75"/>
    <row r="513" ht="15.75" customHeight="1" x14ac:dyDescent="0.75"/>
    <row r="514" ht="15.75" customHeight="1" x14ac:dyDescent="0.75"/>
    <row r="515" ht="15.75" customHeight="1" x14ac:dyDescent="0.75"/>
    <row r="516" ht="15.75" customHeight="1" x14ac:dyDescent="0.75"/>
    <row r="517" ht="15.75" customHeight="1" x14ac:dyDescent="0.75"/>
    <row r="518" ht="15.75" customHeight="1" x14ac:dyDescent="0.75"/>
    <row r="519" ht="15.75" customHeight="1" x14ac:dyDescent="0.75"/>
    <row r="520" ht="15.75" customHeight="1" x14ac:dyDescent="0.75"/>
    <row r="521" ht="15.75" customHeight="1" x14ac:dyDescent="0.75"/>
    <row r="522" ht="15.75" customHeight="1" x14ac:dyDescent="0.75"/>
    <row r="523" ht="15.75" customHeight="1" x14ac:dyDescent="0.75"/>
    <row r="524" ht="15.75" customHeight="1" x14ac:dyDescent="0.75"/>
    <row r="525" ht="15.75" customHeight="1" x14ac:dyDescent="0.75"/>
    <row r="526" ht="15.75" customHeight="1" x14ac:dyDescent="0.75"/>
    <row r="527" ht="15.75" customHeight="1" x14ac:dyDescent="0.75"/>
    <row r="528" ht="15.75" customHeight="1" x14ac:dyDescent="0.75"/>
    <row r="529" ht="15.75" customHeight="1" x14ac:dyDescent="0.75"/>
    <row r="530" ht="15.75" customHeight="1" x14ac:dyDescent="0.75"/>
    <row r="531" ht="15.75" customHeight="1" x14ac:dyDescent="0.75"/>
    <row r="532" ht="15.75" customHeight="1" x14ac:dyDescent="0.75"/>
    <row r="533" ht="15.75" customHeight="1" x14ac:dyDescent="0.75"/>
    <row r="534" ht="15.75" customHeight="1" x14ac:dyDescent="0.75"/>
    <row r="535" ht="15.75" customHeight="1" x14ac:dyDescent="0.75"/>
    <row r="536" ht="15.75" customHeight="1" x14ac:dyDescent="0.75"/>
    <row r="537" ht="15.75" customHeight="1" x14ac:dyDescent="0.75"/>
    <row r="538" ht="15.75" customHeight="1" x14ac:dyDescent="0.75"/>
    <row r="539" ht="15.75" customHeight="1" x14ac:dyDescent="0.75"/>
    <row r="540" ht="15.75" customHeight="1" x14ac:dyDescent="0.75"/>
    <row r="541" ht="15.75" customHeight="1" x14ac:dyDescent="0.75"/>
    <row r="542" ht="15.75" customHeight="1" x14ac:dyDescent="0.75"/>
    <row r="543" ht="15.75" customHeight="1" x14ac:dyDescent="0.75"/>
    <row r="544" ht="15.75" customHeight="1" x14ac:dyDescent="0.75"/>
    <row r="545" ht="15.75" customHeight="1" x14ac:dyDescent="0.75"/>
    <row r="546" ht="15.75" customHeight="1" x14ac:dyDescent="0.75"/>
    <row r="547" ht="15.75" customHeight="1" x14ac:dyDescent="0.75"/>
    <row r="548" ht="15.75" customHeight="1" x14ac:dyDescent="0.75"/>
    <row r="549" ht="15.75" customHeight="1" x14ac:dyDescent="0.75"/>
    <row r="550" ht="15.75" customHeight="1" x14ac:dyDescent="0.75"/>
    <row r="551" ht="15.75" customHeight="1" x14ac:dyDescent="0.75"/>
    <row r="552" ht="15.75" customHeight="1" x14ac:dyDescent="0.75"/>
    <row r="553" ht="15.75" customHeight="1" x14ac:dyDescent="0.75"/>
    <row r="554" ht="15.75" customHeight="1" x14ac:dyDescent="0.75"/>
    <row r="555" ht="15.75" customHeight="1" x14ac:dyDescent="0.75"/>
    <row r="556" ht="15.75" customHeight="1" x14ac:dyDescent="0.75"/>
    <row r="557" ht="15.75" customHeight="1" x14ac:dyDescent="0.75"/>
    <row r="558" ht="15.75" customHeight="1" x14ac:dyDescent="0.75"/>
    <row r="559" ht="15.75" customHeight="1" x14ac:dyDescent="0.75"/>
    <row r="560" ht="15.75" customHeight="1" x14ac:dyDescent="0.75"/>
    <row r="561" ht="15.75" customHeight="1" x14ac:dyDescent="0.75"/>
    <row r="562" ht="15.75" customHeight="1" x14ac:dyDescent="0.75"/>
    <row r="563" ht="15.75" customHeight="1" x14ac:dyDescent="0.75"/>
    <row r="564" ht="15.75" customHeight="1" x14ac:dyDescent="0.75"/>
    <row r="565" ht="15.75" customHeight="1" x14ac:dyDescent="0.75"/>
    <row r="566" ht="15.75" customHeight="1" x14ac:dyDescent="0.75"/>
    <row r="567" ht="15.75" customHeight="1" x14ac:dyDescent="0.75"/>
    <row r="568" ht="15.75" customHeight="1" x14ac:dyDescent="0.75"/>
    <row r="569" ht="15.75" customHeight="1" x14ac:dyDescent="0.75"/>
    <row r="570" ht="15.75" customHeight="1" x14ac:dyDescent="0.75"/>
    <row r="571" ht="15.75" customHeight="1" x14ac:dyDescent="0.75"/>
    <row r="572" ht="15.75" customHeight="1" x14ac:dyDescent="0.75"/>
    <row r="573" ht="15.75" customHeight="1" x14ac:dyDescent="0.75"/>
    <row r="574" ht="15.75" customHeight="1" x14ac:dyDescent="0.75"/>
    <row r="575" ht="15.75" customHeight="1" x14ac:dyDescent="0.75"/>
    <row r="576" ht="15.75" customHeight="1" x14ac:dyDescent="0.75"/>
    <row r="577" ht="15.75" customHeight="1" x14ac:dyDescent="0.75"/>
    <row r="578" ht="15.75" customHeight="1" x14ac:dyDescent="0.75"/>
    <row r="579" ht="15.75" customHeight="1" x14ac:dyDescent="0.75"/>
    <row r="580" ht="15.75" customHeight="1" x14ac:dyDescent="0.75"/>
    <row r="581" ht="15.75" customHeight="1" x14ac:dyDescent="0.75"/>
    <row r="582" ht="15.75" customHeight="1" x14ac:dyDescent="0.75"/>
    <row r="583" ht="15.75" customHeight="1" x14ac:dyDescent="0.75"/>
    <row r="584" ht="15.75" customHeight="1" x14ac:dyDescent="0.75"/>
    <row r="585" ht="15.75" customHeight="1" x14ac:dyDescent="0.75"/>
    <row r="586" ht="15.75" customHeight="1" x14ac:dyDescent="0.75"/>
    <row r="587" ht="15.75" customHeight="1" x14ac:dyDescent="0.75"/>
    <row r="588" ht="15.75" customHeight="1" x14ac:dyDescent="0.75"/>
    <row r="589" ht="15.75" customHeight="1" x14ac:dyDescent="0.75"/>
    <row r="590" ht="15.75" customHeight="1" x14ac:dyDescent="0.75"/>
    <row r="591" ht="15.75" customHeight="1" x14ac:dyDescent="0.75"/>
    <row r="592" ht="15.75" customHeight="1" x14ac:dyDescent="0.75"/>
    <row r="593" ht="15.75" customHeight="1" x14ac:dyDescent="0.75"/>
    <row r="594" ht="15.75" customHeight="1" x14ac:dyDescent="0.75"/>
    <row r="595" ht="15.75" customHeight="1" x14ac:dyDescent="0.75"/>
    <row r="596" ht="15.75" customHeight="1" x14ac:dyDescent="0.75"/>
    <row r="597" ht="15.75" customHeight="1" x14ac:dyDescent="0.75"/>
    <row r="598" ht="15.75" customHeight="1" x14ac:dyDescent="0.75"/>
    <row r="599" ht="15.75" customHeight="1" x14ac:dyDescent="0.75"/>
    <row r="600" ht="15.75" customHeight="1" x14ac:dyDescent="0.75"/>
    <row r="601" ht="15.75" customHeight="1" x14ac:dyDescent="0.75"/>
    <row r="602" ht="15.75" customHeight="1" x14ac:dyDescent="0.75"/>
    <row r="603" ht="15.75" customHeight="1" x14ac:dyDescent="0.75"/>
    <row r="604" ht="15.75" customHeight="1" x14ac:dyDescent="0.75"/>
    <row r="605" ht="15.75" customHeight="1" x14ac:dyDescent="0.75"/>
    <row r="606" ht="15.75" customHeight="1" x14ac:dyDescent="0.75"/>
    <row r="607" ht="15.75" customHeight="1" x14ac:dyDescent="0.75"/>
    <row r="608" ht="15.75" customHeight="1" x14ac:dyDescent="0.75"/>
    <row r="609" ht="15.75" customHeight="1" x14ac:dyDescent="0.75"/>
    <row r="610" ht="15.75" customHeight="1" x14ac:dyDescent="0.75"/>
    <row r="611" ht="15.75" customHeight="1" x14ac:dyDescent="0.75"/>
    <row r="612" ht="15.75" customHeight="1" x14ac:dyDescent="0.75"/>
    <row r="613" ht="15.75" customHeight="1" x14ac:dyDescent="0.75"/>
    <row r="614" ht="15.75" customHeight="1" x14ac:dyDescent="0.75"/>
    <row r="615" ht="15.75" customHeight="1" x14ac:dyDescent="0.75"/>
    <row r="616" ht="15.75" customHeight="1" x14ac:dyDescent="0.75"/>
    <row r="617" ht="15.75" customHeight="1" x14ac:dyDescent="0.75"/>
    <row r="618" ht="15.75" customHeight="1" x14ac:dyDescent="0.75"/>
    <row r="619" ht="15.75" customHeight="1" x14ac:dyDescent="0.75"/>
    <row r="620" ht="15.75" customHeight="1" x14ac:dyDescent="0.75"/>
    <row r="621" ht="15.75" customHeight="1" x14ac:dyDescent="0.75"/>
    <row r="622" ht="15.75" customHeight="1" x14ac:dyDescent="0.75"/>
    <row r="623" ht="15.75" customHeight="1" x14ac:dyDescent="0.75"/>
    <row r="624" ht="15.75" customHeight="1" x14ac:dyDescent="0.75"/>
    <row r="625" ht="15.75" customHeight="1" x14ac:dyDescent="0.75"/>
    <row r="626" ht="15.75" customHeight="1" x14ac:dyDescent="0.75"/>
    <row r="627" ht="15.75" customHeight="1" x14ac:dyDescent="0.75"/>
    <row r="628" ht="15.75" customHeight="1" x14ac:dyDescent="0.75"/>
    <row r="629" ht="15.75" customHeight="1" x14ac:dyDescent="0.75"/>
    <row r="630" ht="15.75" customHeight="1" x14ac:dyDescent="0.75"/>
    <row r="631" ht="15.75" customHeight="1" x14ac:dyDescent="0.75"/>
    <row r="632" ht="15.75" customHeight="1" x14ac:dyDescent="0.75"/>
    <row r="633" ht="15.75" customHeight="1" x14ac:dyDescent="0.75"/>
    <row r="634" ht="15.75" customHeight="1" x14ac:dyDescent="0.75"/>
    <row r="635" ht="15.75" customHeight="1" x14ac:dyDescent="0.75"/>
    <row r="636" ht="15.75" customHeight="1" x14ac:dyDescent="0.75"/>
    <row r="637" ht="15.75" customHeight="1" x14ac:dyDescent="0.75"/>
    <row r="638" ht="15.75" customHeight="1" x14ac:dyDescent="0.75"/>
    <row r="639" ht="15.75" customHeight="1" x14ac:dyDescent="0.75"/>
    <row r="640" ht="15.75" customHeight="1" x14ac:dyDescent="0.75"/>
    <row r="641" ht="15.75" customHeight="1" x14ac:dyDescent="0.75"/>
    <row r="642" ht="15.75" customHeight="1" x14ac:dyDescent="0.75"/>
    <row r="643" ht="15.75" customHeight="1" x14ac:dyDescent="0.75"/>
    <row r="644" ht="15.75" customHeight="1" x14ac:dyDescent="0.75"/>
    <row r="645" ht="15.75" customHeight="1" x14ac:dyDescent="0.75"/>
    <row r="646" ht="15.75" customHeight="1" x14ac:dyDescent="0.75"/>
    <row r="647" ht="15.75" customHeight="1" x14ac:dyDescent="0.75"/>
    <row r="648" ht="15.75" customHeight="1" x14ac:dyDescent="0.75"/>
    <row r="649" ht="15.75" customHeight="1" x14ac:dyDescent="0.75"/>
    <row r="650" ht="15.75" customHeight="1" x14ac:dyDescent="0.75"/>
    <row r="651" ht="15.75" customHeight="1" x14ac:dyDescent="0.75"/>
    <row r="652" ht="15.75" customHeight="1" x14ac:dyDescent="0.75"/>
    <row r="653" ht="15.75" customHeight="1" x14ac:dyDescent="0.75"/>
    <row r="654" ht="15.75" customHeight="1" x14ac:dyDescent="0.75"/>
    <row r="655" ht="15.75" customHeight="1" x14ac:dyDescent="0.75"/>
    <row r="656" ht="15.75" customHeight="1" x14ac:dyDescent="0.75"/>
    <row r="657" ht="15.75" customHeight="1" x14ac:dyDescent="0.75"/>
    <row r="658" ht="15.75" customHeight="1" x14ac:dyDescent="0.75"/>
    <row r="659" ht="15.75" customHeight="1" x14ac:dyDescent="0.75"/>
    <row r="660" ht="15.75" customHeight="1" x14ac:dyDescent="0.75"/>
    <row r="661" ht="15.75" customHeight="1" x14ac:dyDescent="0.75"/>
    <row r="662" ht="15.75" customHeight="1" x14ac:dyDescent="0.75"/>
    <row r="663" ht="15.75" customHeight="1" x14ac:dyDescent="0.75"/>
    <row r="664" ht="15.75" customHeight="1" x14ac:dyDescent="0.75"/>
    <row r="665" ht="15.75" customHeight="1" x14ac:dyDescent="0.75"/>
    <row r="666" ht="15.75" customHeight="1" x14ac:dyDescent="0.75"/>
    <row r="667" ht="15.75" customHeight="1" x14ac:dyDescent="0.75"/>
    <row r="668" ht="15.75" customHeight="1" x14ac:dyDescent="0.75"/>
    <row r="669" ht="15.75" customHeight="1" x14ac:dyDescent="0.75"/>
    <row r="670" ht="15.75" customHeight="1" x14ac:dyDescent="0.75"/>
    <row r="671" ht="15.75" customHeight="1" x14ac:dyDescent="0.75"/>
    <row r="672" ht="15.75" customHeight="1" x14ac:dyDescent="0.75"/>
    <row r="673" ht="15.75" customHeight="1" x14ac:dyDescent="0.75"/>
    <row r="674" ht="15.75" customHeight="1" x14ac:dyDescent="0.75"/>
    <row r="675" ht="15.75" customHeight="1" x14ac:dyDescent="0.75"/>
    <row r="676" ht="15.75" customHeight="1" x14ac:dyDescent="0.75"/>
    <row r="677" ht="15.75" customHeight="1" x14ac:dyDescent="0.75"/>
    <row r="678" ht="15.75" customHeight="1" x14ac:dyDescent="0.75"/>
    <row r="679" ht="15.75" customHeight="1" x14ac:dyDescent="0.75"/>
    <row r="680" ht="15.75" customHeight="1" x14ac:dyDescent="0.75"/>
    <row r="681" ht="15.75" customHeight="1" x14ac:dyDescent="0.75"/>
    <row r="682" ht="15.75" customHeight="1" x14ac:dyDescent="0.75"/>
    <row r="683" ht="15.75" customHeight="1" x14ac:dyDescent="0.75"/>
    <row r="684" ht="15.75" customHeight="1" x14ac:dyDescent="0.75"/>
    <row r="685" ht="15.75" customHeight="1" x14ac:dyDescent="0.75"/>
    <row r="686" ht="15.75" customHeight="1" x14ac:dyDescent="0.75"/>
    <row r="687" ht="15.75" customHeight="1" x14ac:dyDescent="0.75"/>
    <row r="688" ht="15.75" customHeight="1" x14ac:dyDescent="0.75"/>
    <row r="689" ht="15.75" customHeight="1" x14ac:dyDescent="0.75"/>
    <row r="690" ht="15.75" customHeight="1" x14ac:dyDescent="0.75"/>
    <row r="691" ht="15.75" customHeight="1" x14ac:dyDescent="0.75"/>
    <row r="692" ht="15.75" customHeight="1" x14ac:dyDescent="0.75"/>
    <row r="693" ht="15.75" customHeight="1" x14ac:dyDescent="0.75"/>
    <row r="694" ht="15.75" customHeight="1" x14ac:dyDescent="0.75"/>
    <row r="695" ht="15.75" customHeight="1" x14ac:dyDescent="0.75"/>
    <row r="696" ht="15.75" customHeight="1" x14ac:dyDescent="0.75"/>
    <row r="697" ht="15.75" customHeight="1" x14ac:dyDescent="0.75"/>
    <row r="698" ht="15.75" customHeight="1" x14ac:dyDescent="0.75"/>
    <row r="699" ht="15.75" customHeight="1" x14ac:dyDescent="0.75"/>
    <row r="700" ht="15.75" customHeight="1" x14ac:dyDescent="0.75"/>
    <row r="701" ht="15.75" customHeight="1" x14ac:dyDescent="0.75"/>
    <row r="702" ht="15.75" customHeight="1" x14ac:dyDescent="0.75"/>
    <row r="703" ht="15.75" customHeight="1" x14ac:dyDescent="0.75"/>
    <row r="704" ht="15.75" customHeight="1" x14ac:dyDescent="0.75"/>
    <row r="705" ht="15.75" customHeight="1" x14ac:dyDescent="0.75"/>
    <row r="706" ht="15.75" customHeight="1" x14ac:dyDescent="0.75"/>
    <row r="707" ht="15.75" customHeight="1" x14ac:dyDescent="0.75"/>
    <row r="708" ht="15.75" customHeight="1" x14ac:dyDescent="0.75"/>
    <row r="709" ht="15.75" customHeight="1" x14ac:dyDescent="0.75"/>
    <row r="710" ht="15.75" customHeight="1" x14ac:dyDescent="0.75"/>
    <row r="711" ht="15.75" customHeight="1" x14ac:dyDescent="0.75"/>
    <row r="712" ht="15.75" customHeight="1" x14ac:dyDescent="0.75"/>
    <row r="713" ht="15.75" customHeight="1" x14ac:dyDescent="0.75"/>
    <row r="714" ht="15.75" customHeight="1" x14ac:dyDescent="0.75"/>
    <row r="715" ht="15.75" customHeight="1" x14ac:dyDescent="0.75"/>
    <row r="716" ht="15.75" customHeight="1" x14ac:dyDescent="0.75"/>
    <row r="717" ht="15.75" customHeight="1" x14ac:dyDescent="0.75"/>
    <row r="718" ht="15.75" customHeight="1" x14ac:dyDescent="0.75"/>
    <row r="719" ht="15.75" customHeight="1" x14ac:dyDescent="0.75"/>
    <row r="720" ht="15.75" customHeight="1" x14ac:dyDescent="0.75"/>
    <row r="721" ht="15.75" customHeight="1" x14ac:dyDescent="0.75"/>
    <row r="722" ht="15.75" customHeight="1" x14ac:dyDescent="0.75"/>
    <row r="723" ht="15.75" customHeight="1" x14ac:dyDescent="0.75"/>
    <row r="724" ht="15.75" customHeight="1" x14ac:dyDescent="0.75"/>
    <row r="725" ht="15.75" customHeight="1" x14ac:dyDescent="0.75"/>
    <row r="726" ht="15.75" customHeight="1" x14ac:dyDescent="0.75"/>
    <row r="727" ht="15.75" customHeight="1" x14ac:dyDescent="0.75"/>
    <row r="728" ht="15.75" customHeight="1" x14ac:dyDescent="0.75"/>
    <row r="729" ht="15.75" customHeight="1" x14ac:dyDescent="0.75"/>
    <row r="730" ht="15.75" customHeight="1" x14ac:dyDescent="0.75"/>
    <row r="731" ht="15.75" customHeight="1" x14ac:dyDescent="0.75"/>
    <row r="732" ht="15.75" customHeight="1" x14ac:dyDescent="0.75"/>
    <row r="733" ht="15.75" customHeight="1" x14ac:dyDescent="0.75"/>
    <row r="734" ht="15.75" customHeight="1" x14ac:dyDescent="0.75"/>
    <row r="735" ht="15.75" customHeight="1" x14ac:dyDescent="0.75"/>
    <row r="736" ht="15.75" customHeight="1" x14ac:dyDescent="0.75"/>
    <row r="737" ht="15.75" customHeight="1" x14ac:dyDescent="0.75"/>
    <row r="738" ht="15.75" customHeight="1" x14ac:dyDescent="0.75"/>
    <row r="739" ht="15.75" customHeight="1" x14ac:dyDescent="0.75"/>
    <row r="740" ht="15.75" customHeight="1" x14ac:dyDescent="0.75"/>
    <row r="741" ht="15.75" customHeight="1" x14ac:dyDescent="0.75"/>
    <row r="742" ht="15.75" customHeight="1" x14ac:dyDescent="0.75"/>
    <row r="743" ht="15.75" customHeight="1" x14ac:dyDescent="0.75"/>
    <row r="744" ht="15.75" customHeight="1" x14ac:dyDescent="0.75"/>
    <row r="745" ht="15.75" customHeight="1" x14ac:dyDescent="0.75"/>
    <row r="746" ht="15.75" customHeight="1" x14ac:dyDescent="0.75"/>
    <row r="747" ht="15.75" customHeight="1" x14ac:dyDescent="0.75"/>
    <row r="748" ht="15.75" customHeight="1" x14ac:dyDescent="0.75"/>
    <row r="749" ht="15.75" customHeight="1" x14ac:dyDescent="0.75"/>
    <row r="750" ht="15.75" customHeight="1" x14ac:dyDescent="0.75"/>
    <row r="751" ht="15.75" customHeight="1" x14ac:dyDescent="0.75"/>
    <row r="752" ht="15.75" customHeight="1" x14ac:dyDescent="0.75"/>
    <row r="753" ht="15.75" customHeight="1" x14ac:dyDescent="0.75"/>
    <row r="754" ht="15.75" customHeight="1" x14ac:dyDescent="0.75"/>
    <row r="755" ht="15.75" customHeight="1" x14ac:dyDescent="0.75"/>
    <row r="756" ht="15.75" customHeight="1" x14ac:dyDescent="0.75"/>
    <row r="757" ht="15.75" customHeight="1" x14ac:dyDescent="0.75"/>
    <row r="758" ht="15.75" customHeight="1" x14ac:dyDescent="0.75"/>
    <row r="759" ht="15.75" customHeight="1" x14ac:dyDescent="0.75"/>
    <row r="760" ht="15.75" customHeight="1" x14ac:dyDescent="0.75"/>
    <row r="761" ht="15.75" customHeight="1" x14ac:dyDescent="0.75"/>
    <row r="762" ht="15.75" customHeight="1" x14ac:dyDescent="0.75"/>
    <row r="763" ht="15.75" customHeight="1" x14ac:dyDescent="0.75"/>
    <row r="764" ht="15.75" customHeight="1" x14ac:dyDescent="0.75"/>
    <row r="765" ht="15.75" customHeight="1" x14ac:dyDescent="0.75"/>
    <row r="766" ht="15.75" customHeight="1" x14ac:dyDescent="0.75"/>
    <row r="767" ht="15.75" customHeight="1" x14ac:dyDescent="0.75"/>
    <row r="768" ht="15.75" customHeight="1" x14ac:dyDescent="0.75"/>
    <row r="769" ht="15.75" customHeight="1" x14ac:dyDescent="0.75"/>
    <row r="770" ht="15.75" customHeight="1" x14ac:dyDescent="0.75"/>
    <row r="771" ht="15.75" customHeight="1" x14ac:dyDescent="0.75"/>
    <row r="772" ht="15.75" customHeight="1" x14ac:dyDescent="0.75"/>
    <row r="773" ht="15.75" customHeight="1" x14ac:dyDescent="0.75"/>
    <row r="774" ht="15.75" customHeight="1" x14ac:dyDescent="0.75"/>
    <row r="775" ht="15.75" customHeight="1" x14ac:dyDescent="0.75"/>
    <row r="776" ht="15.75" customHeight="1" x14ac:dyDescent="0.75"/>
    <row r="777" ht="15.75" customHeight="1" x14ac:dyDescent="0.75"/>
    <row r="778" ht="15.75" customHeight="1" x14ac:dyDescent="0.75"/>
    <row r="779" ht="15.75" customHeight="1" x14ac:dyDescent="0.75"/>
    <row r="780" ht="15.75" customHeight="1" x14ac:dyDescent="0.75"/>
    <row r="781" ht="15.75" customHeight="1" x14ac:dyDescent="0.75"/>
    <row r="782" ht="15.75" customHeight="1" x14ac:dyDescent="0.75"/>
    <row r="783" ht="15.75" customHeight="1" x14ac:dyDescent="0.75"/>
    <row r="784" ht="15.75" customHeight="1" x14ac:dyDescent="0.75"/>
    <row r="785" ht="15.75" customHeight="1" x14ac:dyDescent="0.75"/>
    <row r="786" ht="15.75" customHeight="1" x14ac:dyDescent="0.75"/>
    <row r="787" ht="15.75" customHeight="1" x14ac:dyDescent="0.75"/>
    <row r="788" ht="15.75" customHeight="1" x14ac:dyDescent="0.75"/>
    <row r="789" ht="15.75" customHeight="1" x14ac:dyDescent="0.75"/>
    <row r="790" ht="15.75" customHeight="1" x14ac:dyDescent="0.75"/>
    <row r="791" ht="15.75" customHeight="1" x14ac:dyDescent="0.75"/>
    <row r="792" ht="15.75" customHeight="1" x14ac:dyDescent="0.75"/>
    <row r="793" ht="15.75" customHeight="1" x14ac:dyDescent="0.75"/>
    <row r="794" ht="15.75" customHeight="1" x14ac:dyDescent="0.75"/>
    <row r="795" ht="15.75" customHeight="1" x14ac:dyDescent="0.75"/>
    <row r="796" ht="15.75" customHeight="1" x14ac:dyDescent="0.75"/>
    <row r="797" ht="15.75" customHeight="1" x14ac:dyDescent="0.75"/>
    <row r="798" ht="15.75" customHeight="1" x14ac:dyDescent="0.75"/>
    <row r="799" ht="15.75" customHeight="1" x14ac:dyDescent="0.75"/>
    <row r="800" ht="15.75" customHeight="1" x14ac:dyDescent="0.75"/>
    <row r="801" ht="15.75" customHeight="1" x14ac:dyDescent="0.75"/>
    <row r="802" ht="15.75" customHeight="1" x14ac:dyDescent="0.75"/>
    <row r="803" ht="15.75" customHeight="1" x14ac:dyDescent="0.75"/>
    <row r="804" ht="15.75" customHeight="1" x14ac:dyDescent="0.75"/>
    <row r="805" ht="15.75" customHeight="1" x14ac:dyDescent="0.75"/>
    <row r="806" ht="15.75" customHeight="1" x14ac:dyDescent="0.75"/>
    <row r="807" ht="15.75" customHeight="1" x14ac:dyDescent="0.75"/>
    <row r="808" ht="15.75" customHeight="1" x14ac:dyDescent="0.75"/>
    <row r="809" ht="15.75" customHeight="1" x14ac:dyDescent="0.75"/>
    <row r="810" ht="15.75" customHeight="1" x14ac:dyDescent="0.75"/>
    <row r="811" ht="15.75" customHeight="1" x14ac:dyDescent="0.75"/>
    <row r="812" ht="15.75" customHeight="1" x14ac:dyDescent="0.75"/>
    <row r="813" ht="15.75" customHeight="1" x14ac:dyDescent="0.75"/>
    <row r="814" ht="15.75" customHeight="1" x14ac:dyDescent="0.75"/>
    <row r="815" ht="15.75" customHeight="1" x14ac:dyDescent="0.75"/>
    <row r="816" ht="15.75" customHeight="1" x14ac:dyDescent="0.75"/>
    <row r="817" ht="15.75" customHeight="1" x14ac:dyDescent="0.75"/>
    <row r="818" ht="15.75" customHeight="1" x14ac:dyDescent="0.75"/>
    <row r="819" ht="15.75" customHeight="1" x14ac:dyDescent="0.75"/>
    <row r="820" ht="15.75" customHeight="1" x14ac:dyDescent="0.75"/>
    <row r="821" ht="15.75" customHeight="1" x14ac:dyDescent="0.75"/>
    <row r="822" ht="15.75" customHeight="1" x14ac:dyDescent="0.75"/>
    <row r="823" ht="15.75" customHeight="1" x14ac:dyDescent="0.75"/>
    <row r="824" ht="15.75" customHeight="1" x14ac:dyDescent="0.75"/>
    <row r="825" ht="15.75" customHeight="1" x14ac:dyDescent="0.75"/>
    <row r="826" ht="15.75" customHeight="1" x14ac:dyDescent="0.75"/>
    <row r="827" ht="15.75" customHeight="1" x14ac:dyDescent="0.75"/>
    <row r="828" ht="15.75" customHeight="1" x14ac:dyDescent="0.75"/>
    <row r="829" ht="15.75" customHeight="1" x14ac:dyDescent="0.75"/>
    <row r="830" ht="15.75" customHeight="1" x14ac:dyDescent="0.75"/>
    <row r="831" ht="15.75" customHeight="1" x14ac:dyDescent="0.75"/>
    <row r="832" ht="15.75" customHeight="1" x14ac:dyDescent="0.75"/>
    <row r="833" ht="15.75" customHeight="1" x14ac:dyDescent="0.75"/>
    <row r="834" ht="15.75" customHeight="1" x14ac:dyDescent="0.75"/>
    <row r="835" ht="15.75" customHeight="1" x14ac:dyDescent="0.75"/>
    <row r="836" ht="15.75" customHeight="1" x14ac:dyDescent="0.75"/>
    <row r="837" ht="15.75" customHeight="1" x14ac:dyDescent="0.75"/>
    <row r="838" ht="15.75" customHeight="1" x14ac:dyDescent="0.75"/>
    <row r="839" ht="15.75" customHeight="1" x14ac:dyDescent="0.75"/>
    <row r="840" ht="15.75" customHeight="1" x14ac:dyDescent="0.75"/>
    <row r="841" ht="15.75" customHeight="1" x14ac:dyDescent="0.75"/>
    <row r="842" ht="15.75" customHeight="1" x14ac:dyDescent="0.75"/>
    <row r="843" ht="15.75" customHeight="1" x14ac:dyDescent="0.75"/>
    <row r="844" ht="15.75" customHeight="1" x14ac:dyDescent="0.75"/>
    <row r="845" ht="15.75" customHeight="1" x14ac:dyDescent="0.75"/>
    <row r="846" ht="15.75" customHeight="1" x14ac:dyDescent="0.75"/>
    <row r="847" ht="15.75" customHeight="1" x14ac:dyDescent="0.75"/>
    <row r="848" ht="15.75" customHeight="1" x14ac:dyDescent="0.75"/>
    <row r="849" ht="15.75" customHeight="1" x14ac:dyDescent="0.75"/>
    <row r="850" ht="15.75" customHeight="1" x14ac:dyDescent="0.75"/>
    <row r="851" ht="15.75" customHeight="1" x14ac:dyDescent="0.75"/>
    <row r="852" ht="15.75" customHeight="1" x14ac:dyDescent="0.75"/>
    <row r="853" ht="15.75" customHeight="1" x14ac:dyDescent="0.75"/>
    <row r="854" ht="15.75" customHeight="1" x14ac:dyDescent="0.75"/>
    <row r="855" ht="15.75" customHeight="1" x14ac:dyDescent="0.75"/>
    <row r="856" ht="15.75" customHeight="1" x14ac:dyDescent="0.75"/>
    <row r="857" ht="15.75" customHeight="1" x14ac:dyDescent="0.75"/>
    <row r="858" ht="15.75" customHeight="1" x14ac:dyDescent="0.75"/>
    <row r="859" ht="15.75" customHeight="1" x14ac:dyDescent="0.75"/>
    <row r="860" ht="15.75" customHeight="1" x14ac:dyDescent="0.75"/>
    <row r="861" ht="15.75" customHeight="1" x14ac:dyDescent="0.75"/>
    <row r="862" ht="15.75" customHeight="1" x14ac:dyDescent="0.75"/>
    <row r="863" ht="15.75" customHeight="1" x14ac:dyDescent="0.75"/>
    <row r="864" ht="15.75" customHeight="1" x14ac:dyDescent="0.75"/>
    <row r="865" ht="15.75" customHeight="1" x14ac:dyDescent="0.75"/>
    <row r="866" ht="15.75" customHeight="1" x14ac:dyDescent="0.75"/>
    <row r="867" ht="15.75" customHeight="1" x14ac:dyDescent="0.75"/>
    <row r="868" ht="15.75" customHeight="1" x14ac:dyDescent="0.75"/>
    <row r="869" ht="15.75" customHeight="1" x14ac:dyDescent="0.75"/>
    <row r="870" ht="15.75" customHeight="1" x14ac:dyDescent="0.75"/>
    <row r="871" ht="15.75" customHeight="1" x14ac:dyDescent="0.75"/>
    <row r="872" ht="15.75" customHeight="1" x14ac:dyDescent="0.75"/>
    <row r="873" ht="15.75" customHeight="1" x14ac:dyDescent="0.75"/>
    <row r="874" ht="15.75" customHeight="1" x14ac:dyDescent="0.75"/>
    <row r="875" ht="15.75" customHeight="1" x14ac:dyDescent="0.75"/>
    <row r="876" ht="15.75" customHeight="1" x14ac:dyDescent="0.75"/>
    <row r="877" ht="15.75" customHeight="1" x14ac:dyDescent="0.75"/>
    <row r="878" ht="15.75" customHeight="1" x14ac:dyDescent="0.75"/>
    <row r="879" ht="15.75" customHeight="1" x14ac:dyDescent="0.75"/>
    <row r="880" ht="15.75" customHeight="1" x14ac:dyDescent="0.75"/>
    <row r="881" ht="15.75" customHeight="1" x14ac:dyDescent="0.75"/>
    <row r="882" ht="15.75" customHeight="1" x14ac:dyDescent="0.75"/>
    <row r="883" ht="15.75" customHeight="1" x14ac:dyDescent="0.75"/>
    <row r="884" ht="15.75" customHeight="1" x14ac:dyDescent="0.75"/>
    <row r="885" ht="15.75" customHeight="1" x14ac:dyDescent="0.75"/>
    <row r="886" ht="15.75" customHeight="1" x14ac:dyDescent="0.75"/>
    <row r="887" ht="15.75" customHeight="1" x14ac:dyDescent="0.75"/>
    <row r="888" ht="15.75" customHeight="1" x14ac:dyDescent="0.75"/>
    <row r="889" ht="15.75" customHeight="1" x14ac:dyDescent="0.75"/>
    <row r="890" ht="15.75" customHeight="1" x14ac:dyDescent="0.75"/>
    <row r="891" ht="15.75" customHeight="1" x14ac:dyDescent="0.75"/>
    <row r="892" ht="15.75" customHeight="1" x14ac:dyDescent="0.75"/>
    <row r="893" ht="15.75" customHeight="1" x14ac:dyDescent="0.75"/>
    <row r="894" ht="15.75" customHeight="1" x14ac:dyDescent="0.75"/>
    <row r="895" ht="15.75" customHeight="1" x14ac:dyDescent="0.75"/>
    <row r="896" ht="15.75" customHeight="1" x14ac:dyDescent="0.75"/>
    <row r="897" ht="15.75" customHeight="1" x14ac:dyDescent="0.75"/>
    <row r="898" ht="15.75" customHeight="1" x14ac:dyDescent="0.75"/>
    <row r="899" ht="15.75" customHeight="1" x14ac:dyDescent="0.75"/>
    <row r="900" ht="15.75" customHeight="1" x14ac:dyDescent="0.75"/>
    <row r="901" ht="15.75" customHeight="1" x14ac:dyDescent="0.75"/>
    <row r="902" ht="15.75" customHeight="1" x14ac:dyDescent="0.75"/>
    <row r="903" ht="15.75" customHeight="1" x14ac:dyDescent="0.75"/>
    <row r="904" ht="15.75" customHeight="1" x14ac:dyDescent="0.75"/>
    <row r="905" ht="15.75" customHeight="1" x14ac:dyDescent="0.75"/>
    <row r="906" ht="15.75" customHeight="1" x14ac:dyDescent="0.75"/>
    <row r="907" ht="15.75" customHeight="1" x14ac:dyDescent="0.75"/>
    <row r="908" ht="15.75" customHeight="1" x14ac:dyDescent="0.75"/>
    <row r="909" ht="15.75" customHeight="1" x14ac:dyDescent="0.75"/>
    <row r="910" ht="15.75" customHeight="1" x14ac:dyDescent="0.75"/>
    <row r="911" ht="15.75" customHeight="1" x14ac:dyDescent="0.75"/>
    <row r="912" ht="15.75" customHeight="1" x14ac:dyDescent="0.75"/>
    <row r="913" ht="15.75" customHeight="1" x14ac:dyDescent="0.75"/>
    <row r="914" ht="15.75" customHeight="1" x14ac:dyDescent="0.75"/>
    <row r="915" ht="15.75" customHeight="1" x14ac:dyDescent="0.75"/>
    <row r="916" ht="15.75" customHeight="1" x14ac:dyDescent="0.75"/>
    <row r="917" ht="15.75" customHeight="1" x14ac:dyDescent="0.75"/>
    <row r="918" ht="15.75" customHeight="1" x14ac:dyDescent="0.75"/>
    <row r="919" ht="15.75" customHeight="1" x14ac:dyDescent="0.75"/>
    <row r="920" ht="15.75" customHeight="1" x14ac:dyDescent="0.75"/>
    <row r="921" ht="15.75" customHeight="1" x14ac:dyDescent="0.75"/>
    <row r="922" ht="15.75" customHeight="1" x14ac:dyDescent="0.75"/>
    <row r="923" ht="15.75" customHeight="1" x14ac:dyDescent="0.75"/>
    <row r="924" ht="15.75" customHeight="1" x14ac:dyDescent="0.75"/>
    <row r="925" ht="15.75" customHeight="1" x14ac:dyDescent="0.75"/>
    <row r="926" ht="15.75" customHeight="1" x14ac:dyDescent="0.75"/>
    <row r="927" ht="15.75" customHeight="1" x14ac:dyDescent="0.75"/>
  </sheetData>
  <mergeCells count="1">
    <mergeCell ref="W7:W2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defaultColWidth="14.5" defaultRowHeight="15" customHeight="1" x14ac:dyDescent="0.75"/>
  <cols>
    <col min="2" max="17" width="7.5" customWidth="1"/>
    <col min="18" max="19" width="5.31640625" customWidth="1"/>
  </cols>
  <sheetData>
    <row r="1" spans="1:33" ht="15" customHeight="1" x14ac:dyDescent="0.75">
      <c r="A1" s="1" t="s">
        <v>335</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ht="15" customHeight="1" x14ac:dyDescent="0.75">
      <c r="A2" s="59">
        <f>'SAM(LEWIE Input)'!A2</f>
        <v>0</v>
      </c>
      <c r="B2" s="59" t="str">
        <f>'SAM(LEWIE Input)'!B2</f>
        <v>Ag</v>
      </c>
      <c r="C2" s="59" t="str">
        <f>'SAM(LEWIE Input)'!C2</f>
        <v>Tourism</v>
      </c>
      <c r="D2" s="59" t="str">
        <f>'SAM(LEWIE Input)'!D2</f>
        <v>Nag</v>
      </c>
      <c r="E2" s="59" t="str">
        <f>'SAM(LEWIE Input)'!E2</f>
        <v>NatRes</v>
      </c>
      <c r="F2" s="13" t="s">
        <v>38</v>
      </c>
      <c r="G2" s="13" t="s">
        <v>40</v>
      </c>
      <c r="H2" s="13" t="s">
        <v>41</v>
      </c>
      <c r="I2" s="13" t="s">
        <v>42</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Input)'!S2</f>
        <v>G</v>
      </c>
      <c r="S2" s="59" t="str">
        <f>'SAM(LEWIE Input)'!T2</f>
        <v>ROW</v>
      </c>
      <c r="T2" s="59" t="str">
        <f>'SAM(LEWIE Input)'!U2</f>
        <v>Total</v>
      </c>
      <c r="U2" s="1"/>
      <c r="V2" s="1"/>
      <c r="W2" s="1"/>
      <c r="X2" s="1"/>
      <c r="Y2" s="1"/>
      <c r="Z2" s="1"/>
      <c r="AA2" s="1"/>
      <c r="AB2" s="1"/>
      <c r="AC2" s="1"/>
      <c r="AD2" s="1"/>
      <c r="AE2" s="1"/>
      <c r="AF2" s="1"/>
      <c r="AG2" s="1"/>
    </row>
    <row r="3" spans="1:33" ht="15" customHeight="1" x14ac:dyDescent="0.75">
      <c r="A3" s="59" t="str">
        <f>'SAM(LEWIE Input)'!A3</f>
        <v>Ag</v>
      </c>
      <c r="B3" s="80">
        <f>'SAM(LEWIE Input)'!B3</f>
        <v>2086.2792481017927</v>
      </c>
      <c r="C3" s="80">
        <f>'SAM(LEWIE Input)'!C3</f>
        <v>2101.1881256969564</v>
      </c>
      <c r="D3" s="80">
        <f>'SAM(LEWIE Input)'!D3</f>
        <v>0</v>
      </c>
      <c r="E3" s="80">
        <f>'SAM(LEWIE Input)'!E3</f>
        <v>0</v>
      </c>
      <c r="F3" s="80">
        <f>'SAM(LEWIE Input)'!F3</f>
        <v>0</v>
      </c>
      <c r="G3" s="80">
        <f>'SAM(LEWIE Input)'!G3</f>
        <v>0</v>
      </c>
      <c r="H3" s="80">
        <f>'SAM(LEWIE Input)'!H3</f>
        <v>0</v>
      </c>
      <c r="I3" s="80">
        <f>'SAM(LEWIE Input)'!I3</f>
        <v>0</v>
      </c>
      <c r="J3" s="80">
        <f>'SAM(LEWIE Input)'!J3</f>
        <v>0</v>
      </c>
      <c r="K3" s="80">
        <f>'SAM(LEWIE Input)'!K3</f>
        <v>36627.98926168467</v>
      </c>
      <c r="L3" s="80">
        <f>'SAM(LEWIE Input)'!L3</f>
        <v>10435.960842537006</v>
      </c>
      <c r="M3" s="80">
        <f>'SAM(LEWIE Input)'!M3</f>
        <v>937.91432678942351</v>
      </c>
      <c r="N3" s="80">
        <f>'SAM(LEWIE Input)'!N3</f>
        <v>524.96501343809587</v>
      </c>
      <c r="O3" s="80">
        <f>'SAM(LEWIE Input)'!O3</f>
        <v>0</v>
      </c>
      <c r="P3" s="80">
        <f>'SAM(LEWIE Input)'!P3</f>
        <v>0</v>
      </c>
      <c r="Q3" s="80">
        <f>'SAM(LEWIE Input)'!Q3</f>
        <v>0</v>
      </c>
      <c r="R3" s="80">
        <f>'SAM(LEWIE Input)'!S3</f>
        <v>0</v>
      </c>
      <c r="S3" s="80">
        <f>'SAM(LEWIE Input)'!T3</f>
        <v>0</v>
      </c>
      <c r="T3" s="80">
        <f>'SAM(LEWIE Input)'!U3</f>
        <v>52714.296818247938</v>
      </c>
      <c r="U3" s="1"/>
      <c r="V3" s="1"/>
      <c r="W3" s="1"/>
      <c r="X3" s="1"/>
      <c r="Y3" s="1"/>
      <c r="Z3" s="1"/>
      <c r="AA3" s="1"/>
      <c r="AB3" s="1"/>
      <c r="AC3" s="1"/>
      <c r="AD3" s="1"/>
      <c r="AE3" s="1"/>
      <c r="AF3" s="1"/>
      <c r="AG3" s="1"/>
    </row>
    <row r="4" spans="1:33" ht="15" customHeight="1" x14ac:dyDescent="0.75">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489914.32982571534</v>
      </c>
      <c r="P4" s="80">
        <f>'SAM(LEWIE Input)'!P4</f>
        <v>0</v>
      </c>
      <c r="Q4" s="80">
        <f>'SAM(LEWIE Input)'!Q4</f>
        <v>0</v>
      </c>
      <c r="R4" s="80">
        <f>'SAM(LEWIE Input)'!S4</f>
        <v>0</v>
      </c>
      <c r="S4" s="80">
        <f>'SAM(LEWIE Input)'!T4</f>
        <v>0</v>
      </c>
      <c r="T4" s="80"/>
      <c r="U4" s="1"/>
      <c r="V4" s="1"/>
      <c r="W4" s="1"/>
      <c r="X4" s="1"/>
      <c r="Y4" s="1"/>
      <c r="Z4" s="1"/>
      <c r="AA4" s="1"/>
      <c r="AB4" s="1"/>
      <c r="AC4" s="1"/>
      <c r="AD4" s="1"/>
      <c r="AE4" s="1"/>
      <c r="AF4" s="1"/>
      <c r="AG4" s="1"/>
    </row>
    <row r="5" spans="1:33" ht="15" customHeight="1" x14ac:dyDescent="0.75">
      <c r="A5" s="59" t="str">
        <f>'SAM(LEWIE Input)'!A5</f>
        <v>Nag</v>
      </c>
      <c r="B5" s="80">
        <f>'SAM(LEWIE Input)'!B5</f>
        <v>13727.717452509794</v>
      </c>
      <c r="C5" s="80">
        <f>'SAM(LEWIE Input)'!C5</f>
        <v>89930.85177982974</v>
      </c>
      <c r="D5" s="80">
        <f>'SAM(LEWIE Input)'!D5</f>
        <v>115181.20272582587</v>
      </c>
      <c r="E5" s="80">
        <f>'SAM(LEWIE Input)'!E5</f>
        <v>0</v>
      </c>
      <c r="F5" s="80">
        <f>'SAM(LEWIE Input)'!F5</f>
        <v>0</v>
      </c>
      <c r="G5" s="80">
        <f>'SAM(LEWIE Input)'!G5</f>
        <v>0</v>
      </c>
      <c r="H5" s="80">
        <f>'SAM(LEWIE Input)'!H5</f>
        <v>0</v>
      </c>
      <c r="I5" s="80">
        <f>'SAM(LEWIE Input)'!I5</f>
        <v>0</v>
      </c>
      <c r="J5" s="80">
        <f>'SAM(LEWIE Input)'!J5</f>
        <v>0</v>
      </c>
      <c r="K5" s="80">
        <f>'SAM(LEWIE Input)'!K5</f>
        <v>308721.62377705652</v>
      </c>
      <c r="L5" s="80">
        <f>'SAM(LEWIE Input)'!L5</f>
        <v>365258.62948879524</v>
      </c>
      <c r="M5" s="80">
        <f>'SAM(LEWIE Input)'!M5</f>
        <v>35555.47947919905</v>
      </c>
      <c r="N5" s="80">
        <f>'SAM(LEWIE Input)'!N5</f>
        <v>4062.8903875614774</v>
      </c>
      <c r="O5" s="80">
        <f>'SAM(LEWIE Input)'!O5</f>
        <v>507735.41128995328</v>
      </c>
      <c r="P5" s="80">
        <f>'SAM(LEWIE Input)'!P5</f>
        <v>72364.571908514859</v>
      </c>
      <c r="Q5" s="80">
        <f>'SAM(LEWIE Input)'!Q5</f>
        <v>528.1</v>
      </c>
      <c r="R5" s="80">
        <f>'SAM(LEWIE Input)'!S5</f>
        <v>0</v>
      </c>
      <c r="S5" s="80">
        <f>'SAM(LEWIE Input)'!T5</f>
        <v>0</v>
      </c>
      <c r="T5" s="80">
        <f>'SAM(LEWIE Input)'!U5</f>
        <v>1513066.4782892461</v>
      </c>
      <c r="U5" s="1"/>
      <c r="V5" s="1"/>
      <c r="W5" s="1"/>
      <c r="X5" s="1"/>
      <c r="Y5" s="1"/>
      <c r="Z5" s="1"/>
      <c r="AA5" s="1"/>
      <c r="AB5" s="1"/>
      <c r="AC5" s="1"/>
      <c r="AD5" s="1"/>
      <c r="AE5" s="1"/>
      <c r="AF5" s="1"/>
      <c r="AG5" s="1"/>
    </row>
    <row r="6" spans="1:33" ht="15" customHeight="1" x14ac:dyDescent="0.75">
      <c r="A6" s="59" t="str">
        <f>'SAM(LEWIE Input)'!A6</f>
        <v>NatRes</v>
      </c>
      <c r="B6" s="80">
        <f>'SAM(LEWIE Input)'!B6</f>
        <v>0</v>
      </c>
      <c r="C6" s="80">
        <f>'SAM(LEWIE Input)'!C6</f>
        <v>0</v>
      </c>
      <c r="D6" s="80">
        <f>'SAM(LEWIE Input)'!D6</f>
        <v>0</v>
      </c>
      <c r="E6" s="80">
        <f>'SAM(LEWIE Input)'!E6</f>
        <v>0</v>
      </c>
      <c r="F6" s="80">
        <f>'SAM(LEWIE Input)'!F6</f>
        <v>0</v>
      </c>
      <c r="G6" s="80">
        <f>'SAM(LEWIE Input)'!G6</f>
        <v>0</v>
      </c>
      <c r="H6" s="80">
        <f>'SAM(LEWIE Input)'!H6</f>
        <v>0</v>
      </c>
      <c r="I6" s="80">
        <f>'SAM(LEWIE Input)'!I6</f>
        <v>0</v>
      </c>
      <c r="J6" s="80">
        <f>'SAM(LEWIE Input)'!J6</f>
        <v>0</v>
      </c>
      <c r="K6" s="80">
        <f>'SAM(LEWIE Input)'!K6</f>
        <v>36627.98926168467</v>
      </c>
      <c r="L6" s="80">
        <f>'SAM(LEWIE Input)'!L6</f>
        <v>0</v>
      </c>
      <c r="M6" s="80">
        <f>'SAM(LEWIE Input)'!M6</f>
        <v>0</v>
      </c>
      <c r="N6" s="80">
        <f>'SAM(LEWIE Input)'!N6</f>
        <v>34.382852703698077</v>
      </c>
      <c r="O6" s="80">
        <f>'SAM(LEWIE Input)'!O6</f>
        <v>0</v>
      </c>
      <c r="P6" s="80">
        <f>'SAM(LEWIE Input)'!P6</f>
        <v>0</v>
      </c>
      <c r="Q6" s="80">
        <f>'SAM(LEWIE Input)'!Q6</f>
        <v>0</v>
      </c>
      <c r="R6" s="80">
        <f>'SAM(LEWIE Input)'!S6</f>
        <v>0</v>
      </c>
      <c r="S6" s="80">
        <f>'SAM(LEWIE Input)'!T6</f>
        <v>0</v>
      </c>
      <c r="T6" s="80">
        <f>'SAM(LEWIE Input)'!U6</f>
        <v>36662.372114388367</v>
      </c>
      <c r="U6" s="1"/>
      <c r="V6" s="1"/>
      <c r="W6" s="1"/>
      <c r="X6" s="1"/>
      <c r="Y6" s="1"/>
      <c r="Z6" s="1"/>
      <c r="AA6" s="1"/>
      <c r="AB6" s="1"/>
      <c r="AC6" s="1"/>
      <c r="AD6" s="1"/>
      <c r="AE6" s="1"/>
      <c r="AF6" s="1"/>
      <c r="AG6" s="1"/>
    </row>
    <row r="7" spans="1:33" ht="15" customHeight="1" x14ac:dyDescent="0.75">
      <c r="A7" s="59" t="str">
        <f>'SAM(LEWIE Input)'!A7</f>
        <v>L-MUSK</v>
      </c>
      <c r="B7" s="80">
        <f>'SAM(LEWIE Input)'!B7</f>
        <v>10222.768315698782</v>
      </c>
      <c r="C7" s="80">
        <f>'SAM(LEWIE Input)'!C7</f>
        <v>23113.069382666527</v>
      </c>
      <c r="D7" s="80">
        <f>'SAM(LEWIE Input)'!D7</f>
        <v>115476.53914307158</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3615.2334050792324</v>
      </c>
      <c r="N7" s="80">
        <f>'SAM(LEWIE Input)'!N7</f>
        <v>1498.1604894432135</v>
      </c>
      <c r="O7" s="80">
        <f>'SAM(LEWIE Input)'!O7</f>
        <v>0</v>
      </c>
      <c r="P7" s="80">
        <f>'SAM(LEWIE Input)'!P7</f>
        <v>7928.9601729226742</v>
      </c>
      <c r="Q7" s="80">
        <f>'SAM(LEWIE Input)'!Q7</f>
        <v>0</v>
      </c>
      <c r="R7" s="80">
        <f>'SAM(LEWIE Input)'!S7</f>
        <v>0</v>
      </c>
      <c r="S7" s="80">
        <f>'SAM(LEWIE Input)'!T7</f>
        <v>0</v>
      </c>
      <c r="T7" s="80">
        <f>'SAM(LEWIE Input)'!U7</f>
        <v>161854.73090888202</v>
      </c>
      <c r="U7" s="1"/>
      <c r="V7" s="1"/>
      <c r="W7" s="1"/>
      <c r="X7" s="1"/>
      <c r="Y7" s="1"/>
      <c r="Z7" s="1"/>
      <c r="AA7" s="1"/>
      <c r="AB7" s="1"/>
      <c r="AC7" s="1"/>
      <c r="AD7" s="1"/>
      <c r="AE7" s="1"/>
      <c r="AF7" s="1"/>
      <c r="AG7" s="1"/>
    </row>
    <row r="8" spans="1:33" ht="15" customHeight="1" x14ac:dyDescent="0.75">
      <c r="A8" s="59" t="str">
        <f>'SAM(LEWIE Input)'!A8</f>
        <v>L-FUSK</v>
      </c>
      <c r="B8" s="80">
        <f>'SAM(LEWIE Input)'!B8</f>
        <v>0</v>
      </c>
      <c r="C8" s="80">
        <f>'SAM(LEWIE Input)'!C8</f>
        <v>21712.277298868557</v>
      </c>
      <c r="D8" s="80">
        <f>'SAM(LEWIE Input)'!D8</f>
        <v>0</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0</v>
      </c>
      <c r="N8" s="80">
        <f>'SAM(LEWIE Input)'!N8</f>
        <v>473.06482999988225</v>
      </c>
      <c r="O8" s="80">
        <f>'SAM(LEWIE Input)'!O8</f>
        <v>0</v>
      </c>
      <c r="P8" s="80">
        <f>'SAM(LEWIE Input)'!P8</f>
        <v>109182.44556660917</v>
      </c>
      <c r="Q8" s="80">
        <f>'SAM(LEWIE Input)'!Q8</f>
        <v>1161.82</v>
      </c>
      <c r="R8" s="80">
        <f>'SAM(LEWIE Input)'!S8</f>
        <v>0</v>
      </c>
      <c r="S8" s="80">
        <f>'SAM(LEWIE Input)'!T8</f>
        <v>0</v>
      </c>
      <c r="T8" s="80"/>
      <c r="U8" s="1"/>
      <c r="V8" s="1"/>
      <c r="W8" s="1"/>
      <c r="X8" s="1"/>
      <c r="Y8" s="1"/>
      <c r="Z8" s="1"/>
      <c r="AA8" s="1"/>
      <c r="AB8" s="1"/>
      <c r="AC8" s="1"/>
      <c r="AD8" s="1"/>
      <c r="AE8" s="1"/>
      <c r="AF8" s="1"/>
      <c r="AG8" s="1"/>
    </row>
    <row r="9" spans="1:33" ht="15" customHeight="1" x14ac:dyDescent="0.75">
      <c r="A9" s="59" t="str">
        <f>'SAM(LEWIE Input)'!A9</f>
        <v>L-MSK</v>
      </c>
      <c r="B9" s="80">
        <f>'SAM(LEWIE Input)'!B9</f>
        <v>2211.4560029878999</v>
      </c>
      <c r="C9" s="80">
        <f>'SAM(LEWIE Input)'!C9</f>
        <v>2101.1881256969573</v>
      </c>
      <c r="D9" s="80">
        <f>'SAM(LEWIE Input)'!D9</f>
        <v>6792.7375966512682</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2933.1138946869246</v>
      </c>
      <c r="N9" s="80">
        <f>'SAM(LEWIE Input)'!N9</f>
        <v>1392.4662864842833</v>
      </c>
      <c r="O9" s="80">
        <f>'SAM(LEWIE Input)'!O9</f>
        <v>0</v>
      </c>
      <c r="P9" s="80">
        <f>'SAM(LEWIE Input)'!P9</f>
        <v>0</v>
      </c>
      <c r="Q9" s="80">
        <f>'SAM(LEWIE Input)'!Q9</f>
        <v>0</v>
      </c>
      <c r="R9" s="80">
        <f>'SAM(LEWIE Input)'!S9</f>
        <v>0</v>
      </c>
      <c r="S9" s="80">
        <f>'SAM(LEWIE Input)'!T9</f>
        <v>0</v>
      </c>
      <c r="T9" s="80"/>
      <c r="U9" s="1"/>
      <c r="V9" s="1"/>
      <c r="W9" s="1"/>
      <c r="X9" s="1"/>
      <c r="Y9" s="1"/>
      <c r="Z9" s="1"/>
      <c r="AA9" s="1"/>
      <c r="AB9" s="1"/>
      <c r="AC9" s="1"/>
      <c r="AD9" s="1"/>
      <c r="AE9" s="1"/>
      <c r="AF9" s="1"/>
      <c r="AG9" s="1"/>
    </row>
    <row r="10" spans="1:33" ht="15" customHeight="1" x14ac:dyDescent="0.75">
      <c r="A10" s="59" t="str">
        <f>'SAM(LEWIE Input)'!A10</f>
        <v>L-FSK</v>
      </c>
      <c r="B10" s="80">
        <f>'SAM(LEWIE Input)'!B10</f>
        <v>0</v>
      </c>
      <c r="C10" s="80">
        <f>'SAM(LEWIE Input)'!C10</f>
        <v>3221.8217927353339</v>
      </c>
      <c r="D10" s="80">
        <f>'SAM(LEWIE Input)'!D10</f>
        <v>0</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477.48365727461555</v>
      </c>
      <c r="N10" s="80">
        <f>'SAM(LEWIE Input)'!N10</f>
        <v>679.74127298798135</v>
      </c>
      <c r="O10" s="80">
        <f>'SAM(LEWIE Input)'!O10</f>
        <v>0</v>
      </c>
      <c r="P10" s="80">
        <f>'SAM(LEWIE Input)'!P10</f>
        <v>18070.645608750605</v>
      </c>
      <c r="Q10" s="80">
        <f>'SAM(LEWIE Input)'!Q10</f>
        <v>105.62</v>
      </c>
      <c r="R10" s="80">
        <f>'SAM(LEWIE Input)'!S10</f>
        <v>0</v>
      </c>
      <c r="S10" s="80">
        <f>'SAM(LEWIE Input)'!T10</f>
        <v>0</v>
      </c>
      <c r="T10" s="80"/>
      <c r="U10" s="1"/>
      <c r="V10" s="1"/>
      <c r="W10" s="1"/>
      <c r="X10" s="1"/>
      <c r="Y10" s="1"/>
      <c r="Z10" s="1"/>
      <c r="AA10" s="1"/>
      <c r="AB10" s="1"/>
      <c r="AC10" s="1"/>
      <c r="AD10" s="1"/>
      <c r="AE10" s="1"/>
      <c r="AF10" s="1"/>
      <c r="AG10" s="1"/>
    </row>
    <row r="11" spans="1:33" ht="15" customHeight="1" x14ac:dyDescent="0.75">
      <c r="A11" s="59" t="str">
        <f>'SAM(LEWIE Input)'!A11</f>
        <v>K</v>
      </c>
      <c r="B11" s="80">
        <f>'SAM(LEWIE Input)'!B11</f>
        <v>24716.429308721879</v>
      </c>
      <c r="C11" s="80">
        <f>'SAM(LEWIE Input)'!C11</f>
        <v>173804.1850459922</v>
      </c>
      <c r="D11" s="80">
        <f>'SAM(LEWIE Input)'!D11</f>
        <v>391827.19616533368</v>
      </c>
      <c r="E11" s="80">
        <f>'SAM(LEWIE Input)'!E11</f>
        <v>0</v>
      </c>
      <c r="F11" s="80">
        <f>'SAM(LEWIE Input)'!F11</f>
        <v>0</v>
      </c>
      <c r="G11" s="80">
        <f>'SAM(LEWIE Input)'!G11</f>
        <v>0</v>
      </c>
      <c r="H11" s="80">
        <f>'SAM(LEWIE Input)'!H11</f>
        <v>0</v>
      </c>
      <c r="I11" s="80">
        <f>'SAM(LEWIE Input)'!I11</f>
        <v>0</v>
      </c>
      <c r="J11" s="80">
        <f>'SAM(LEWIE Input)'!J11</f>
        <v>0</v>
      </c>
      <c r="K11" s="80">
        <f>'SAM(LEWIE Input)'!K11</f>
        <v>62790.838734316574</v>
      </c>
      <c r="L11" s="80">
        <f>'SAM(LEWIE Input)'!L11</f>
        <v>20871.921685074012</v>
      </c>
      <c r="M11" s="80">
        <f>'SAM(LEWIE Input)'!M11</f>
        <v>28421.646266346164</v>
      </c>
      <c r="N11" s="80">
        <f>'SAM(LEWIE Input)'!N11</f>
        <v>3900.7557046105544</v>
      </c>
      <c r="O11" s="80">
        <f>'SAM(LEWIE Input)'!O11</f>
        <v>0</v>
      </c>
      <c r="P11" s="80">
        <f>'SAM(LEWIE Input)'!P11</f>
        <v>0</v>
      </c>
      <c r="Q11" s="80">
        <f>'SAM(LEWIE Input)'!Q11</f>
        <v>0</v>
      </c>
      <c r="R11" s="80">
        <f>'SAM(LEWIE Input)'!S11</f>
        <v>0</v>
      </c>
      <c r="S11" s="80">
        <f>'SAM(LEWIE Input)'!T11</f>
        <v>0</v>
      </c>
      <c r="T11" s="80">
        <f>'SAM(LEWIE Input)'!U11</f>
        <v>724013.77291039517</v>
      </c>
      <c r="U11" s="1"/>
      <c r="V11" s="1"/>
      <c r="W11" s="1"/>
      <c r="X11" s="1"/>
      <c r="Y11" s="1"/>
      <c r="Z11" s="1"/>
      <c r="AA11" s="1"/>
      <c r="AB11" s="1"/>
      <c r="AC11" s="1"/>
      <c r="AD11" s="1"/>
      <c r="AE11" s="1"/>
      <c r="AF11" s="1"/>
      <c r="AG11" s="1"/>
    </row>
    <row r="12" spans="1:33" ht="15" customHeight="1" x14ac:dyDescent="0.75">
      <c r="A12" s="59" t="str">
        <f>'SAM(LEWIE Input)'!A12</f>
        <v>Poor</v>
      </c>
      <c r="B12" s="80">
        <f>'SAM(LEWIE Input)'!B12</f>
        <v>0</v>
      </c>
      <c r="C12" s="80">
        <f>'SAM(LEWIE Input)'!C12</f>
        <v>0</v>
      </c>
      <c r="D12" s="80">
        <f>'SAM(LEWIE Input)'!D12</f>
        <v>0</v>
      </c>
      <c r="E12" s="80">
        <f>'SAM(LEWIE Input)'!E12</f>
        <v>0</v>
      </c>
      <c r="F12" s="80">
        <f>'SAM(LEWIE Input)'!F12</f>
        <v>129745.89765165445</v>
      </c>
      <c r="G12" s="80">
        <f>'SAM(LEWIE Input)'!G12</f>
        <v>59322.025154193718</v>
      </c>
      <c r="H12" s="80">
        <f>'SAM(LEWIE Input)'!H12</f>
        <v>12241.939833884566</v>
      </c>
      <c r="I12" s="80">
        <f>'SAM(LEWIE Input)'!I12</f>
        <v>20442.988832737698</v>
      </c>
      <c r="J12" s="80">
        <f>'SAM(LEWIE Input)'!J12</f>
        <v>59253.813875554624</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Input)'!S12</f>
        <v>0</v>
      </c>
      <c r="S12" s="80">
        <f>'SAM(LEWIE Input)'!T12</f>
        <v>16018.071105692999</v>
      </c>
      <c r="T12" s="80">
        <f>'SAM(LEWIE Input)'!U12</f>
        <v>297761.43645371805</v>
      </c>
      <c r="U12" s="1"/>
      <c r="V12" s="1"/>
      <c r="W12" s="1"/>
      <c r="X12" s="1"/>
      <c r="Y12" s="1"/>
      <c r="Z12" s="1"/>
      <c r="AA12" s="1"/>
      <c r="AB12" s="1"/>
      <c r="AC12" s="1"/>
      <c r="AD12" s="1"/>
      <c r="AE12" s="1"/>
      <c r="AF12" s="1"/>
      <c r="AG12" s="1"/>
    </row>
    <row r="13" spans="1:33" ht="15" customHeight="1" x14ac:dyDescent="0.75">
      <c r="A13" s="59" t="str">
        <f>'SAM(LEWIE Input)'!A13</f>
        <v>Nonpoor</v>
      </c>
      <c r="B13" s="80">
        <f>'SAM(LEWIE Input)'!B13</f>
        <v>0</v>
      </c>
      <c r="C13" s="80">
        <f>'SAM(LEWIE Input)'!C13</f>
        <v>0</v>
      </c>
      <c r="D13" s="80">
        <f>'SAM(LEWIE Input)'!D13</f>
        <v>0</v>
      </c>
      <c r="E13" s="80">
        <f>'SAM(LEWIE Input)'!E13</f>
        <v>0</v>
      </c>
      <c r="F13" s="80">
        <f>'SAM(LEWIE Input)'!F13</f>
        <v>32108.83325722755</v>
      </c>
      <c r="G13" s="80">
        <f>'SAM(LEWIE Input)'!G13</f>
        <v>83889.732541283869</v>
      </c>
      <c r="H13" s="80">
        <f>'SAM(LEWIE Input)'!H13</f>
        <v>3189.0220726227676</v>
      </c>
      <c r="I13" s="80">
        <f>'SAM(LEWIE Input)'!I13</f>
        <v>5059.1234990108351</v>
      </c>
      <c r="J13" s="80">
        <f>'SAM(LEWIE Input)'!J13</f>
        <v>664759.95903484058</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Input)'!S13</f>
        <v>0</v>
      </c>
      <c r="S13" s="80">
        <f>'SAM(LEWIE Input)'!T13</f>
        <v>0</v>
      </c>
      <c r="T13" s="80">
        <f>'SAM(LEWIE Input)'!U13</f>
        <v>792321.82040498557</v>
      </c>
      <c r="U13" s="1"/>
      <c r="V13" s="1"/>
      <c r="W13" s="1"/>
      <c r="X13" s="1"/>
      <c r="Y13" s="1"/>
      <c r="Z13" s="1"/>
      <c r="AA13" s="1"/>
      <c r="AB13" s="1"/>
      <c r="AC13" s="1"/>
      <c r="AD13" s="1"/>
      <c r="AE13" s="1"/>
      <c r="AF13" s="1"/>
      <c r="AG13" s="1"/>
    </row>
    <row r="14" spans="1:33" ht="15" customHeight="1" x14ac:dyDescent="0.75">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0</v>
      </c>
      <c r="M14" s="80">
        <f>'SAM(LEWIE Input)'!M14</f>
        <v>0</v>
      </c>
      <c r="N14" s="80">
        <f>'SAM(LEWIE Input)'!N14</f>
        <v>0</v>
      </c>
      <c r="O14" s="80">
        <f>'SAM(LEWIE Input)'!O14</f>
        <v>113686.58506538466</v>
      </c>
      <c r="P14" s="80">
        <f>'SAM(LEWIE Input)'!P14</f>
        <v>0</v>
      </c>
      <c r="Q14" s="80">
        <f>'SAM(LEWIE Input)'!Q14</f>
        <v>0</v>
      </c>
      <c r="R14" s="80">
        <f>'SAM(LEWIE Input)'!S14</f>
        <v>0</v>
      </c>
      <c r="S14" s="80">
        <f>'SAM(LEWIE Input)'!T14</f>
        <v>0</v>
      </c>
      <c r="T14" s="80">
        <f>'SAM(LEWIE Input)'!U14</f>
        <v>113686.58506538466</v>
      </c>
      <c r="U14" s="1"/>
      <c r="V14" s="1"/>
      <c r="W14" s="1"/>
      <c r="X14" s="1"/>
      <c r="Y14" s="1"/>
      <c r="Z14" s="1"/>
      <c r="AA14" s="1"/>
      <c r="AB14" s="1"/>
      <c r="AC14" s="1"/>
      <c r="AD14" s="1"/>
      <c r="AE14" s="1"/>
      <c r="AF14" s="1"/>
      <c r="AG14" s="1"/>
    </row>
    <row r="15" spans="1:33" ht="15" customHeight="1" x14ac:dyDescent="0.75">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24872.042824591415</v>
      </c>
      <c r="P15" s="80">
        <f>'SAM(LEWIE Input)'!P15</f>
        <v>0</v>
      </c>
      <c r="Q15" s="80">
        <f>'SAM(LEWIE Input)'!Q15</f>
        <v>0</v>
      </c>
      <c r="R15" s="80">
        <f>'SAM(LEWIE Input)'!S15</f>
        <v>0</v>
      </c>
      <c r="S15" s="80">
        <f>'SAM(LEWIE Input)'!T15</f>
        <v>0</v>
      </c>
      <c r="T15" s="80">
        <f>'SAM(LEWIE Input)'!U15</f>
        <v>24872.042824591415</v>
      </c>
      <c r="U15" s="1"/>
      <c r="V15" s="1"/>
      <c r="W15" s="1"/>
      <c r="X15" s="1"/>
      <c r="Y15" s="1"/>
      <c r="Z15" s="1"/>
      <c r="AA15" s="1"/>
      <c r="AB15" s="1"/>
      <c r="AC15" s="1"/>
      <c r="AD15" s="1"/>
      <c r="AE15" s="1"/>
      <c r="AF15" s="1"/>
      <c r="AG15" s="1"/>
    </row>
    <row r="16" spans="1:33" ht="15" customHeight="1" x14ac:dyDescent="0.75">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Input)'!S16</f>
        <v>0</v>
      </c>
      <c r="S16" s="80">
        <f>'SAM(LEWIE Input)'!T16</f>
        <v>1248835.3922682505</v>
      </c>
      <c r="T16" s="80">
        <f>'SAM(LEWIE Input)'!U16</f>
        <v>1248835.3922682505</v>
      </c>
      <c r="U16" s="1"/>
      <c r="V16" s="1"/>
      <c r="W16" s="1"/>
      <c r="X16" s="1"/>
      <c r="Y16" s="1"/>
      <c r="Z16" s="1"/>
      <c r="AA16" s="1"/>
      <c r="AB16" s="1"/>
      <c r="AC16" s="1"/>
      <c r="AD16" s="1"/>
      <c r="AE16" s="1"/>
      <c r="AF16" s="1"/>
      <c r="AG16" s="1"/>
    </row>
    <row r="17" spans="1:33" ht="15" customHeight="1" x14ac:dyDescent="0.75">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112627.02326260571</v>
      </c>
      <c r="P17" s="80">
        <f>'SAM(LEWIE Input)'!P17</f>
        <v>0</v>
      </c>
      <c r="Q17" s="80">
        <f>'SAM(LEWIE Input)'!Q17</f>
        <v>0</v>
      </c>
      <c r="R17" s="80">
        <f>'SAM(LEWIE Input)'!S17</f>
        <v>131495.5963247105</v>
      </c>
      <c r="S17" s="80">
        <f>'SAM(LEWIE Input)'!T17</f>
        <v>0</v>
      </c>
      <c r="T17" s="80">
        <f>'SAM(LEWIE Input)'!U17</f>
        <v>244122.61958731621</v>
      </c>
      <c r="U17" s="1"/>
      <c r="V17" s="1"/>
      <c r="W17" s="1"/>
      <c r="X17" s="1"/>
      <c r="Y17" s="1"/>
      <c r="Z17" s="1"/>
      <c r="AA17" s="1"/>
      <c r="AB17" s="1"/>
      <c r="AC17" s="1"/>
      <c r="AD17" s="1"/>
      <c r="AE17" s="1"/>
      <c r="AF17" s="1"/>
      <c r="AG17" s="1"/>
    </row>
    <row r="18" spans="1:33" ht="15" customHeight="1" x14ac:dyDescent="0.75">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10562</v>
      </c>
      <c r="Q18" s="80">
        <f>'SAM(LEWIE Input)'!Q18</f>
        <v>0</v>
      </c>
      <c r="R18" s="80">
        <f>'SAM(LEWIE Input)'!S18</f>
        <v>0</v>
      </c>
      <c r="S18" s="80">
        <f>'SAM(LEWIE Input)'!T18</f>
        <v>0</v>
      </c>
      <c r="T18" s="80"/>
      <c r="U18" s="1"/>
      <c r="V18" s="1"/>
      <c r="W18" s="1"/>
      <c r="X18" s="1"/>
      <c r="Y18" s="1"/>
      <c r="Z18" s="1"/>
      <c r="AA18" s="1"/>
      <c r="AB18" s="1"/>
      <c r="AC18" s="1"/>
      <c r="AD18" s="1"/>
      <c r="AE18" s="1"/>
      <c r="AF18" s="1"/>
      <c r="AG18" s="1"/>
    </row>
    <row r="19" spans="1:33" ht="15" customHeight="1" x14ac:dyDescent="0.75">
      <c r="A19" s="59" t="str">
        <f>'SAM(LEWIE Input)'!A20</f>
        <v>G</v>
      </c>
      <c r="B19" s="80">
        <f>'SAM(LEWIE Input)'!B20</f>
        <v>0</v>
      </c>
      <c r="C19" s="80">
        <f>'SAM(LEWIE Input)'!C20</f>
        <v>11976.772316472654</v>
      </c>
      <c r="D19" s="80">
        <f>'SAM(LEWIE Input)'!D20</f>
        <v>49468.849888655976</v>
      </c>
      <c r="E19" s="80">
        <f>'SAM(LEWIE Input)'!E20</f>
        <v>0</v>
      </c>
      <c r="F19" s="80">
        <f>'SAM(LEWIE Input)'!F20</f>
        <v>0</v>
      </c>
      <c r="G19" s="80">
        <f>'SAM(LEWIE Input)'!G20</f>
        <v>0</v>
      </c>
      <c r="H19" s="80">
        <f>'SAM(LEWIE Input)'!H20</f>
        <v>0</v>
      </c>
      <c r="I19" s="80">
        <f>'SAM(LEWIE Input)'!I20</f>
        <v>0</v>
      </c>
      <c r="J19" s="80">
        <f>'SAM(LEWIE Input)'!J20</f>
        <v>0</v>
      </c>
      <c r="K19" s="80">
        <f>'SAM(LEWIE Input)'!K20</f>
        <v>5232.5698945263812</v>
      </c>
      <c r="L19" s="80">
        <f>'SAM(LEWIE Input)'!L20</f>
        <v>1458.9473257866734</v>
      </c>
      <c r="M19" s="80">
        <f>'SAM(LEWIE Input)'!M20</f>
        <v>3922.1871847557709</v>
      </c>
      <c r="N19" s="80">
        <f>'SAM(LEWIE Input)'!N20</f>
        <v>1327.1981626733605</v>
      </c>
      <c r="O19" s="80">
        <f>'SAM(LEWIE Input)'!O20</f>
        <v>0</v>
      </c>
      <c r="P19" s="80">
        <f>'SAM(LEWIE Input)'!P20</f>
        <v>0</v>
      </c>
      <c r="Q19" s="80">
        <f>'SAM(LEWIE Input)'!Q20</f>
        <v>0</v>
      </c>
      <c r="R19" s="80">
        <f>'SAM(LEWIE Input)'!S20</f>
        <v>0</v>
      </c>
      <c r="S19" s="80">
        <f>'SAM(LEWIE Input)'!T20</f>
        <v>0</v>
      </c>
      <c r="T19" s="80">
        <f>'SAM(LEWIE Input)'!U20</f>
        <v>73386.524772870835</v>
      </c>
      <c r="U19" s="1"/>
      <c r="V19" s="1"/>
      <c r="W19" s="1"/>
      <c r="X19" s="1"/>
      <c r="Y19" s="1"/>
      <c r="Z19" s="1"/>
      <c r="AA19" s="1"/>
      <c r="AB19" s="1"/>
      <c r="AC19" s="1"/>
      <c r="AD19" s="1"/>
      <c r="AE19" s="1"/>
      <c r="AF19" s="1"/>
      <c r="AG19" s="1"/>
    </row>
    <row r="20" spans="1:33" ht="15" customHeight="1" x14ac:dyDescent="0.75">
      <c r="A20" s="59" t="str">
        <f>'SAM(LEWIE Input)'!A21</f>
        <v>ROW</v>
      </c>
      <c r="B20" s="80">
        <f>'SAM(LEWIE Input)'!B21</f>
        <v>12225.596393876505</v>
      </c>
      <c r="C20" s="80">
        <f>'SAM(LEWIE Input)'!C21</f>
        <v>155019.05514295644</v>
      </c>
      <c r="D20" s="80">
        <f>'SAM(LEWIE Input)'!D21</f>
        <v>789581.91150639858</v>
      </c>
      <c r="E20" s="80">
        <f>'SAM(LEWIE Input)'!E21</f>
        <v>36662.372114388367</v>
      </c>
      <c r="F20" s="80">
        <f>'SAM(LEWIE Input)'!F21</f>
        <v>0</v>
      </c>
      <c r="G20" s="80">
        <f>'SAM(LEWIE Input)'!G21</f>
        <v>0</v>
      </c>
      <c r="H20" s="80">
        <f>'SAM(LEWIE Input)'!H21</f>
        <v>0</v>
      </c>
      <c r="I20" s="80">
        <f>'SAM(LEWIE Input)'!I21</f>
        <v>0</v>
      </c>
      <c r="J20" s="80">
        <f>'SAM(LEWIE Input)'!J21</f>
        <v>0</v>
      </c>
      <c r="K20" s="80">
        <f>'SAM(LEWIE Input)'!K21</f>
        <v>62790.838734316581</v>
      </c>
      <c r="L20" s="80">
        <f>'SAM(LEWIE Input)'!L21</f>
        <v>120013.54968917559</v>
      </c>
      <c r="M20" s="80">
        <f>'SAM(LEWIE Input)'!M21</f>
        <v>35777.168320076547</v>
      </c>
      <c r="N20" s="80">
        <f>'SAM(LEWIE Input)'!N21</f>
        <v>10053.589256046545</v>
      </c>
      <c r="O20" s="80">
        <f>'SAM(LEWIE Input)'!O21</f>
        <v>0</v>
      </c>
      <c r="P20" s="80">
        <f>'SAM(LEWIE Input)'!P21</f>
        <v>26013.996330518905</v>
      </c>
      <c r="Q20" s="80">
        <f>'SAM(LEWIE Input)'!Q21</f>
        <v>0.83</v>
      </c>
      <c r="R20" s="80">
        <f>'SAM(LEWIE Input)'!S21</f>
        <v>0</v>
      </c>
      <c r="S20" s="80">
        <f>'SAM(LEWIE Input)'!T21</f>
        <v>0</v>
      </c>
      <c r="T20" s="80">
        <f>'SAM(LEWIE Input)'!U21</f>
        <v>1248138.9074877542</v>
      </c>
      <c r="U20" s="1"/>
      <c r="V20" s="1"/>
      <c r="W20" s="1"/>
      <c r="X20" s="1"/>
      <c r="Y20" s="1"/>
      <c r="Z20" s="1"/>
      <c r="AA20" s="1"/>
      <c r="AB20" s="1"/>
      <c r="AC20" s="1"/>
      <c r="AD20" s="1"/>
      <c r="AE20" s="1"/>
      <c r="AF20" s="1"/>
      <c r="AG20" s="1"/>
    </row>
    <row r="21" spans="1:33" ht="15" customHeight="1" x14ac:dyDescent="0.75">
      <c r="A21" s="59" t="str">
        <f>'SAM(LEWIE Input)'!A22</f>
        <v>Total</v>
      </c>
      <c r="B21" s="80">
        <f>'SAM(LEWIE Input)'!B22</f>
        <v>66442.014270757732</v>
      </c>
      <c r="C21" s="80">
        <f>'SAM(LEWIE Input)'!C22</f>
        <v>489914.32982571534</v>
      </c>
      <c r="D21" s="80">
        <f>'SAM(LEWIE Input)'!D22</f>
        <v>1499338.7608367363</v>
      </c>
      <c r="E21" s="80">
        <f>'SAM(LEWIE Input)'!E22</f>
        <v>36662.372114388367</v>
      </c>
      <c r="F21" s="80">
        <f>'SAM(LEWIE Input)'!F22</f>
        <v>161854.73090888199</v>
      </c>
      <c r="G21" s="80">
        <f>'SAM(LEWIE Input)'!G22</f>
        <v>143211.75769547757</v>
      </c>
      <c r="H21" s="80">
        <f>'SAM(LEWIE Input)'!H22</f>
        <v>15430.961906507333</v>
      </c>
      <c r="I21" s="80">
        <f>'SAM(LEWIE Input)'!I22</f>
        <v>25502.112331748533</v>
      </c>
      <c r="J21" s="80">
        <f>'SAM(LEWIE Input)'!J22</f>
        <v>724013.77291039517</v>
      </c>
      <c r="K21" s="80">
        <f>'SAM(LEWIE Input)'!K22</f>
        <v>512791.84966358537</v>
      </c>
      <c r="L21" s="80">
        <f>'SAM(LEWIE Input)'!L22</f>
        <v>518039.00903136854</v>
      </c>
      <c r="M21" s="80">
        <f>'SAM(LEWIE Input)'!M22</f>
        <v>113686.58506538466</v>
      </c>
      <c r="N21" s="80">
        <f>'SAM(LEWIE Input)'!N22</f>
        <v>24872.042824591415</v>
      </c>
      <c r="O21" s="80">
        <f>'SAM(LEWIE Input)'!O22</f>
        <v>1248835.3922682505</v>
      </c>
      <c r="P21" s="80">
        <f>'SAM(LEWIE Input)'!P22</f>
        <v>244122.61958731621</v>
      </c>
      <c r="Q21" s="80">
        <f>'SAM(LEWIE Input)'!Q22</f>
        <v>1796.37</v>
      </c>
      <c r="R21" s="80">
        <f>'SAM(LEWIE Input)'!S22</f>
        <v>131495.5963247105</v>
      </c>
      <c r="S21" s="80">
        <f>'SAM(LEWIE Input)'!T22</f>
        <v>1264853.4633739435</v>
      </c>
      <c r="T21" s="59">
        <f>'SAM(LEWIE Input)'!U22</f>
        <v>0</v>
      </c>
      <c r="U21" s="1"/>
      <c r="V21" s="1"/>
      <c r="W21" s="1"/>
      <c r="X21" s="1"/>
      <c r="Y21" s="1"/>
      <c r="Z21" s="1"/>
      <c r="AA21" s="1"/>
      <c r="AB21" s="1"/>
      <c r="AC21" s="1"/>
      <c r="AD21" s="1"/>
      <c r="AE21" s="1"/>
      <c r="AF21" s="1"/>
      <c r="AG21" s="1"/>
    </row>
    <row r="22" spans="1:33" ht="15" customHeight="1" x14ac:dyDescent="0.7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ht="14.75" x14ac:dyDescent="0.75">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ht="14.75" x14ac:dyDescent="0.75">
      <c r="A24" s="59" t="str">
        <f t="shared" ref="A24:A41" si="1">A3</f>
        <v>Ag</v>
      </c>
      <c r="B24" s="81">
        <f t="shared" ref="B24:S24" si="2">B3/B$21</f>
        <v>3.1399999999999997E-2</v>
      </c>
      <c r="C24" s="81">
        <f t="shared" si="2"/>
        <v>4.2888888888888881E-3</v>
      </c>
      <c r="D24" s="81">
        <f t="shared" si="2"/>
        <v>0</v>
      </c>
      <c r="E24" s="81">
        <f t="shared" si="2"/>
        <v>0</v>
      </c>
      <c r="F24" s="81">
        <f t="shared" si="2"/>
        <v>0</v>
      </c>
      <c r="G24" s="81">
        <f t="shared" si="2"/>
        <v>0</v>
      </c>
      <c r="H24" s="81">
        <f t="shared" si="2"/>
        <v>0</v>
      </c>
      <c r="I24" s="81">
        <f t="shared" si="2"/>
        <v>0</v>
      </c>
      <c r="J24" s="81">
        <f t="shared" si="2"/>
        <v>0</v>
      </c>
      <c r="K24" s="81">
        <f t="shared" si="2"/>
        <v>7.1428571428571425E-2</v>
      </c>
      <c r="L24" s="81">
        <f t="shared" si="2"/>
        <v>2.0145125483986639E-2</v>
      </c>
      <c r="M24" s="81">
        <f t="shared" si="2"/>
        <v>8.2500000000000004E-3</v>
      </c>
      <c r="N24" s="81">
        <f t="shared" si="2"/>
        <v>2.1106630329498065E-2</v>
      </c>
      <c r="O24" s="81">
        <f t="shared" si="2"/>
        <v>0</v>
      </c>
      <c r="P24" s="81">
        <f t="shared" si="2"/>
        <v>0</v>
      </c>
      <c r="Q24" s="81">
        <f t="shared" si="2"/>
        <v>0</v>
      </c>
      <c r="R24" s="81">
        <f t="shared" si="2"/>
        <v>0</v>
      </c>
      <c r="S24" s="81">
        <f t="shared" si="2"/>
        <v>0</v>
      </c>
      <c r="T24" s="1"/>
      <c r="U24" s="1"/>
      <c r="V24" s="1"/>
      <c r="W24" s="1"/>
      <c r="X24" s="1"/>
      <c r="Y24" s="1"/>
      <c r="Z24" s="1"/>
      <c r="AA24" s="1"/>
      <c r="AB24" s="1"/>
      <c r="AC24" s="1"/>
      <c r="AD24" s="1"/>
      <c r="AE24" s="1"/>
      <c r="AF24" s="1"/>
      <c r="AG24" s="1"/>
    </row>
    <row r="25" spans="1:33" ht="14.75" x14ac:dyDescent="0.75">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0.39229696152019489</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ht="14.75" x14ac:dyDescent="0.75">
      <c r="A26" s="59" t="str">
        <f t="shared" si="1"/>
        <v>Nag</v>
      </c>
      <c r="B26" s="81">
        <f t="shared" ref="B26:S26" si="4">B5/B$21</f>
        <v>0.20661199999999996</v>
      </c>
      <c r="C26" s="81">
        <f t="shared" si="4"/>
        <v>0.18356444444444442</v>
      </c>
      <c r="D26" s="81">
        <f t="shared" si="4"/>
        <v>7.6821333333333339E-2</v>
      </c>
      <c r="E26" s="81">
        <f t="shared" si="4"/>
        <v>0</v>
      </c>
      <c r="F26" s="81">
        <f t="shared" si="4"/>
        <v>0</v>
      </c>
      <c r="G26" s="81">
        <f t="shared" si="4"/>
        <v>0</v>
      </c>
      <c r="H26" s="81">
        <f t="shared" si="4"/>
        <v>0</v>
      </c>
      <c r="I26" s="81">
        <f t="shared" si="4"/>
        <v>0</v>
      </c>
      <c r="J26" s="81">
        <f t="shared" si="4"/>
        <v>0</v>
      </c>
      <c r="K26" s="81">
        <f t="shared" si="4"/>
        <v>0.60204081632653061</v>
      </c>
      <c r="L26" s="81">
        <f t="shared" si="4"/>
        <v>0.7050793919395324</v>
      </c>
      <c r="M26" s="81">
        <f t="shared" si="4"/>
        <v>0.31274999999999997</v>
      </c>
      <c r="N26" s="81">
        <f t="shared" si="4"/>
        <v>0.16335169636908264</v>
      </c>
      <c r="O26" s="81">
        <f t="shared" si="4"/>
        <v>0.40656712200297046</v>
      </c>
      <c r="P26" s="81">
        <f t="shared" si="4"/>
        <v>0.29642714808994569</v>
      </c>
      <c r="Q26" s="81">
        <f t="shared" si="4"/>
        <v>0.29398175208893496</v>
      </c>
      <c r="R26" s="81">
        <f t="shared" si="4"/>
        <v>0</v>
      </c>
      <c r="S26" s="81">
        <f t="shared" si="4"/>
        <v>0</v>
      </c>
      <c r="T26" s="1"/>
      <c r="U26" s="1"/>
      <c r="V26" s="1"/>
      <c r="W26" s="1"/>
      <c r="X26" s="1"/>
      <c r="Y26" s="1"/>
      <c r="Z26" s="1"/>
      <c r="AA26" s="1"/>
      <c r="AB26" s="1"/>
      <c r="AC26" s="1"/>
      <c r="AD26" s="1"/>
      <c r="AE26" s="1"/>
      <c r="AF26" s="1"/>
      <c r="AG26" s="1"/>
    </row>
    <row r="27" spans="1:33" ht="14.75" x14ac:dyDescent="0.75">
      <c r="A27" s="59" t="str">
        <f t="shared" si="1"/>
        <v>NatRes</v>
      </c>
      <c r="B27" s="81">
        <f t="shared" ref="B27:S27" si="5">B6/B$21</f>
        <v>0</v>
      </c>
      <c r="C27" s="81">
        <f t="shared" si="5"/>
        <v>0</v>
      </c>
      <c r="D27" s="81">
        <f t="shared" si="5"/>
        <v>0</v>
      </c>
      <c r="E27" s="81">
        <f t="shared" si="5"/>
        <v>0</v>
      </c>
      <c r="F27" s="81">
        <f t="shared" si="5"/>
        <v>0</v>
      </c>
      <c r="G27" s="81">
        <f t="shared" si="5"/>
        <v>0</v>
      </c>
      <c r="H27" s="81">
        <f t="shared" si="5"/>
        <v>0</v>
      </c>
      <c r="I27" s="81">
        <f t="shared" si="5"/>
        <v>0</v>
      </c>
      <c r="J27" s="81">
        <f t="shared" si="5"/>
        <v>0</v>
      </c>
      <c r="K27" s="81">
        <f t="shared" si="5"/>
        <v>7.1428571428571425E-2</v>
      </c>
      <c r="L27" s="81">
        <f t="shared" si="5"/>
        <v>0</v>
      </c>
      <c r="M27" s="81">
        <f t="shared" si="5"/>
        <v>0</v>
      </c>
      <c r="N27" s="81">
        <f t="shared" si="5"/>
        <v>1.3823895747599453E-3</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ht="14.75" x14ac:dyDescent="0.75">
      <c r="A28" s="59" t="str">
        <f t="shared" si="1"/>
        <v>L-MUSK</v>
      </c>
      <c r="B28" s="81">
        <f t="shared" ref="B28:S28" si="6">B7/B$21</f>
        <v>0.15385999999999997</v>
      </c>
      <c r="C28" s="81">
        <f t="shared" si="6"/>
        <v>4.7177777777777777E-2</v>
      </c>
      <c r="D28" s="81">
        <f t="shared" si="6"/>
        <v>7.7018311111111112E-2</v>
      </c>
      <c r="E28" s="81">
        <f t="shared" si="6"/>
        <v>0</v>
      </c>
      <c r="F28" s="81">
        <f t="shared" si="6"/>
        <v>0</v>
      </c>
      <c r="G28" s="81">
        <f t="shared" si="6"/>
        <v>0</v>
      </c>
      <c r="H28" s="81">
        <f t="shared" si="6"/>
        <v>0</v>
      </c>
      <c r="I28" s="81">
        <f t="shared" si="6"/>
        <v>0</v>
      </c>
      <c r="J28" s="81">
        <f t="shared" si="6"/>
        <v>0</v>
      </c>
      <c r="K28" s="81">
        <f t="shared" si="6"/>
        <v>0</v>
      </c>
      <c r="L28" s="81">
        <f t="shared" si="6"/>
        <v>0</v>
      </c>
      <c r="M28" s="81">
        <f t="shared" si="6"/>
        <v>3.1800000000000002E-2</v>
      </c>
      <c r="N28" s="81">
        <f t="shared" si="6"/>
        <v>6.023471815358715E-2</v>
      </c>
      <c r="O28" s="81">
        <f t="shared" si="6"/>
        <v>0</v>
      </c>
      <c r="P28" s="81">
        <f t="shared" si="6"/>
        <v>3.2479416230771253E-2</v>
      </c>
      <c r="Q28" s="81">
        <f t="shared" si="6"/>
        <v>0</v>
      </c>
      <c r="R28" s="81">
        <f t="shared" si="6"/>
        <v>0</v>
      </c>
      <c r="S28" s="81">
        <f t="shared" si="6"/>
        <v>0</v>
      </c>
      <c r="T28" s="1"/>
      <c r="U28" s="1"/>
      <c r="V28" s="1"/>
      <c r="W28" s="1"/>
      <c r="X28" s="1"/>
      <c r="Y28" s="1"/>
      <c r="Z28" s="1"/>
      <c r="AA28" s="1"/>
      <c r="AB28" s="1"/>
      <c r="AC28" s="1"/>
      <c r="AD28" s="1"/>
      <c r="AE28" s="1"/>
      <c r="AF28" s="1"/>
      <c r="AG28" s="1"/>
    </row>
    <row r="29" spans="1:33" ht="14.75" x14ac:dyDescent="0.75">
      <c r="A29" s="59" t="str">
        <f t="shared" si="1"/>
        <v>L-FUSK</v>
      </c>
      <c r="B29" s="81">
        <f t="shared" ref="B29:S29" si="7">B8/B$21</f>
        <v>0</v>
      </c>
      <c r="C29" s="81">
        <f t="shared" si="7"/>
        <v>4.4318518518518521E-2</v>
      </c>
      <c r="D29" s="81">
        <f t="shared" si="7"/>
        <v>0</v>
      </c>
      <c r="E29" s="81">
        <f t="shared" si="7"/>
        <v>0</v>
      </c>
      <c r="F29" s="81">
        <f t="shared" si="7"/>
        <v>0</v>
      </c>
      <c r="G29" s="81">
        <f t="shared" si="7"/>
        <v>0</v>
      </c>
      <c r="H29" s="81">
        <f t="shared" si="7"/>
        <v>0</v>
      </c>
      <c r="I29" s="81">
        <f t="shared" si="7"/>
        <v>0</v>
      </c>
      <c r="J29" s="81">
        <f t="shared" si="7"/>
        <v>0</v>
      </c>
      <c r="K29" s="81">
        <f t="shared" si="7"/>
        <v>0</v>
      </c>
      <c r="L29" s="81">
        <f t="shared" si="7"/>
        <v>0</v>
      </c>
      <c r="M29" s="81">
        <f t="shared" si="7"/>
        <v>0</v>
      </c>
      <c r="N29" s="81">
        <f t="shared" si="7"/>
        <v>1.9019942725900862E-2</v>
      </c>
      <c r="O29" s="81">
        <f t="shared" si="7"/>
        <v>0</v>
      </c>
      <c r="P29" s="81">
        <f t="shared" si="7"/>
        <v>0.44724428138277245</v>
      </c>
      <c r="Q29" s="81">
        <f t="shared" si="7"/>
        <v>0.64675985459565677</v>
      </c>
      <c r="R29" s="81">
        <f t="shared" si="7"/>
        <v>0</v>
      </c>
      <c r="S29" s="81">
        <f t="shared" si="7"/>
        <v>0</v>
      </c>
      <c r="T29" s="1"/>
      <c r="U29" s="1"/>
      <c r="V29" s="1"/>
      <c r="W29" s="1"/>
      <c r="X29" s="1"/>
      <c r="Y29" s="1"/>
      <c r="Z29" s="1"/>
      <c r="AA29" s="1"/>
      <c r="AB29" s="1"/>
      <c r="AC29" s="1"/>
      <c r="AD29" s="1"/>
      <c r="AE29" s="1"/>
      <c r="AF29" s="1"/>
      <c r="AG29" s="1"/>
    </row>
    <row r="30" spans="1:33" ht="14.75" x14ac:dyDescent="0.75">
      <c r="A30" s="59" t="str">
        <f t="shared" si="1"/>
        <v>L-MSK</v>
      </c>
      <c r="B30" s="81">
        <f t="shared" ref="B30:S30" si="8">B9/B$21</f>
        <v>3.3283999999999994E-2</v>
      </c>
      <c r="C30" s="81">
        <f t="shared" si="8"/>
        <v>4.2888888888888898E-3</v>
      </c>
      <c r="D30" s="81">
        <f t="shared" si="8"/>
        <v>4.5304888888888888E-3</v>
      </c>
      <c r="E30" s="81">
        <f t="shared" si="8"/>
        <v>0</v>
      </c>
      <c r="F30" s="81">
        <f t="shared" si="8"/>
        <v>0</v>
      </c>
      <c r="G30" s="81">
        <f t="shared" si="8"/>
        <v>0</v>
      </c>
      <c r="H30" s="81">
        <f t="shared" si="8"/>
        <v>0</v>
      </c>
      <c r="I30" s="81">
        <f t="shared" si="8"/>
        <v>0</v>
      </c>
      <c r="J30" s="81">
        <f t="shared" si="8"/>
        <v>0</v>
      </c>
      <c r="K30" s="81">
        <f t="shared" si="8"/>
        <v>0</v>
      </c>
      <c r="L30" s="81">
        <f t="shared" si="8"/>
        <v>0</v>
      </c>
      <c r="M30" s="81">
        <f t="shared" si="8"/>
        <v>2.5800000000000003E-2</v>
      </c>
      <c r="N30" s="81">
        <f t="shared" si="8"/>
        <v>5.5985199780515332E-2</v>
      </c>
      <c r="O30" s="81">
        <f t="shared" si="8"/>
        <v>0</v>
      </c>
      <c r="P30" s="81">
        <f t="shared" si="8"/>
        <v>0</v>
      </c>
      <c r="Q30" s="81">
        <f t="shared" si="8"/>
        <v>0</v>
      </c>
      <c r="R30" s="81">
        <f t="shared" si="8"/>
        <v>0</v>
      </c>
      <c r="S30" s="81">
        <f t="shared" si="8"/>
        <v>0</v>
      </c>
      <c r="T30" s="1"/>
      <c r="U30" s="1"/>
      <c r="V30" s="1"/>
      <c r="W30" s="1"/>
      <c r="X30" s="1"/>
      <c r="Y30" s="1"/>
      <c r="Z30" s="1"/>
      <c r="AA30" s="1"/>
      <c r="AB30" s="1"/>
      <c r="AC30" s="1"/>
      <c r="AD30" s="1"/>
      <c r="AE30" s="1"/>
      <c r="AF30" s="1"/>
      <c r="AG30" s="1"/>
    </row>
    <row r="31" spans="1:33" ht="14.75" x14ac:dyDescent="0.75">
      <c r="A31" s="59" t="str">
        <f t="shared" si="1"/>
        <v>L-FSK</v>
      </c>
      <c r="B31" s="81">
        <f t="shared" ref="B31:S31" si="9">B10/B$21</f>
        <v>0</v>
      </c>
      <c r="C31" s="81">
        <f t="shared" si="9"/>
        <v>6.5762962962962962E-3</v>
      </c>
      <c r="D31" s="81">
        <f t="shared" si="9"/>
        <v>0</v>
      </c>
      <c r="E31" s="81">
        <f t="shared" si="9"/>
        <v>0</v>
      </c>
      <c r="F31" s="81">
        <f t="shared" si="9"/>
        <v>0</v>
      </c>
      <c r="G31" s="81">
        <f t="shared" si="9"/>
        <v>0</v>
      </c>
      <c r="H31" s="81">
        <f t="shared" si="9"/>
        <v>0</v>
      </c>
      <c r="I31" s="81">
        <f t="shared" si="9"/>
        <v>0</v>
      </c>
      <c r="J31" s="81">
        <f t="shared" si="9"/>
        <v>0</v>
      </c>
      <c r="K31" s="81">
        <f t="shared" si="9"/>
        <v>0</v>
      </c>
      <c r="L31" s="81">
        <f t="shared" si="9"/>
        <v>0</v>
      </c>
      <c r="M31" s="81">
        <f t="shared" si="9"/>
        <v>4.1999999999999997E-3</v>
      </c>
      <c r="N31" s="81">
        <f t="shared" si="9"/>
        <v>2.7329531304759153E-2</v>
      </c>
      <c r="O31" s="81">
        <f t="shared" si="9"/>
        <v>0</v>
      </c>
      <c r="P31" s="81">
        <f t="shared" si="9"/>
        <v>7.4022823609293659E-2</v>
      </c>
      <c r="Q31" s="81">
        <f t="shared" si="9"/>
        <v>5.879635041778699E-2</v>
      </c>
      <c r="R31" s="81">
        <f t="shared" si="9"/>
        <v>0</v>
      </c>
      <c r="S31" s="81">
        <f t="shared" si="9"/>
        <v>0</v>
      </c>
      <c r="T31" s="1"/>
      <c r="U31" s="1"/>
      <c r="V31" s="1"/>
      <c r="W31" s="1"/>
      <c r="X31" s="1"/>
      <c r="Y31" s="1"/>
      <c r="Z31" s="1"/>
      <c r="AA31" s="1"/>
      <c r="AB31" s="1"/>
      <c r="AC31" s="1"/>
      <c r="AD31" s="1"/>
      <c r="AE31" s="1"/>
      <c r="AF31" s="1"/>
      <c r="AG31" s="1"/>
    </row>
    <row r="32" spans="1:33" ht="14.75" x14ac:dyDescent="0.75">
      <c r="A32" s="59" t="str">
        <f t="shared" si="1"/>
        <v>K</v>
      </c>
      <c r="B32" s="81">
        <f t="shared" ref="B32:S32" si="10">B11/B$21</f>
        <v>0.37200000000000005</v>
      </c>
      <c r="C32" s="81">
        <f t="shared" si="10"/>
        <v>0.35476444444444438</v>
      </c>
      <c r="D32" s="81">
        <f t="shared" si="10"/>
        <v>0.26133333333333331</v>
      </c>
      <c r="E32" s="81">
        <f t="shared" si="10"/>
        <v>0</v>
      </c>
      <c r="F32" s="81">
        <f t="shared" si="10"/>
        <v>0</v>
      </c>
      <c r="G32" s="81">
        <f t="shared" si="10"/>
        <v>0</v>
      </c>
      <c r="H32" s="81">
        <f t="shared" si="10"/>
        <v>0</v>
      </c>
      <c r="I32" s="81">
        <f t="shared" si="10"/>
        <v>0</v>
      </c>
      <c r="J32" s="81">
        <f t="shared" si="10"/>
        <v>0</v>
      </c>
      <c r="K32" s="81">
        <f t="shared" si="10"/>
        <v>0.12244897959183673</v>
      </c>
      <c r="L32" s="81">
        <f t="shared" si="10"/>
        <v>4.0290250967973278E-2</v>
      </c>
      <c r="M32" s="81">
        <f t="shared" si="10"/>
        <v>0.25</v>
      </c>
      <c r="N32" s="81">
        <f t="shared" si="10"/>
        <v>0.15683294420648916</v>
      </c>
      <c r="O32" s="81">
        <f t="shared" si="10"/>
        <v>0</v>
      </c>
      <c r="P32" s="81">
        <f t="shared" si="10"/>
        <v>0</v>
      </c>
      <c r="Q32" s="81">
        <f t="shared" si="10"/>
        <v>0</v>
      </c>
      <c r="R32" s="81">
        <f t="shared" si="10"/>
        <v>0</v>
      </c>
      <c r="S32" s="81">
        <f t="shared" si="10"/>
        <v>0</v>
      </c>
      <c r="T32" s="1"/>
      <c r="U32" s="1"/>
      <c r="V32" s="1"/>
      <c r="W32" s="1"/>
      <c r="X32" s="1"/>
      <c r="Y32" s="1"/>
      <c r="Z32" s="1"/>
      <c r="AA32" s="1"/>
      <c r="AB32" s="1"/>
      <c r="AC32" s="1"/>
      <c r="AD32" s="1"/>
      <c r="AE32" s="1"/>
      <c r="AF32" s="1"/>
      <c r="AG32" s="1"/>
    </row>
    <row r="33" spans="1:33" ht="14.75" x14ac:dyDescent="0.75">
      <c r="A33" s="59" t="str">
        <f t="shared" si="1"/>
        <v>Poor</v>
      </c>
      <c r="B33" s="81">
        <f t="shared" ref="B33:S33" si="11">B12/B$21</f>
        <v>0</v>
      </c>
      <c r="C33" s="81">
        <f t="shared" si="11"/>
        <v>0</v>
      </c>
      <c r="D33" s="81">
        <f t="shared" si="11"/>
        <v>0</v>
      </c>
      <c r="E33" s="81">
        <f t="shared" si="11"/>
        <v>0</v>
      </c>
      <c r="F33" s="81">
        <f t="shared" si="11"/>
        <v>0.80161943319838092</v>
      </c>
      <c r="G33" s="81">
        <f t="shared" si="11"/>
        <v>0.41422594142259467</v>
      </c>
      <c r="H33" s="81">
        <f t="shared" si="11"/>
        <v>0.79333614508646177</v>
      </c>
      <c r="I33" s="81">
        <f t="shared" si="11"/>
        <v>0.8016194331983808</v>
      </c>
      <c r="J33" s="81">
        <f t="shared" si="11"/>
        <v>8.1840727473133229E-2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1.2663973787892763E-2</v>
      </c>
      <c r="T33" s="1"/>
      <c r="U33" s="1"/>
      <c r="V33" s="1"/>
      <c r="W33" s="1"/>
      <c r="X33" s="1"/>
      <c r="Y33" s="1"/>
      <c r="Z33" s="1"/>
      <c r="AA33" s="1"/>
      <c r="AB33" s="1"/>
      <c r="AC33" s="1"/>
      <c r="AD33" s="1"/>
      <c r="AE33" s="1"/>
      <c r="AF33" s="1"/>
      <c r="AG33" s="1"/>
    </row>
    <row r="34" spans="1:33" ht="14.75" x14ac:dyDescent="0.75">
      <c r="A34" s="59" t="str">
        <f t="shared" si="1"/>
        <v>Nonpoor</v>
      </c>
      <c r="B34" s="81">
        <f t="shared" ref="B34:S34" si="12">B13/B$21</f>
        <v>0</v>
      </c>
      <c r="C34" s="81">
        <f t="shared" si="12"/>
        <v>0</v>
      </c>
      <c r="D34" s="81">
        <f t="shared" si="12"/>
        <v>0</v>
      </c>
      <c r="E34" s="81">
        <f t="shared" si="12"/>
        <v>0</v>
      </c>
      <c r="F34" s="81">
        <f t="shared" si="12"/>
        <v>0.19838056680161911</v>
      </c>
      <c r="G34" s="81">
        <f t="shared" si="12"/>
        <v>0.58577405857740539</v>
      </c>
      <c r="H34" s="81">
        <f t="shared" si="12"/>
        <v>0.20666385491353828</v>
      </c>
      <c r="I34" s="81">
        <f t="shared" si="12"/>
        <v>0.19838056680161914</v>
      </c>
      <c r="J34" s="81">
        <f t="shared" si="12"/>
        <v>0.9181592725268668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0</v>
      </c>
      <c r="T34" s="1"/>
      <c r="U34" s="1"/>
      <c r="V34" s="1"/>
      <c r="W34" s="1"/>
      <c r="X34" s="1"/>
      <c r="Y34" s="1"/>
      <c r="Z34" s="1"/>
      <c r="AA34" s="1"/>
      <c r="AB34" s="1"/>
      <c r="AC34" s="1"/>
      <c r="AD34" s="1"/>
      <c r="AE34" s="1"/>
      <c r="AF34" s="1"/>
      <c r="AG34" s="1"/>
    </row>
    <row r="35" spans="1:33" ht="14.75" x14ac:dyDescent="0.75">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0</v>
      </c>
      <c r="M35" s="81">
        <f t="shared" si="13"/>
        <v>0</v>
      </c>
      <c r="N35" s="81">
        <f t="shared" si="13"/>
        <v>0</v>
      </c>
      <c r="O35" s="81">
        <f t="shared" si="13"/>
        <v>9.103408325007234E-2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ht="14.75" x14ac:dyDescent="0.75">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1.9916189898667516E-2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ht="14.75" x14ac:dyDescent="0.75">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0.98733602621210725</v>
      </c>
      <c r="T37" s="1"/>
      <c r="U37" s="1"/>
      <c r="V37" s="1"/>
      <c r="W37" s="1"/>
      <c r="X37" s="1"/>
      <c r="Y37" s="1"/>
      <c r="Z37" s="1"/>
      <c r="AA37" s="1"/>
      <c r="AB37" s="1"/>
      <c r="AC37" s="1"/>
      <c r="AD37" s="1"/>
      <c r="AE37" s="1"/>
      <c r="AF37" s="1"/>
      <c r="AG37" s="1"/>
    </row>
    <row r="38" spans="1:33" ht="14.75" x14ac:dyDescent="0.75">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9.0185643328094728E-2</v>
      </c>
      <c r="P38" s="81">
        <f t="shared" si="16"/>
        <v>0</v>
      </c>
      <c r="Q38" s="81">
        <f t="shared" si="16"/>
        <v>0</v>
      </c>
      <c r="R38" s="81">
        <f t="shared" si="16"/>
        <v>1</v>
      </c>
      <c r="S38" s="81">
        <f t="shared" si="16"/>
        <v>0</v>
      </c>
      <c r="T38" s="1"/>
      <c r="U38" s="1"/>
      <c r="V38" s="1"/>
      <c r="W38" s="1"/>
      <c r="X38" s="1"/>
      <c r="Y38" s="1"/>
      <c r="Z38" s="1"/>
      <c r="AA38" s="1"/>
      <c r="AB38" s="1"/>
      <c r="AC38" s="1"/>
      <c r="AD38" s="1"/>
      <c r="AE38" s="1"/>
      <c r="AF38" s="1"/>
      <c r="AG38" s="1"/>
    </row>
    <row r="39" spans="1:33" ht="14.75" x14ac:dyDescent="0.75">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4.3265142811652696E-2</v>
      </c>
      <c r="Q39" s="81">
        <f t="shared" si="17"/>
        <v>0</v>
      </c>
      <c r="R39" s="81">
        <f t="shared" si="17"/>
        <v>0</v>
      </c>
      <c r="S39" s="81">
        <f t="shared" si="17"/>
        <v>0</v>
      </c>
      <c r="T39" s="1"/>
      <c r="U39" s="1"/>
      <c r="V39" s="1"/>
      <c r="W39" s="1"/>
      <c r="X39" s="1"/>
      <c r="Y39" s="1"/>
      <c r="Z39" s="1"/>
      <c r="AA39" s="1"/>
      <c r="AB39" s="1"/>
      <c r="AC39" s="1"/>
      <c r="AD39" s="1"/>
      <c r="AE39" s="1"/>
      <c r="AF39" s="1"/>
      <c r="AG39" s="1"/>
    </row>
    <row r="40" spans="1:33" ht="14.75" x14ac:dyDescent="0.75">
      <c r="A40" s="59" t="str">
        <f t="shared" si="1"/>
        <v>G</v>
      </c>
      <c r="B40" s="81">
        <f t="shared" ref="B40:S40" si="18">B19/B$21</f>
        <v>0</v>
      </c>
      <c r="C40" s="81">
        <f t="shared" si="18"/>
        <v>2.4446666666666665E-2</v>
      </c>
      <c r="D40" s="81">
        <f t="shared" si="18"/>
        <v>3.2993777777777775E-2</v>
      </c>
      <c r="E40" s="81">
        <f t="shared" si="18"/>
        <v>0</v>
      </c>
      <c r="F40" s="81">
        <f t="shared" si="18"/>
        <v>0</v>
      </c>
      <c r="G40" s="81">
        <f t="shared" si="18"/>
        <v>0</v>
      </c>
      <c r="H40" s="81">
        <f t="shared" si="18"/>
        <v>0</v>
      </c>
      <c r="I40" s="81">
        <f t="shared" si="18"/>
        <v>0</v>
      </c>
      <c r="J40" s="81">
        <f t="shared" si="18"/>
        <v>0</v>
      </c>
      <c r="K40" s="81">
        <f t="shared" si="18"/>
        <v>1.020408163265306E-2</v>
      </c>
      <c r="L40" s="81">
        <f t="shared" si="18"/>
        <v>2.8162885426613318E-3</v>
      </c>
      <c r="M40" s="81">
        <f t="shared" si="18"/>
        <v>3.4500000000000003E-2</v>
      </c>
      <c r="N40" s="81">
        <f t="shared" si="18"/>
        <v>5.3361043643794986E-2</v>
      </c>
      <c r="O40" s="81">
        <f t="shared" si="18"/>
        <v>0</v>
      </c>
      <c r="P40" s="81">
        <f t="shared" si="18"/>
        <v>0</v>
      </c>
      <c r="Q40" s="81">
        <f t="shared" si="18"/>
        <v>0</v>
      </c>
      <c r="R40" s="81">
        <f t="shared" si="18"/>
        <v>0</v>
      </c>
      <c r="S40" s="81">
        <f t="shared" si="18"/>
        <v>0</v>
      </c>
      <c r="T40" s="1"/>
      <c r="U40" s="1"/>
      <c r="V40" s="1"/>
      <c r="W40" s="1"/>
      <c r="X40" s="1"/>
      <c r="Y40" s="1"/>
      <c r="Z40" s="1"/>
      <c r="AA40" s="1"/>
      <c r="AB40" s="1"/>
      <c r="AC40" s="1"/>
      <c r="AD40" s="1"/>
      <c r="AE40" s="1"/>
      <c r="AF40" s="1"/>
      <c r="AG40" s="1"/>
    </row>
    <row r="41" spans="1:33" ht="14.75" x14ac:dyDescent="0.75">
      <c r="A41" s="59" t="str">
        <f t="shared" si="1"/>
        <v>ROW</v>
      </c>
      <c r="B41" s="81">
        <f t="shared" ref="B41:S41" si="19">B20/B$21</f>
        <v>0.184004</v>
      </c>
      <c r="C41" s="81">
        <f t="shared" si="19"/>
        <v>0.31642074074074078</v>
      </c>
      <c r="D41" s="81">
        <f t="shared" si="19"/>
        <v>0.52662008888888889</v>
      </c>
      <c r="E41" s="81">
        <f t="shared" si="19"/>
        <v>1</v>
      </c>
      <c r="F41" s="81">
        <f t="shared" si="19"/>
        <v>0</v>
      </c>
      <c r="G41" s="81">
        <f t="shared" si="19"/>
        <v>0</v>
      </c>
      <c r="H41" s="81">
        <f t="shared" si="19"/>
        <v>0</v>
      </c>
      <c r="I41" s="81">
        <f t="shared" si="19"/>
        <v>0</v>
      </c>
      <c r="J41" s="81">
        <f t="shared" si="19"/>
        <v>0</v>
      </c>
      <c r="K41" s="81">
        <f t="shared" si="19"/>
        <v>0.12244897959183675</v>
      </c>
      <c r="L41" s="81">
        <f t="shared" si="19"/>
        <v>0.23166894306584637</v>
      </c>
      <c r="M41" s="81">
        <f t="shared" si="19"/>
        <v>0.31469999999999998</v>
      </c>
      <c r="N41" s="81">
        <f t="shared" si="19"/>
        <v>0.40421244555378416</v>
      </c>
      <c r="O41" s="81">
        <f t="shared" si="19"/>
        <v>0</v>
      </c>
      <c r="P41" s="81">
        <f t="shared" si="19"/>
        <v>0.10656118787556426</v>
      </c>
      <c r="Q41" s="81">
        <f t="shared" si="19"/>
        <v>4.620428976213141E-4</v>
      </c>
      <c r="R41" s="81">
        <f t="shared" si="19"/>
        <v>0</v>
      </c>
      <c r="S41" s="81">
        <f t="shared" si="19"/>
        <v>0</v>
      </c>
      <c r="T41" s="1"/>
      <c r="U41" s="1"/>
      <c r="V41" s="1"/>
      <c r="W41" s="1"/>
      <c r="X41" s="1"/>
      <c r="Y41" s="1"/>
      <c r="Z41" s="1"/>
      <c r="AA41" s="1"/>
      <c r="AB41" s="1"/>
      <c r="AC41" s="1"/>
      <c r="AD41" s="1"/>
      <c r="AE41" s="1"/>
      <c r="AF41" s="1"/>
      <c r="AG41" s="1"/>
    </row>
    <row r="42" spans="1:33" ht="14.75" x14ac:dyDescent="0.75">
      <c r="A42" s="59" t="s">
        <v>336</v>
      </c>
      <c r="B42" s="81">
        <f t="shared" ref="B42:S42" si="20">SUM(B24:B41)</f>
        <v>0.98116000000000003</v>
      </c>
      <c r="C42" s="81">
        <f t="shared" si="20"/>
        <v>0.98584666666666654</v>
      </c>
      <c r="D42" s="81">
        <f t="shared" si="20"/>
        <v>0.97931733333333337</v>
      </c>
      <c r="E42" s="81">
        <f t="shared" si="20"/>
        <v>1</v>
      </c>
      <c r="F42" s="81">
        <f t="shared" si="20"/>
        <v>1</v>
      </c>
      <c r="G42" s="81">
        <f t="shared" si="20"/>
        <v>1</v>
      </c>
      <c r="H42" s="81">
        <f t="shared" si="20"/>
        <v>1</v>
      </c>
      <c r="I42" s="81">
        <f t="shared" si="20"/>
        <v>1</v>
      </c>
      <c r="J42" s="81">
        <f t="shared" si="20"/>
        <v>1</v>
      </c>
      <c r="K42" s="81">
        <f t="shared" si="20"/>
        <v>1</v>
      </c>
      <c r="L42" s="81">
        <f t="shared" si="20"/>
        <v>1</v>
      </c>
      <c r="M42" s="81">
        <f t="shared" si="20"/>
        <v>0.98199999999999987</v>
      </c>
      <c r="N42" s="81">
        <f t="shared" si="20"/>
        <v>0.96281654164217145</v>
      </c>
      <c r="O42" s="81">
        <f t="shared" si="20"/>
        <v>0.99999999999999989</v>
      </c>
      <c r="P42" s="81">
        <f t="shared" si="20"/>
        <v>1</v>
      </c>
      <c r="Q42" s="81">
        <f t="shared" si="20"/>
        <v>1</v>
      </c>
      <c r="R42" s="81">
        <f t="shared" si="20"/>
        <v>1</v>
      </c>
      <c r="S42" s="81">
        <f t="shared" si="20"/>
        <v>1</v>
      </c>
      <c r="T42" s="1"/>
      <c r="U42" s="1"/>
      <c r="V42" s="1"/>
      <c r="W42" s="1"/>
      <c r="X42" s="1"/>
      <c r="Y42" s="1"/>
      <c r="Z42" s="1"/>
      <c r="AA42" s="1"/>
      <c r="AB42" s="1"/>
      <c r="AC42" s="1"/>
      <c r="AD42" s="1"/>
      <c r="AE42" s="1"/>
      <c r="AF42" s="1"/>
      <c r="AG42" s="1"/>
    </row>
    <row r="43" spans="1:33" ht="14.75" x14ac:dyDescent="0.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ht="14.75" x14ac:dyDescent="0.75">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ht="14.75" x14ac:dyDescent="0.75">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ht="14.75" x14ac:dyDescent="0.75">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ht="14.75" x14ac:dyDescent="0.75">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ht="14.75" x14ac:dyDescent="0.75">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ht="14.75" x14ac:dyDescent="0.75">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ht="14.75" x14ac:dyDescent="0.75">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ht="14.75" x14ac:dyDescent="0.75">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ht="14.75" x14ac:dyDescent="0.75">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ht="14.75" x14ac:dyDescent="0.75">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ht="14.75" x14ac:dyDescent="0.75">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ht="14.75" x14ac:dyDescent="0.75">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ht="14.75" x14ac:dyDescent="0.75">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ht="14.75" x14ac:dyDescent="0.75">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ht="14.75" x14ac:dyDescent="0.75">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ht="14.75" x14ac:dyDescent="0.75">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ht="14.75" x14ac:dyDescent="0.75">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ht="14.75" x14ac:dyDescent="0.75">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ht="14.75" x14ac:dyDescent="0.75">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ht="14.75" x14ac:dyDescent="0.75">
      <c r="A63" s="59" t="str">
        <f t="shared" ref="A63:A78" si="24">A45</f>
        <v>Ag</v>
      </c>
      <c r="B63" s="81">
        <f t="shared" ref="B63:Q63" si="25">B45-B24</f>
        <v>0.96860000000000002</v>
      </c>
      <c r="C63" s="81">
        <f t="shared" si="25"/>
        <v>-4.2888888888888881E-3</v>
      </c>
      <c r="D63" s="81">
        <f t="shared" si="25"/>
        <v>0</v>
      </c>
      <c r="E63" s="81">
        <f t="shared" si="25"/>
        <v>0</v>
      </c>
      <c r="F63" s="81">
        <f t="shared" si="25"/>
        <v>0</v>
      </c>
      <c r="G63" s="81">
        <f t="shared" si="25"/>
        <v>0</v>
      </c>
      <c r="H63" s="81">
        <f t="shared" si="25"/>
        <v>0</v>
      </c>
      <c r="I63" s="81">
        <f t="shared" si="25"/>
        <v>0</v>
      </c>
      <c r="J63" s="81">
        <f t="shared" si="25"/>
        <v>0</v>
      </c>
      <c r="K63" s="81">
        <f t="shared" si="25"/>
        <v>-7.1428571428571425E-2</v>
      </c>
      <c r="L63" s="81">
        <f t="shared" si="25"/>
        <v>-2.0145125483986639E-2</v>
      </c>
      <c r="M63" s="81">
        <f t="shared" si="25"/>
        <v>-8.2500000000000004E-3</v>
      </c>
      <c r="N63" s="81">
        <f t="shared" si="25"/>
        <v>-2.1106630329498065E-2</v>
      </c>
      <c r="O63" s="81">
        <f t="shared" si="25"/>
        <v>0</v>
      </c>
      <c r="P63" s="81">
        <f t="shared" si="25"/>
        <v>0</v>
      </c>
      <c r="Q63" s="81">
        <f t="shared" si="25"/>
        <v>0</v>
      </c>
      <c r="R63" s="82"/>
      <c r="S63" s="1"/>
      <c r="T63" s="1"/>
      <c r="U63" s="1"/>
      <c r="V63" s="1"/>
      <c r="W63" s="1"/>
      <c r="X63" s="1"/>
      <c r="Y63" s="1"/>
      <c r="Z63" s="1"/>
      <c r="AA63" s="1"/>
      <c r="AB63" s="1"/>
      <c r="AC63" s="1"/>
      <c r="AD63" s="1"/>
      <c r="AE63" s="1"/>
      <c r="AF63" s="1"/>
      <c r="AG63" s="1"/>
    </row>
    <row r="64" spans="1:33" ht="14.75" x14ac:dyDescent="0.75">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-0.39229696152019489</v>
      </c>
      <c r="P64" s="81">
        <f t="shared" si="26"/>
        <v>0</v>
      </c>
      <c r="Q64" s="81">
        <f t="shared" si="26"/>
        <v>0</v>
      </c>
      <c r="R64" s="82"/>
      <c r="S64" s="1"/>
      <c r="T64" s="1"/>
      <c r="U64" s="1"/>
      <c r="V64" s="1"/>
      <c r="W64" s="1"/>
      <c r="X64" s="1"/>
      <c r="Y64" s="1"/>
      <c r="Z64" s="1"/>
      <c r="AA64" s="1"/>
      <c r="AB64" s="1"/>
      <c r="AC64" s="1"/>
      <c r="AD64" s="1"/>
      <c r="AE64" s="1"/>
      <c r="AF64" s="1"/>
      <c r="AG64" s="1"/>
    </row>
    <row r="65" spans="1:33" ht="14.75" x14ac:dyDescent="0.75">
      <c r="A65" s="59" t="str">
        <f t="shared" si="24"/>
        <v>Nag</v>
      </c>
      <c r="B65" s="81">
        <f t="shared" ref="B65:Q65" si="27">B47-B26</f>
        <v>-0.20661199999999996</v>
      </c>
      <c r="C65" s="81">
        <f t="shared" si="27"/>
        <v>-0.18356444444444442</v>
      </c>
      <c r="D65" s="81">
        <f t="shared" si="27"/>
        <v>0.9231786666666667</v>
      </c>
      <c r="E65" s="81">
        <f t="shared" si="27"/>
        <v>0</v>
      </c>
      <c r="F65" s="81">
        <f t="shared" si="27"/>
        <v>0</v>
      </c>
      <c r="G65" s="81">
        <f t="shared" si="27"/>
        <v>0</v>
      </c>
      <c r="H65" s="81">
        <f t="shared" si="27"/>
        <v>0</v>
      </c>
      <c r="I65" s="81">
        <f t="shared" si="27"/>
        <v>0</v>
      </c>
      <c r="J65" s="81">
        <f t="shared" si="27"/>
        <v>0</v>
      </c>
      <c r="K65" s="81">
        <f t="shared" si="27"/>
        <v>-0.60204081632653061</v>
      </c>
      <c r="L65" s="81">
        <f t="shared" si="27"/>
        <v>-0.7050793919395324</v>
      </c>
      <c r="M65" s="81">
        <f t="shared" si="27"/>
        <v>-0.31274999999999997</v>
      </c>
      <c r="N65" s="81">
        <f t="shared" si="27"/>
        <v>-0.16335169636908264</v>
      </c>
      <c r="O65" s="81">
        <f t="shared" si="27"/>
        <v>-0.40656712200297046</v>
      </c>
      <c r="P65" s="81">
        <f t="shared" si="27"/>
        <v>-0.29642714808994569</v>
      </c>
      <c r="Q65" s="81">
        <f t="shared" si="27"/>
        <v>-0.29398175208893496</v>
      </c>
      <c r="R65" s="82"/>
      <c r="S65" s="1"/>
      <c r="T65" s="1"/>
      <c r="U65" s="1"/>
      <c r="V65" s="1"/>
      <c r="W65" s="1"/>
      <c r="X65" s="1"/>
      <c r="Y65" s="1"/>
      <c r="Z65" s="1"/>
      <c r="AA65" s="1"/>
      <c r="AB65" s="1"/>
      <c r="AC65" s="1"/>
      <c r="AD65" s="1"/>
      <c r="AE65" s="1"/>
      <c r="AF65" s="1"/>
      <c r="AG65" s="1"/>
    </row>
    <row r="66" spans="1:33" ht="14.75" x14ac:dyDescent="0.75">
      <c r="A66" s="59" t="str">
        <f t="shared" si="24"/>
        <v>NatRes</v>
      </c>
      <c r="B66" s="81">
        <f t="shared" ref="B66:Q66" si="28">B48-B27</f>
        <v>0</v>
      </c>
      <c r="C66" s="81">
        <f t="shared" si="28"/>
        <v>0</v>
      </c>
      <c r="D66" s="81">
        <f t="shared" si="28"/>
        <v>0</v>
      </c>
      <c r="E66" s="81">
        <f t="shared" si="28"/>
        <v>1</v>
      </c>
      <c r="F66" s="81">
        <f t="shared" si="28"/>
        <v>0</v>
      </c>
      <c r="G66" s="81">
        <f t="shared" si="28"/>
        <v>0</v>
      </c>
      <c r="H66" s="81">
        <f t="shared" si="28"/>
        <v>0</v>
      </c>
      <c r="I66" s="81">
        <f t="shared" si="28"/>
        <v>0</v>
      </c>
      <c r="J66" s="81">
        <f t="shared" si="28"/>
        <v>0</v>
      </c>
      <c r="K66" s="81">
        <f t="shared" si="28"/>
        <v>-7.1428571428571425E-2</v>
      </c>
      <c r="L66" s="81">
        <f t="shared" si="28"/>
        <v>0</v>
      </c>
      <c r="M66" s="81">
        <f t="shared" si="28"/>
        <v>0</v>
      </c>
      <c r="N66" s="81">
        <f t="shared" si="28"/>
        <v>-1.3823895747599453E-3</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ht="14.75" x14ac:dyDescent="0.75">
      <c r="A67" s="59" t="str">
        <f t="shared" si="24"/>
        <v>L-MUSK</v>
      </c>
      <c r="B67" s="81">
        <f t="shared" ref="B67:Q67" si="29">B49-B28</f>
        <v>-0.15385999999999997</v>
      </c>
      <c r="C67" s="81">
        <f t="shared" si="29"/>
        <v>-4.7177777777777777E-2</v>
      </c>
      <c r="D67" s="81">
        <f t="shared" si="29"/>
        <v>-7.7018311111111112E-2</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-3.1800000000000002E-2</v>
      </c>
      <c r="N67" s="81">
        <f t="shared" si="29"/>
        <v>-6.023471815358715E-2</v>
      </c>
      <c r="O67" s="81">
        <f t="shared" si="29"/>
        <v>0</v>
      </c>
      <c r="P67" s="81">
        <f t="shared" si="29"/>
        <v>-3.2479416230771253E-2</v>
      </c>
      <c r="Q67" s="81">
        <f t="shared" si="29"/>
        <v>0</v>
      </c>
      <c r="R67" s="1"/>
      <c r="S67" s="1"/>
      <c r="T67" s="1"/>
      <c r="U67" s="1"/>
      <c r="V67" s="1"/>
      <c r="W67" s="1"/>
      <c r="X67" s="1"/>
      <c r="Y67" s="1"/>
      <c r="Z67" s="1"/>
      <c r="AA67" s="1"/>
      <c r="AB67" s="1"/>
      <c r="AC67" s="1"/>
      <c r="AD67" s="1"/>
      <c r="AE67" s="1"/>
      <c r="AF67" s="1"/>
      <c r="AG67" s="1"/>
    </row>
    <row r="68" spans="1:33" ht="14.75" x14ac:dyDescent="0.75">
      <c r="A68" s="59" t="str">
        <f t="shared" si="24"/>
        <v>L-FUSK</v>
      </c>
      <c r="B68" s="81">
        <f t="shared" ref="B68:Q68" si="30">B50-B29</f>
        <v>0</v>
      </c>
      <c r="C68" s="81">
        <f t="shared" si="30"/>
        <v>-4.4318518518518521E-2</v>
      </c>
      <c r="D68" s="81">
        <f t="shared" si="30"/>
        <v>0</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0</v>
      </c>
      <c r="N68" s="81">
        <f t="shared" si="30"/>
        <v>-1.9019942725900862E-2</v>
      </c>
      <c r="O68" s="81">
        <f t="shared" si="30"/>
        <v>0</v>
      </c>
      <c r="P68" s="81">
        <f t="shared" si="30"/>
        <v>-0.44724428138277245</v>
      </c>
      <c r="Q68" s="81">
        <f t="shared" si="30"/>
        <v>-0.64675985459565677</v>
      </c>
      <c r="R68" s="1"/>
      <c r="S68" s="1"/>
      <c r="T68" s="1"/>
      <c r="U68" s="1"/>
      <c r="V68" s="1"/>
      <c r="W68" s="1"/>
      <c r="X68" s="1"/>
      <c r="Y68" s="1"/>
      <c r="Z68" s="1"/>
      <c r="AA68" s="1"/>
      <c r="AB68" s="1"/>
      <c r="AC68" s="1"/>
      <c r="AD68" s="1"/>
      <c r="AE68" s="1"/>
      <c r="AF68" s="1"/>
      <c r="AG68" s="1"/>
    </row>
    <row r="69" spans="1:33" ht="14.75" x14ac:dyDescent="0.75">
      <c r="A69" s="59" t="str">
        <f t="shared" si="24"/>
        <v>L-MSK</v>
      </c>
      <c r="B69" s="81">
        <f t="shared" ref="B69:Q69" si="31">B51-B30</f>
        <v>-3.3283999999999994E-2</v>
      </c>
      <c r="C69" s="81">
        <f t="shared" si="31"/>
        <v>-4.2888888888888898E-3</v>
      </c>
      <c r="D69" s="81">
        <f t="shared" si="31"/>
        <v>-4.5304888888888888E-3</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-2.5800000000000003E-2</v>
      </c>
      <c r="N69" s="81">
        <f t="shared" si="31"/>
        <v>-5.5985199780515332E-2</v>
      </c>
      <c r="O69" s="81">
        <f t="shared" si="31"/>
        <v>0</v>
      </c>
      <c r="P69" s="81">
        <f t="shared" si="31"/>
        <v>0</v>
      </c>
      <c r="Q69" s="81">
        <f t="shared" si="31"/>
        <v>0</v>
      </c>
      <c r="R69" s="1"/>
      <c r="S69" s="1"/>
      <c r="T69" s="1"/>
      <c r="U69" s="1"/>
      <c r="V69" s="1"/>
      <c r="W69" s="1"/>
      <c r="X69" s="1"/>
      <c r="Y69" s="1"/>
      <c r="Z69" s="1"/>
      <c r="AA69" s="1"/>
      <c r="AB69" s="1"/>
      <c r="AC69" s="1"/>
      <c r="AD69" s="1"/>
      <c r="AE69" s="1"/>
      <c r="AF69" s="1"/>
      <c r="AG69" s="1"/>
    </row>
    <row r="70" spans="1:33" ht="14.75" x14ac:dyDescent="0.75">
      <c r="A70" s="59" t="str">
        <f t="shared" si="24"/>
        <v>L-FSK</v>
      </c>
      <c r="B70" s="81">
        <f t="shared" ref="B70:Q70" si="32">B52-B31</f>
        <v>0</v>
      </c>
      <c r="C70" s="81">
        <f t="shared" si="32"/>
        <v>-6.5762962962962962E-3</v>
      </c>
      <c r="D70" s="81">
        <f t="shared" si="32"/>
        <v>0</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-4.1999999999999997E-3</v>
      </c>
      <c r="N70" s="81">
        <f t="shared" si="32"/>
        <v>-2.7329531304759153E-2</v>
      </c>
      <c r="O70" s="81">
        <f t="shared" si="32"/>
        <v>0</v>
      </c>
      <c r="P70" s="81">
        <f t="shared" si="32"/>
        <v>-7.4022823609293659E-2</v>
      </c>
      <c r="Q70" s="81">
        <f t="shared" si="32"/>
        <v>-5.879635041778699E-2</v>
      </c>
      <c r="R70" s="1"/>
      <c r="S70" s="1"/>
      <c r="T70" s="1"/>
      <c r="U70" s="1"/>
      <c r="V70" s="1"/>
      <c r="W70" s="1"/>
      <c r="X70" s="1"/>
      <c r="Y70" s="1"/>
      <c r="Z70" s="1"/>
      <c r="AA70" s="1"/>
      <c r="AB70" s="1"/>
      <c r="AC70" s="1"/>
      <c r="AD70" s="1"/>
      <c r="AE70" s="1"/>
      <c r="AF70" s="1"/>
      <c r="AG70" s="1"/>
    </row>
    <row r="71" spans="1:33" ht="14.75" x14ac:dyDescent="0.75">
      <c r="A71" s="59" t="str">
        <f t="shared" si="24"/>
        <v>K</v>
      </c>
      <c r="B71" s="81">
        <f t="shared" ref="B71:Q71" si="33">B53-B32</f>
        <v>-0.37200000000000005</v>
      </c>
      <c r="C71" s="81">
        <f t="shared" si="33"/>
        <v>-0.35476444444444438</v>
      </c>
      <c r="D71" s="81">
        <f t="shared" si="33"/>
        <v>-0.26133333333333331</v>
      </c>
      <c r="E71" s="81">
        <f t="shared" si="33"/>
        <v>0</v>
      </c>
      <c r="F71" s="81">
        <f t="shared" si="33"/>
        <v>0</v>
      </c>
      <c r="G71" s="81">
        <f t="shared" si="33"/>
        <v>0</v>
      </c>
      <c r="H71" s="81">
        <f t="shared" si="33"/>
        <v>0</v>
      </c>
      <c r="I71" s="81">
        <f t="shared" si="33"/>
        <v>0</v>
      </c>
      <c r="J71" s="81">
        <f t="shared" si="33"/>
        <v>1</v>
      </c>
      <c r="K71" s="81">
        <f t="shared" si="33"/>
        <v>-0.12244897959183673</v>
      </c>
      <c r="L71" s="81">
        <f t="shared" si="33"/>
        <v>-4.0290250967973278E-2</v>
      </c>
      <c r="M71" s="81">
        <f t="shared" si="33"/>
        <v>-0.25</v>
      </c>
      <c r="N71" s="81">
        <f t="shared" si="33"/>
        <v>-0.15683294420648916</v>
      </c>
      <c r="O71" s="81">
        <f t="shared" si="33"/>
        <v>0</v>
      </c>
      <c r="P71" s="81">
        <f t="shared" si="33"/>
        <v>0</v>
      </c>
      <c r="Q71" s="81">
        <f t="shared" si="33"/>
        <v>0</v>
      </c>
      <c r="R71" s="1"/>
      <c r="S71" s="1"/>
      <c r="T71" s="1"/>
      <c r="U71" s="1"/>
      <c r="V71" s="1"/>
      <c r="W71" s="1"/>
      <c r="X71" s="1"/>
      <c r="Y71" s="1"/>
      <c r="Z71" s="1"/>
      <c r="AA71" s="1"/>
      <c r="AB71" s="1"/>
      <c r="AC71" s="1"/>
      <c r="AD71" s="1"/>
      <c r="AE71" s="1"/>
      <c r="AF71" s="1"/>
      <c r="AG71" s="1"/>
    </row>
    <row r="72" spans="1:33" ht="14.75" x14ac:dyDescent="0.75">
      <c r="A72" s="59" t="str">
        <f t="shared" si="24"/>
        <v>Poor</v>
      </c>
      <c r="B72" s="81">
        <f t="shared" ref="B72:Q72" si="34">B54-B33</f>
        <v>0</v>
      </c>
      <c r="C72" s="81">
        <f t="shared" si="34"/>
        <v>0</v>
      </c>
      <c r="D72" s="81">
        <f t="shared" si="34"/>
        <v>0</v>
      </c>
      <c r="E72" s="81">
        <f t="shared" si="34"/>
        <v>0</v>
      </c>
      <c r="F72" s="81">
        <f t="shared" si="34"/>
        <v>-0.80161943319838092</v>
      </c>
      <c r="G72" s="81">
        <f t="shared" si="34"/>
        <v>-0.41422594142259467</v>
      </c>
      <c r="H72" s="81">
        <f t="shared" si="34"/>
        <v>-0.79333614508646177</v>
      </c>
      <c r="I72" s="81">
        <f t="shared" si="34"/>
        <v>-0.8016194331983808</v>
      </c>
      <c r="J72" s="81">
        <f t="shared" si="34"/>
        <v>-8.1840727473133229E-2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ht="14.75" x14ac:dyDescent="0.75">
      <c r="A73" s="59" t="str">
        <f t="shared" si="24"/>
        <v>Nonpoor</v>
      </c>
      <c r="B73" s="81">
        <f t="shared" ref="B73:Q73" si="35">B55-B34</f>
        <v>0</v>
      </c>
      <c r="C73" s="81">
        <f t="shared" si="35"/>
        <v>0</v>
      </c>
      <c r="D73" s="81">
        <f t="shared" si="35"/>
        <v>0</v>
      </c>
      <c r="E73" s="81">
        <f t="shared" si="35"/>
        <v>0</v>
      </c>
      <c r="F73" s="81">
        <f t="shared" si="35"/>
        <v>-0.19838056680161911</v>
      </c>
      <c r="G73" s="81">
        <f t="shared" si="35"/>
        <v>-0.58577405857740539</v>
      </c>
      <c r="H73" s="81">
        <f t="shared" si="35"/>
        <v>-0.20666385491353828</v>
      </c>
      <c r="I73" s="81">
        <f t="shared" si="35"/>
        <v>-0.19838056680161914</v>
      </c>
      <c r="J73" s="81">
        <f t="shared" si="35"/>
        <v>-0.9181592725268668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ht="14.75" x14ac:dyDescent="0.75">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0</v>
      </c>
      <c r="M74" s="81">
        <f t="shared" si="36"/>
        <v>1</v>
      </c>
      <c r="N74" s="81">
        <f t="shared" si="36"/>
        <v>0</v>
      </c>
      <c r="O74" s="81">
        <f t="shared" si="36"/>
        <v>-9.103408325007234E-2</v>
      </c>
      <c r="P74" s="81">
        <f t="shared" si="36"/>
        <v>0</v>
      </c>
      <c r="Q74" s="81">
        <f t="shared" si="36"/>
        <v>0</v>
      </c>
      <c r="R74" s="1"/>
      <c r="S74" s="1"/>
      <c r="T74" s="1"/>
      <c r="U74" s="1"/>
      <c r="V74" s="1"/>
      <c r="W74" s="1"/>
      <c r="X74" s="1"/>
      <c r="Y74" s="1"/>
      <c r="Z74" s="1"/>
      <c r="AA74" s="1"/>
      <c r="AB74" s="1"/>
      <c r="AC74" s="1"/>
      <c r="AD74" s="1"/>
      <c r="AE74" s="1"/>
      <c r="AF74" s="1"/>
      <c r="AG74" s="1"/>
    </row>
    <row r="75" spans="1:33" ht="14.75" x14ac:dyDescent="0.75">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-1.9916189898667516E-2</v>
      </c>
      <c r="P75" s="81">
        <f t="shared" si="37"/>
        <v>0</v>
      </c>
      <c r="Q75" s="81">
        <f t="shared" si="37"/>
        <v>0</v>
      </c>
      <c r="R75" s="1"/>
      <c r="S75" s="1"/>
      <c r="T75" s="1"/>
      <c r="U75" s="1"/>
      <c r="V75" s="1"/>
      <c r="W75" s="1"/>
      <c r="X75" s="1"/>
      <c r="Y75" s="1"/>
      <c r="Z75" s="1"/>
      <c r="AA75" s="1"/>
      <c r="AB75" s="1"/>
      <c r="AC75" s="1"/>
      <c r="AD75" s="1"/>
      <c r="AE75" s="1"/>
      <c r="AF75" s="1"/>
      <c r="AG75" s="1"/>
    </row>
    <row r="76" spans="1:33" ht="14.75" x14ac:dyDescent="0.75">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ht="14.75" x14ac:dyDescent="0.75">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-9.0185643328094728E-2</v>
      </c>
      <c r="P77" s="81">
        <f t="shared" si="39"/>
        <v>1</v>
      </c>
      <c r="Q77" s="81">
        <f t="shared" si="39"/>
        <v>0</v>
      </c>
      <c r="R77" s="1"/>
      <c r="S77" s="1"/>
      <c r="T77" s="1"/>
      <c r="U77" s="1"/>
      <c r="V77" s="1"/>
      <c r="W77" s="1"/>
      <c r="X77" s="1"/>
      <c r="Y77" s="1"/>
      <c r="Z77" s="1"/>
      <c r="AA77" s="1"/>
      <c r="AB77" s="1"/>
      <c r="AC77" s="1"/>
      <c r="AD77" s="1"/>
      <c r="AE77" s="1"/>
      <c r="AF77" s="1"/>
      <c r="AG77" s="1"/>
    </row>
    <row r="78" spans="1:33" ht="14.75" x14ac:dyDescent="0.75">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-4.3265142811652696E-2</v>
      </c>
      <c r="Q78" s="81">
        <f t="shared" si="40"/>
        <v>1</v>
      </c>
      <c r="R78" s="1"/>
      <c r="S78" s="1"/>
      <c r="T78" s="1"/>
      <c r="U78" s="1"/>
      <c r="V78" s="1"/>
      <c r="W78" s="1"/>
      <c r="X78" s="1"/>
      <c r="Y78" s="1"/>
      <c r="Z78" s="1"/>
      <c r="AA78" s="1"/>
      <c r="AB78" s="1"/>
      <c r="AC78" s="1"/>
      <c r="AD78" s="1"/>
      <c r="AE78" s="1"/>
      <c r="AF78" s="1"/>
      <c r="AG78" s="1"/>
    </row>
    <row r="79" spans="1:33" ht="14.75" x14ac:dyDescent="0.75">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ht="14.75" x14ac:dyDescent="0.75">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ht="14.75" x14ac:dyDescent="0.75">
      <c r="A81" s="59" t="str">
        <f t="shared" ref="A81:A96" si="42">A63</f>
        <v>Ag</v>
      </c>
      <c r="B81" s="81">
        <f t="array" ref="B81:Q96">MINVERSE(B63:Q78)</f>
        <v>1.0679136707113628</v>
      </c>
      <c r="C81" s="81">
        <v>2.996139079463463E-2</v>
      </c>
      <c r="D81" s="81">
        <v>1.8809188307236119E-2</v>
      </c>
      <c r="E81" s="81">
        <v>0</v>
      </c>
      <c r="F81" s="81">
        <v>8.1478446527402451E-2</v>
      </c>
      <c r="G81" s="81">
        <v>5.9707320876068594E-2</v>
      </c>
      <c r="H81" s="81">
        <v>8.1012934044308996E-2</v>
      </c>
      <c r="I81" s="81">
        <v>8.1478446527402451E-2</v>
      </c>
      <c r="J81" s="81">
        <v>4.102760526089904E-2</v>
      </c>
      <c r="K81" s="81">
        <v>9.2627235390176116E-2</v>
      </c>
      <c r="L81" s="81">
        <v>3.6428238469663955E-2</v>
      </c>
      <c r="M81" s="81">
        <v>2.9973120515011258E-2</v>
      </c>
      <c r="N81" s="81">
        <v>4.4852806153503191E-2</v>
      </c>
      <c r="O81" s="81">
        <v>2.6907506508189835E-2</v>
      </c>
      <c r="P81" s="81">
        <v>4.3074193217748968E-2</v>
      </c>
      <c r="Q81" s="1">
        <v>4.8936491595556408E-2</v>
      </c>
      <c r="R81" s="1"/>
      <c r="S81" s="1"/>
      <c r="T81" s="1"/>
      <c r="U81" s="1"/>
      <c r="V81" s="1"/>
      <c r="W81" s="1"/>
      <c r="X81" s="1"/>
      <c r="Y81" s="1"/>
      <c r="Z81" s="1"/>
      <c r="AA81" s="1"/>
      <c r="AB81" s="1"/>
      <c r="AC81" s="1"/>
      <c r="AD81" s="1"/>
      <c r="AE81" s="1"/>
      <c r="AF81" s="1"/>
      <c r="AG81" s="1"/>
    </row>
    <row r="82" spans="1:33" ht="14.75" x14ac:dyDescent="0.75">
      <c r="A82" s="59" t="str">
        <f t="shared" si="42"/>
        <v>Tourism</v>
      </c>
      <c r="B82" s="81">
        <v>0</v>
      </c>
      <c r="C82" s="81">
        <v>1</v>
      </c>
      <c r="D82" s="81">
        <v>0</v>
      </c>
      <c r="E82" s="81">
        <v>0</v>
      </c>
      <c r="F82" s="81">
        <v>0</v>
      </c>
      <c r="G82" s="81">
        <v>0</v>
      </c>
      <c r="H82" s="81">
        <v>0</v>
      </c>
      <c r="I82" s="81">
        <v>0</v>
      </c>
      <c r="J82" s="81">
        <v>0</v>
      </c>
      <c r="K82" s="81">
        <v>0</v>
      </c>
      <c r="L82" s="81">
        <v>0</v>
      </c>
      <c r="M82" s="81">
        <v>0</v>
      </c>
      <c r="N82" s="81">
        <v>0</v>
      </c>
      <c r="O82" s="81">
        <v>0.39229696152019489</v>
      </c>
      <c r="P82" s="81">
        <v>0</v>
      </c>
      <c r="Q82" s="1">
        <v>0</v>
      </c>
      <c r="R82" s="1"/>
      <c r="S82" s="1"/>
      <c r="T82" s="1"/>
      <c r="U82" s="1"/>
      <c r="V82" s="1"/>
      <c r="W82" s="1"/>
      <c r="X82" s="1"/>
      <c r="Y82" s="1"/>
      <c r="Z82" s="1"/>
      <c r="AA82" s="1"/>
      <c r="AB82" s="1"/>
      <c r="AC82" s="1"/>
      <c r="AD82" s="1"/>
      <c r="AE82" s="1"/>
      <c r="AF82" s="1"/>
      <c r="AG82" s="1"/>
    </row>
    <row r="83" spans="1:33" ht="14.75" x14ac:dyDescent="0.75">
      <c r="A83" s="59" t="str">
        <f t="shared" si="42"/>
        <v>Nag</v>
      </c>
      <c r="B83" s="81">
        <v>0.96433969747130976</v>
      </c>
      <c r="C83" s="81">
        <v>0.79041319781655794</v>
      </c>
      <c r="D83" s="81">
        <v>1.4983612151970576</v>
      </c>
      <c r="E83" s="81">
        <v>0</v>
      </c>
      <c r="F83" s="81">
        <v>1.1106566285105868</v>
      </c>
      <c r="G83" s="81">
        <v>1.1156618137368408</v>
      </c>
      <c r="H83" s="81">
        <v>1.1107636499039832</v>
      </c>
      <c r="I83" s="81">
        <v>1.1106566285105868</v>
      </c>
      <c r="J83" s="81">
        <v>1.1199562833074548</v>
      </c>
      <c r="K83" s="81">
        <v>1.1080935201899493</v>
      </c>
      <c r="L83" s="81">
        <v>1.1210136784592855</v>
      </c>
      <c r="M83" s="81">
        <v>0.82519868417778564</v>
      </c>
      <c r="N83" s="81">
        <v>0.62141981180535655</v>
      </c>
      <c r="O83" s="81">
        <v>1.1072721080584722</v>
      </c>
      <c r="P83" s="81">
        <v>1.114517575356947</v>
      </c>
      <c r="Q83" s="1">
        <v>1.2273586840598489</v>
      </c>
      <c r="R83" s="1"/>
      <c r="S83" s="1"/>
      <c r="T83" s="1"/>
      <c r="U83" s="1"/>
      <c r="V83" s="1"/>
      <c r="W83" s="1"/>
      <c r="X83" s="1"/>
      <c r="Y83" s="1"/>
      <c r="Z83" s="1"/>
      <c r="AA83" s="1"/>
      <c r="AB83" s="1"/>
      <c r="AC83" s="1"/>
      <c r="AD83" s="1"/>
      <c r="AE83" s="1"/>
      <c r="AF83" s="1"/>
      <c r="AG83" s="1"/>
    </row>
    <row r="84" spans="1:33" ht="14.75" x14ac:dyDescent="0.75">
      <c r="A84" s="59" t="str">
        <f t="shared" si="42"/>
        <v>NatRes</v>
      </c>
      <c r="B84" s="81">
        <v>2.008651106427628E-2</v>
      </c>
      <c r="C84" s="81">
        <v>1.2256481528105042E-2</v>
      </c>
      <c r="D84" s="81">
        <v>9.7202672898514097E-3</v>
      </c>
      <c r="E84" s="81">
        <v>1</v>
      </c>
      <c r="F84" s="81">
        <v>6.599949003013679E-2</v>
      </c>
      <c r="G84" s="81">
        <v>3.7879745367783303E-2</v>
      </c>
      <c r="H84" s="81">
        <v>6.5398230712113231E-2</v>
      </c>
      <c r="I84" s="81">
        <v>6.5999490030136776E-2</v>
      </c>
      <c r="J84" s="81">
        <v>1.3752888452979577E-2</v>
      </c>
      <c r="K84" s="81">
        <v>8.0399347030478796E-2</v>
      </c>
      <c r="L84" s="81">
        <v>7.8123127634485753E-3</v>
      </c>
      <c r="M84" s="81">
        <v>1.0707205417883647E-2</v>
      </c>
      <c r="N84" s="81">
        <v>1.5712075684984721E-2</v>
      </c>
      <c r="O84" s="81">
        <v>1.2591311028661178E-2</v>
      </c>
      <c r="P84" s="81">
        <v>2.8203426430497856E-2</v>
      </c>
      <c r="Q84" s="1">
        <v>3.1237208958038477E-2</v>
      </c>
      <c r="R84" s="1"/>
      <c r="S84" s="1"/>
      <c r="T84" s="1"/>
      <c r="U84" s="1"/>
      <c r="V84" s="1"/>
      <c r="W84" s="1"/>
      <c r="X84" s="1"/>
      <c r="Y84" s="1"/>
      <c r="Z84" s="1"/>
      <c r="AA84" s="1"/>
      <c r="AB84" s="1"/>
      <c r="AC84" s="1"/>
      <c r="AD84" s="1"/>
      <c r="AE84" s="1"/>
      <c r="AF84" s="1"/>
      <c r="AG84" s="1"/>
    </row>
    <row r="85" spans="1:33" ht="14.75" x14ac:dyDescent="0.75">
      <c r="A85" s="59" t="str">
        <f t="shared" si="42"/>
        <v>L-MUSK</v>
      </c>
      <c r="B85" s="81">
        <v>0.23858101221229036</v>
      </c>
      <c r="C85" s="81">
        <v>0.11266392694120413</v>
      </c>
      <c r="D85" s="81">
        <v>0.11829523194182082</v>
      </c>
      <c r="E85" s="81">
        <v>0</v>
      </c>
      <c r="F85" s="81">
        <v>1.0980771715349522</v>
      </c>
      <c r="G85" s="81">
        <v>9.51129570551624E-2</v>
      </c>
      <c r="H85" s="81">
        <v>9.8013790391275654E-2</v>
      </c>
      <c r="I85" s="81">
        <v>9.8077171534952254E-2</v>
      </c>
      <c r="J85" s="81">
        <v>9.2569648804059157E-2</v>
      </c>
      <c r="K85" s="81">
        <v>9.9595117915328268E-2</v>
      </c>
      <c r="L85" s="81">
        <v>9.1943429018330802E-2</v>
      </c>
      <c r="M85" s="81">
        <v>9.9967073308923848E-2</v>
      </c>
      <c r="N85" s="81">
        <v>0.11499647530459822</v>
      </c>
      <c r="O85" s="81">
        <v>0.11495162250823547</v>
      </c>
      <c r="P85" s="81">
        <v>0.12494507295689666</v>
      </c>
      <c r="Q85" s="1">
        <v>0.10205846157073767</v>
      </c>
      <c r="R85" s="1"/>
      <c r="S85" s="1"/>
      <c r="T85" s="1"/>
      <c r="U85" s="1"/>
      <c r="V85" s="1"/>
      <c r="W85" s="1"/>
      <c r="X85" s="1"/>
      <c r="Y85" s="1"/>
      <c r="Z85" s="1"/>
      <c r="AA85" s="1"/>
      <c r="AB85" s="1"/>
      <c r="AC85" s="1"/>
      <c r="AD85" s="1"/>
      <c r="AE85" s="1"/>
      <c r="AF85" s="1"/>
      <c r="AG85" s="1"/>
    </row>
    <row r="86" spans="1:33" ht="14.75" x14ac:dyDescent="0.75">
      <c r="A86" s="59" t="str">
        <f t="shared" si="42"/>
        <v>L-FUSK</v>
      </c>
      <c r="B86" s="81">
        <v>0</v>
      </c>
      <c r="C86" s="81">
        <v>4.4318518518518521E-2</v>
      </c>
      <c r="D86" s="81">
        <v>0</v>
      </c>
      <c r="E86" s="81">
        <v>0</v>
      </c>
      <c r="F86" s="81">
        <v>0</v>
      </c>
      <c r="G86" s="81">
        <v>1</v>
      </c>
      <c r="H86" s="81">
        <v>0</v>
      </c>
      <c r="I86" s="81">
        <v>0</v>
      </c>
      <c r="J86" s="81">
        <v>0</v>
      </c>
      <c r="K86" s="81">
        <v>0</v>
      </c>
      <c r="L86" s="81">
        <v>0</v>
      </c>
      <c r="M86" s="81">
        <v>0</v>
      </c>
      <c r="N86" s="81">
        <v>1.9019942725900862E-2</v>
      </c>
      <c r="O86" s="81">
        <v>6.0623427059892848E-2</v>
      </c>
      <c r="P86" s="81">
        <v>0.47522643885669724</v>
      </c>
      <c r="Q86" s="1">
        <v>0.64675985459565677</v>
      </c>
      <c r="R86" s="1"/>
      <c r="S86" s="1"/>
      <c r="T86" s="1"/>
      <c r="U86" s="1"/>
      <c r="V86" s="1"/>
      <c r="W86" s="1"/>
      <c r="X86" s="1"/>
      <c r="Y86" s="1"/>
      <c r="Z86" s="1"/>
      <c r="AA86" s="1"/>
      <c r="AB86" s="1"/>
      <c r="AC86" s="1"/>
      <c r="AD86" s="1"/>
      <c r="AE86" s="1"/>
      <c r="AF86" s="1"/>
      <c r="AG86" s="1"/>
    </row>
    <row r="87" spans="1:33" ht="14.75" x14ac:dyDescent="0.75">
      <c r="A87" s="59" t="str">
        <f t="shared" si="42"/>
        <v>L-MSK</v>
      </c>
      <c r="B87" s="81">
        <v>3.9913368900465235E-2</v>
      </c>
      <c r="C87" s="81">
        <v>8.8670820304365613E-3</v>
      </c>
      <c r="D87" s="81">
        <v>7.4143538606103688E-3</v>
      </c>
      <c r="E87" s="81">
        <v>0</v>
      </c>
      <c r="F87" s="81">
        <v>7.7437461290560707E-3</v>
      </c>
      <c r="G87" s="81">
        <v>7.0417919189314487E-3</v>
      </c>
      <c r="H87" s="81">
        <v>1.0077287368708026</v>
      </c>
      <c r="I87" s="81">
        <v>7.7437461290560698E-3</v>
      </c>
      <c r="J87" s="81">
        <v>6.4395123110694841E-3</v>
      </c>
      <c r="K87" s="81">
        <v>8.1032102837969612E-3</v>
      </c>
      <c r="L87" s="81">
        <v>6.2912175037765491E-3</v>
      </c>
      <c r="M87" s="81">
        <v>3.0536178813014826E-2</v>
      </c>
      <c r="N87" s="81">
        <v>6.029341613324813E-2</v>
      </c>
      <c r="O87" s="81">
        <v>1.1058282726758363E-2</v>
      </c>
      <c r="P87" s="81">
        <v>6.4829909386855886E-3</v>
      </c>
      <c r="Q87" s="1">
        <v>7.1893370670809333E-3</v>
      </c>
      <c r="R87" s="1"/>
      <c r="S87" s="1"/>
      <c r="T87" s="1"/>
      <c r="U87" s="1"/>
      <c r="V87" s="1"/>
      <c r="W87" s="1"/>
      <c r="X87" s="1"/>
      <c r="Y87" s="1"/>
      <c r="Z87" s="1"/>
      <c r="AA87" s="1"/>
      <c r="AB87" s="1"/>
      <c r="AC87" s="1"/>
      <c r="AD87" s="1"/>
      <c r="AE87" s="1"/>
      <c r="AF87" s="1"/>
      <c r="AG87" s="1"/>
    </row>
    <row r="88" spans="1:33" ht="14.75" x14ac:dyDescent="0.75">
      <c r="A88" s="59" t="str">
        <f t="shared" si="42"/>
        <v>L-FSK</v>
      </c>
      <c r="B88" s="81">
        <v>0</v>
      </c>
      <c r="C88" s="81">
        <v>6.5762962962962962E-3</v>
      </c>
      <c r="D88" s="81">
        <v>0</v>
      </c>
      <c r="E88" s="81">
        <v>0</v>
      </c>
      <c r="F88" s="81">
        <v>0</v>
      </c>
      <c r="G88" s="81">
        <v>0</v>
      </c>
      <c r="H88" s="81">
        <v>0</v>
      </c>
      <c r="I88" s="81">
        <v>1</v>
      </c>
      <c r="J88" s="81">
        <v>0</v>
      </c>
      <c r="K88" s="81">
        <v>0</v>
      </c>
      <c r="L88" s="81">
        <v>0</v>
      </c>
      <c r="M88" s="81">
        <v>4.1999999999999997E-3</v>
      </c>
      <c r="N88" s="81">
        <v>2.7329531304759153E-2</v>
      </c>
      <c r="O88" s="81">
        <v>1.0411717478534874E-2</v>
      </c>
      <c r="P88" s="81">
        <v>7.6566656106923189E-2</v>
      </c>
      <c r="Q88" s="1">
        <v>5.879635041778699E-2</v>
      </c>
      <c r="R88" s="1"/>
      <c r="S88" s="1"/>
      <c r="T88" s="1"/>
      <c r="U88" s="1"/>
      <c r="V88" s="1"/>
      <c r="W88" s="1"/>
      <c r="X88" s="1"/>
      <c r="Y88" s="1"/>
      <c r="Z88" s="1"/>
      <c r="AA88" s="1"/>
      <c r="AB88" s="1"/>
      <c r="AC88" s="1"/>
      <c r="AD88" s="1"/>
      <c r="AE88" s="1"/>
      <c r="AF88" s="1"/>
      <c r="AG88" s="1"/>
    </row>
    <row r="89" spans="1:33" ht="14.75" x14ac:dyDescent="0.75">
      <c r="A89" s="59" t="str">
        <f t="shared" si="42"/>
        <v>K</v>
      </c>
      <c r="B89" s="81">
        <v>0.71230135285129292</v>
      </c>
      <c r="C89" s="81">
        <v>0.61843297412052445</v>
      </c>
      <c r="D89" s="81">
        <v>0.43222868931822878</v>
      </c>
      <c r="E89" s="81">
        <v>0</v>
      </c>
      <c r="F89" s="81">
        <v>0.45954463048704336</v>
      </c>
      <c r="G89" s="81">
        <v>0.41861298163278338</v>
      </c>
      <c r="H89" s="81">
        <v>0.45866942569513647</v>
      </c>
      <c r="I89" s="81">
        <v>0.45954463048704342</v>
      </c>
      <c r="J89" s="81">
        <v>1.3834934580719649</v>
      </c>
      <c r="K89" s="81">
        <v>0.48050534323059313</v>
      </c>
      <c r="L89" s="81">
        <v>0.37484624021718926</v>
      </c>
      <c r="M89" s="81">
        <v>0.51530665114375851</v>
      </c>
      <c r="N89" s="81">
        <v>0.37649729830413631</v>
      </c>
      <c r="O89" s="81">
        <v>0.50725949703923867</v>
      </c>
      <c r="P89" s="81">
        <v>0.38266939816775619</v>
      </c>
      <c r="Q89" s="1">
        <v>0.42482896564827882</v>
      </c>
      <c r="R89" s="1"/>
      <c r="S89" s="1"/>
      <c r="T89" s="1"/>
      <c r="U89" s="1"/>
      <c r="V89" s="1"/>
      <c r="W89" s="1"/>
      <c r="X89" s="1"/>
      <c r="Y89" s="1"/>
      <c r="Z89" s="1"/>
      <c r="AA89" s="1"/>
      <c r="AB89" s="1"/>
      <c r="AC89" s="1"/>
      <c r="AD89" s="1"/>
      <c r="AE89" s="1"/>
      <c r="AF89" s="1"/>
      <c r="AG89" s="1"/>
    </row>
    <row r="90" spans="1:33" ht="14.75" x14ac:dyDescent="0.75">
      <c r="A90" s="59" t="str">
        <f t="shared" si="42"/>
        <v>Poor</v>
      </c>
      <c r="B90" s="81">
        <v>0.28121115489986792</v>
      </c>
      <c r="C90" s="81">
        <v>0.17159074139347061</v>
      </c>
      <c r="D90" s="81">
        <v>0.13608374205791973</v>
      </c>
      <c r="E90" s="81">
        <v>0</v>
      </c>
      <c r="F90" s="81">
        <v>0.92399286042191509</v>
      </c>
      <c r="G90" s="81">
        <v>0.53031643514896631</v>
      </c>
      <c r="H90" s="81">
        <v>0.91557522996958529</v>
      </c>
      <c r="I90" s="81">
        <v>0.92399286042191497</v>
      </c>
      <c r="J90" s="81">
        <v>0.19254043834171408</v>
      </c>
      <c r="K90" s="81">
        <v>1.1255908584267031</v>
      </c>
      <c r="L90" s="81">
        <v>0.10937237868828006</v>
      </c>
      <c r="M90" s="81">
        <v>0.14990087585037107</v>
      </c>
      <c r="N90" s="81">
        <v>0.20061560554314689</v>
      </c>
      <c r="O90" s="81">
        <v>0.17589290733526849</v>
      </c>
      <c r="P90" s="81">
        <v>0.39484797002697003</v>
      </c>
      <c r="Q90" s="1">
        <v>0.4373209254125387</v>
      </c>
      <c r="R90" s="1"/>
      <c r="S90" s="1"/>
      <c r="T90" s="1"/>
      <c r="U90" s="1"/>
      <c r="V90" s="1"/>
      <c r="W90" s="1"/>
      <c r="X90" s="1"/>
      <c r="Y90" s="1"/>
      <c r="Z90" s="1"/>
      <c r="AA90" s="1"/>
      <c r="AB90" s="1"/>
      <c r="AC90" s="1"/>
      <c r="AD90" s="1"/>
      <c r="AE90" s="1"/>
      <c r="AF90" s="1"/>
      <c r="AG90" s="1"/>
    </row>
    <row r="91" spans="1:33" ht="14.75" x14ac:dyDescent="0.75">
      <c r="A91" s="59" t="str">
        <f t="shared" si="42"/>
        <v>Nonpoor</v>
      </c>
      <c r="B91" s="81">
        <v>0.7095845790641806</v>
      </c>
      <c r="C91" s="81">
        <v>0.61926805651350936</v>
      </c>
      <c r="D91" s="81">
        <v>0.42185453306274029</v>
      </c>
      <c r="E91" s="81">
        <v>0</v>
      </c>
      <c r="F91" s="81">
        <v>0.64137268772913658</v>
      </c>
      <c r="G91" s="81">
        <v>0.99045129545791089</v>
      </c>
      <c r="H91" s="81">
        <v>0.64883672298762929</v>
      </c>
      <c r="I91" s="81">
        <v>0.64137268772913669</v>
      </c>
      <c r="J91" s="81">
        <v>1.2899621808453794</v>
      </c>
      <c r="K91" s="81">
        <v>0.46261281300301527</v>
      </c>
      <c r="L91" s="81">
        <v>1.3637085080510165</v>
      </c>
      <c r="M91" s="81">
        <v>0.50010902741532604</v>
      </c>
      <c r="N91" s="81">
        <v>0.39752105822949579</v>
      </c>
      <c r="O91" s="81">
        <v>0.52841163947739167</v>
      </c>
      <c r="P91" s="81">
        <v>0.67104258699998887</v>
      </c>
      <c r="Q91" s="1">
        <v>0.8023120438870025</v>
      </c>
      <c r="R91" s="1"/>
      <c r="S91" s="1"/>
      <c r="T91" s="1"/>
      <c r="U91" s="1"/>
      <c r="V91" s="1"/>
      <c r="W91" s="1"/>
      <c r="X91" s="1"/>
      <c r="Y91" s="1"/>
      <c r="Z91" s="1"/>
      <c r="AA91" s="1"/>
      <c r="AB91" s="1"/>
      <c r="AC91" s="1"/>
      <c r="AD91" s="1"/>
      <c r="AE91" s="1"/>
      <c r="AF91" s="1"/>
      <c r="AG91" s="1"/>
    </row>
    <row r="92" spans="1:33" ht="14.75" x14ac:dyDescent="0.75">
      <c r="A92" s="59" t="str">
        <f t="shared" si="42"/>
        <v>Restaurants</v>
      </c>
      <c r="B92" s="1">
        <v>0</v>
      </c>
      <c r="C92" s="1">
        <v>0</v>
      </c>
      <c r="D92" s="1">
        <v>0</v>
      </c>
      <c r="E92" s="1">
        <v>0</v>
      </c>
      <c r="F92" s="1">
        <v>0</v>
      </c>
      <c r="G92" s="1">
        <v>0</v>
      </c>
      <c r="H92" s="1">
        <v>0</v>
      </c>
      <c r="I92" s="1">
        <v>0</v>
      </c>
      <c r="J92" s="1">
        <v>0</v>
      </c>
      <c r="K92" s="1">
        <v>0</v>
      </c>
      <c r="L92" s="1">
        <v>0</v>
      </c>
      <c r="M92" s="1">
        <v>1</v>
      </c>
      <c r="N92" s="1">
        <v>0</v>
      </c>
      <c r="O92" s="1">
        <v>9.103408325007234E-2</v>
      </c>
      <c r="P92" s="1">
        <v>0</v>
      </c>
      <c r="Q92" s="1">
        <v>0</v>
      </c>
      <c r="R92" s="1"/>
      <c r="S92" s="1"/>
      <c r="T92" s="1"/>
      <c r="U92" s="1"/>
      <c r="V92" s="1"/>
      <c r="W92" s="1"/>
      <c r="X92" s="1"/>
      <c r="Y92" s="1"/>
      <c r="Z92" s="1"/>
      <c r="AA92" s="1"/>
      <c r="AB92" s="1"/>
      <c r="AC92" s="1"/>
      <c r="AD92" s="1"/>
      <c r="AE92" s="1"/>
      <c r="AF92" s="1"/>
      <c r="AG92" s="1"/>
    </row>
    <row r="93" spans="1:33" ht="14.75" x14ac:dyDescent="0.75">
      <c r="A93" s="59" t="str">
        <f t="shared" si="42"/>
        <v>Lodges</v>
      </c>
      <c r="B93" s="1">
        <v>0</v>
      </c>
      <c r="C93" s="1">
        <v>0</v>
      </c>
      <c r="D93" s="1">
        <v>0</v>
      </c>
      <c r="E93" s="1">
        <v>0</v>
      </c>
      <c r="F93" s="1">
        <v>0</v>
      </c>
      <c r="G93" s="1">
        <v>0</v>
      </c>
      <c r="H93" s="1">
        <v>0</v>
      </c>
      <c r="I93" s="1">
        <v>0</v>
      </c>
      <c r="J93" s="1">
        <v>0</v>
      </c>
      <c r="K93" s="1">
        <v>0</v>
      </c>
      <c r="L93" s="1">
        <v>0</v>
      </c>
      <c r="M93" s="1">
        <v>0</v>
      </c>
      <c r="N93" s="1">
        <v>1</v>
      </c>
      <c r="O93" s="1">
        <v>1.9916189898667516E-2</v>
      </c>
      <c r="P93" s="1">
        <v>0</v>
      </c>
      <c r="Q93" s="1">
        <v>0</v>
      </c>
      <c r="R93" s="1"/>
      <c r="S93" s="1"/>
      <c r="T93" s="1"/>
      <c r="U93" s="1"/>
      <c r="V93" s="1"/>
      <c r="W93" s="1"/>
      <c r="X93" s="1"/>
      <c r="Y93" s="1"/>
      <c r="Z93" s="1"/>
      <c r="AA93" s="1"/>
      <c r="AB93" s="1"/>
      <c r="AC93" s="1"/>
      <c r="AD93" s="1"/>
      <c r="AE93" s="1"/>
      <c r="AF93" s="1"/>
      <c r="AG93" s="1"/>
    </row>
    <row r="94" spans="1:33" ht="14.75" x14ac:dyDescent="0.75">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ht="14.75" x14ac:dyDescent="0.75">
      <c r="A95" s="59" t="str">
        <f t="shared" si="42"/>
        <v>PA</v>
      </c>
      <c r="B95" s="1">
        <v>0</v>
      </c>
      <c r="C95" s="1">
        <v>0</v>
      </c>
      <c r="D95" s="1">
        <v>0</v>
      </c>
      <c r="E95" s="1">
        <v>0</v>
      </c>
      <c r="F95" s="1">
        <v>0</v>
      </c>
      <c r="G95" s="1">
        <v>0</v>
      </c>
      <c r="H95" s="1">
        <v>0</v>
      </c>
      <c r="I95" s="1">
        <v>0</v>
      </c>
      <c r="J95" s="1">
        <v>0</v>
      </c>
      <c r="K95" s="1">
        <v>0</v>
      </c>
      <c r="L95" s="1">
        <v>0</v>
      </c>
      <c r="M95" s="1">
        <v>0</v>
      </c>
      <c r="N95" s="1">
        <v>0</v>
      </c>
      <c r="O95" s="1">
        <v>9.0185643328094728E-2</v>
      </c>
      <c r="P95" s="1">
        <v>1</v>
      </c>
      <c r="Q95" s="1">
        <v>0</v>
      </c>
      <c r="R95" s="1"/>
      <c r="S95" s="1"/>
      <c r="T95" s="1"/>
      <c r="U95" s="1"/>
      <c r="V95" s="1"/>
      <c r="W95" s="1"/>
      <c r="X95" s="1"/>
      <c r="Y95" s="1"/>
      <c r="Z95" s="1"/>
      <c r="AA95" s="1"/>
      <c r="AB95" s="1"/>
      <c r="AC95" s="1"/>
      <c r="AD95" s="1"/>
      <c r="AE95" s="1"/>
      <c r="AF95" s="1"/>
      <c r="AG95" s="1"/>
    </row>
    <row r="96" spans="1:33" ht="14.75" x14ac:dyDescent="0.75">
      <c r="A96" s="59" t="str">
        <f t="shared" si="42"/>
        <v>ComRevSh</v>
      </c>
      <c r="B96" s="1">
        <v>0</v>
      </c>
      <c r="C96" s="1">
        <v>0</v>
      </c>
      <c r="D96" s="1">
        <v>0</v>
      </c>
      <c r="E96" s="1">
        <v>0</v>
      </c>
      <c r="F96" s="1">
        <v>0</v>
      </c>
      <c r="G96" s="1">
        <v>0</v>
      </c>
      <c r="H96" s="1">
        <v>0</v>
      </c>
      <c r="I96" s="1">
        <v>0</v>
      </c>
      <c r="J96" s="1">
        <v>0</v>
      </c>
      <c r="K96" s="1">
        <v>0</v>
      </c>
      <c r="L96" s="1">
        <v>0</v>
      </c>
      <c r="M96" s="1">
        <v>0</v>
      </c>
      <c r="N96" s="1">
        <v>0</v>
      </c>
      <c r="O96" s="1">
        <v>3.9018947381507917E-3</v>
      </c>
      <c r="P96" s="1">
        <v>4.3265142811652696E-2</v>
      </c>
      <c r="Q96" s="1">
        <v>1</v>
      </c>
      <c r="R96" s="1"/>
      <c r="S96" s="1"/>
      <c r="T96" s="1"/>
      <c r="U96" s="1"/>
      <c r="V96" s="1"/>
      <c r="W96" s="1"/>
      <c r="X96" s="1"/>
      <c r="Y96" s="1"/>
      <c r="Z96" s="1"/>
      <c r="AA96" s="1"/>
      <c r="AB96" s="1"/>
      <c r="AC96" s="1"/>
      <c r="AD96" s="1"/>
      <c r="AE96" s="1"/>
      <c r="AF96" s="1"/>
      <c r="AG96" s="1"/>
    </row>
    <row r="97" spans="1:33" ht="14.75" x14ac:dyDescent="0.7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ht="14.75" x14ac:dyDescent="0.7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ht="14.75" x14ac:dyDescent="0.7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ht="14.75" x14ac:dyDescent="0.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ht="14.75" x14ac:dyDescent="0.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ht="14.75" x14ac:dyDescent="0.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ht="14.75" x14ac:dyDescent="0.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ht="14.75" x14ac:dyDescent="0.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ht="14.75" x14ac:dyDescent="0.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ht="14.75" x14ac:dyDescent="0.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ht="14.75" x14ac:dyDescent="0.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ht="14.75" x14ac:dyDescent="0.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ht="14.75" x14ac:dyDescent="0.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ht="14.75" x14ac:dyDescent="0.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ht="14.75" x14ac:dyDescent="0.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ht="14.75" x14ac:dyDescent="0.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ht="14.75" x14ac:dyDescent="0.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ht="14.75" x14ac:dyDescent="0.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ht="14.75" x14ac:dyDescent="0.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ht="14.75" x14ac:dyDescent="0.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ht="14.75" x14ac:dyDescent="0.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ht="14.75" x14ac:dyDescent="0.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ht="14.75" x14ac:dyDescent="0.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ht="14.75" x14ac:dyDescent="0.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ht="14.75" x14ac:dyDescent="0.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ht="14.75" x14ac:dyDescent="0.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ht="14.75" x14ac:dyDescent="0.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ht="14.75" x14ac:dyDescent="0.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ht="14.75" x14ac:dyDescent="0.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ht="14.75" x14ac:dyDescent="0.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ht="14.75" x14ac:dyDescent="0.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ht="14.75" x14ac:dyDescent="0.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ht="14.75" x14ac:dyDescent="0.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ht="14.75" x14ac:dyDescent="0.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ht="14.75" x14ac:dyDescent="0.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ht="14.75" x14ac:dyDescent="0.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ht="14.75" x14ac:dyDescent="0.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ht="14.75" x14ac:dyDescent="0.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ht="14.75" x14ac:dyDescent="0.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ht="14.75" x14ac:dyDescent="0.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ht="14.75" x14ac:dyDescent="0.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ht="14.75" x14ac:dyDescent="0.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ht="14.75" x14ac:dyDescent="0.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ht="14.75" x14ac:dyDescent="0.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ht="14.75" x14ac:dyDescent="0.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ht="14.75" x14ac:dyDescent="0.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ht="14.75" x14ac:dyDescent="0.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ht="14.75" x14ac:dyDescent="0.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ht="14.75" x14ac:dyDescent="0.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ht="14.75" x14ac:dyDescent="0.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ht="14.75" x14ac:dyDescent="0.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ht="14.75" x14ac:dyDescent="0.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ht="14.75" x14ac:dyDescent="0.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ht="14.75" x14ac:dyDescent="0.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ht="14.75" x14ac:dyDescent="0.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ht="14.75" x14ac:dyDescent="0.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ht="14.75" x14ac:dyDescent="0.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ht="14.75" x14ac:dyDescent="0.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ht="14.75" x14ac:dyDescent="0.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ht="14.75" x14ac:dyDescent="0.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ht="14.75" x14ac:dyDescent="0.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ht="14.75" x14ac:dyDescent="0.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ht="14.75" x14ac:dyDescent="0.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ht="14.75" x14ac:dyDescent="0.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ht="14.75" x14ac:dyDescent="0.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ht="14.75" x14ac:dyDescent="0.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ht="14.75" x14ac:dyDescent="0.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ht="14.75" x14ac:dyDescent="0.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ht="14.75" x14ac:dyDescent="0.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ht="14.75" x14ac:dyDescent="0.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ht="14.75" x14ac:dyDescent="0.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ht="14.75" x14ac:dyDescent="0.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ht="14.75" x14ac:dyDescent="0.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ht="14.75" x14ac:dyDescent="0.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ht="14.75" x14ac:dyDescent="0.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ht="14.75" x14ac:dyDescent="0.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ht="14.75" x14ac:dyDescent="0.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ht="14.75" x14ac:dyDescent="0.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ht="14.75" x14ac:dyDescent="0.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ht="14.75" x14ac:dyDescent="0.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ht="14.75" x14ac:dyDescent="0.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ht="14.75" x14ac:dyDescent="0.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ht="14.75" x14ac:dyDescent="0.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ht="14.75" x14ac:dyDescent="0.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ht="14.75" x14ac:dyDescent="0.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ht="14.75" x14ac:dyDescent="0.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ht="14.75" x14ac:dyDescent="0.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ht="14.75" x14ac:dyDescent="0.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ht="14.75" x14ac:dyDescent="0.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ht="14.75" x14ac:dyDescent="0.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ht="14.75" x14ac:dyDescent="0.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ht="14.75" x14ac:dyDescent="0.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ht="14.75" x14ac:dyDescent="0.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ht="14.75" x14ac:dyDescent="0.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ht="14.75" x14ac:dyDescent="0.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ht="14.75" x14ac:dyDescent="0.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ht="14.75" x14ac:dyDescent="0.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ht="14.75" x14ac:dyDescent="0.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ht="14.75" x14ac:dyDescent="0.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ht="14.75" x14ac:dyDescent="0.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ht="14.75" x14ac:dyDescent="0.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ht="14.75" x14ac:dyDescent="0.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ht="14.75" x14ac:dyDescent="0.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ht="14.75" x14ac:dyDescent="0.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ht="14.75" x14ac:dyDescent="0.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ht="14.75" x14ac:dyDescent="0.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ht="14.75" x14ac:dyDescent="0.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ht="14.75" x14ac:dyDescent="0.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ht="14.75" x14ac:dyDescent="0.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ht="14.75" x14ac:dyDescent="0.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ht="14.75" x14ac:dyDescent="0.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ht="14.75" x14ac:dyDescent="0.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ht="14.75" x14ac:dyDescent="0.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ht="14.75" x14ac:dyDescent="0.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ht="14.75" x14ac:dyDescent="0.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ht="14.75" x14ac:dyDescent="0.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ht="14.75" x14ac:dyDescent="0.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ht="14.75" x14ac:dyDescent="0.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ht="14.75" x14ac:dyDescent="0.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ht="14.75" x14ac:dyDescent="0.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ht="14.75" x14ac:dyDescent="0.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ht="14.75" x14ac:dyDescent="0.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ht="14.75" x14ac:dyDescent="0.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ht="14.75" x14ac:dyDescent="0.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ht="14.75" x14ac:dyDescent="0.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ht="14.75" x14ac:dyDescent="0.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ht="14.75" x14ac:dyDescent="0.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ht="14.75" x14ac:dyDescent="0.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ht="14.75" x14ac:dyDescent="0.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ht="14.75" x14ac:dyDescent="0.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ht="14.75" x14ac:dyDescent="0.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ht="14.75" x14ac:dyDescent="0.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ht="14.75" x14ac:dyDescent="0.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ht="14.75" x14ac:dyDescent="0.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ht="14.75" x14ac:dyDescent="0.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4.75" x14ac:dyDescent="0.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ht="14.75" x14ac:dyDescent="0.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ht="14.75" x14ac:dyDescent="0.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ht="14.75" x14ac:dyDescent="0.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ht="14.75" x14ac:dyDescent="0.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ht="14.75" x14ac:dyDescent="0.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ht="14.75" x14ac:dyDescent="0.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ht="14.75" x14ac:dyDescent="0.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ht="14.75" x14ac:dyDescent="0.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ht="14.75" x14ac:dyDescent="0.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ht="14.75" x14ac:dyDescent="0.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ht="14.75" x14ac:dyDescent="0.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ht="14.75" x14ac:dyDescent="0.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ht="14.75" x14ac:dyDescent="0.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ht="14.75" x14ac:dyDescent="0.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ht="14.75" x14ac:dyDescent="0.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ht="14.75" x14ac:dyDescent="0.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ht="14.75" x14ac:dyDescent="0.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ht="14.75" x14ac:dyDescent="0.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ht="14.75" x14ac:dyDescent="0.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ht="14.75" x14ac:dyDescent="0.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ht="14.75" x14ac:dyDescent="0.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ht="14.75" x14ac:dyDescent="0.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ht="14.75" x14ac:dyDescent="0.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ht="14.75" x14ac:dyDescent="0.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ht="14.75" x14ac:dyDescent="0.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ht="14.75" x14ac:dyDescent="0.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ht="14.75" x14ac:dyDescent="0.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ht="14.75" x14ac:dyDescent="0.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ht="14.75" x14ac:dyDescent="0.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ht="14.75" x14ac:dyDescent="0.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ht="14.75" x14ac:dyDescent="0.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ht="14.75" x14ac:dyDescent="0.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ht="14.75" x14ac:dyDescent="0.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ht="14.75" x14ac:dyDescent="0.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ht="14.75" x14ac:dyDescent="0.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ht="14.75" x14ac:dyDescent="0.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ht="14.75" x14ac:dyDescent="0.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ht="14.75" x14ac:dyDescent="0.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ht="14.75" x14ac:dyDescent="0.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ht="14.75" x14ac:dyDescent="0.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ht="14.75" x14ac:dyDescent="0.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ht="14.75" x14ac:dyDescent="0.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ht="14.75" x14ac:dyDescent="0.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ht="14.75" x14ac:dyDescent="0.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ht="14.75" x14ac:dyDescent="0.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ht="14.75" x14ac:dyDescent="0.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ht="14.75" x14ac:dyDescent="0.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ht="14.75" x14ac:dyDescent="0.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ht="14.75" x14ac:dyDescent="0.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ht="14.75" x14ac:dyDescent="0.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ht="14.75" x14ac:dyDescent="0.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ht="14.75" x14ac:dyDescent="0.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ht="14.75" x14ac:dyDescent="0.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ht="14.75" x14ac:dyDescent="0.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ht="14.75" x14ac:dyDescent="0.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ht="14.75" x14ac:dyDescent="0.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ht="14.75" x14ac:dyDescent="0.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ht="14.75" x14ac:dyDescent="0.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ht="14.75" x14ac:dyDescent="0.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ht="14.75" x14ac:dyDescent="0.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ht="14.75" x14ac:dyDescent="0.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ht="14.75" x14ac:dyDescent="0.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ht="14.75" x14ac:dyDescent="0.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ht="14.75" x14ac:dyDescent="0.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ht="14.75" x14ac:dyDescent="0.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ht="14.75" x14ac:dyDescent="0.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ht="14.75" x14ac:dyDescent="0.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ht="14.75" x14ac:dyDescent="0.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ht="14.75" x14ac:dyDescent="0.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ht="14.75" x14ac:dyDescent="0.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ht="14.75" x14ac:dyDescent="0.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ht="14.75" x14ac:dyDescent="0.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ht="14.75" x14ac:dyDescent="0.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ht="14.75" x14ac:dyDescent="0.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ht="14.75" x14ac:dyDescent="0.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ht="14.75" x14ac:dyDescent="0.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ht="14.75" x14ac:dyDescent="0.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ht="14.75" x14ac:dyDescent="0.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ht="14.75" x14ac:dyDescent="0.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ht="14.75" x14ac:dyDescent="0.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ht="14.75" x14ac:dyDescent="0.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ht="14.75" x14ac:dyDescent="0.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ht="14.75" x14ac:dyDescent="0.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ht="14.75" x14ac:dyDescent="0.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ht="14.75" x14ac:dyDescent="0.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ht="14.75" x14ac:dyDescent="0.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ht="14.75" x14ac:dyDescent="0.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ht="14.75" x14ac:dyDescent="0.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ht="14.75" x14ac:dyDescent="0.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ht="14.75" x14ac:dyDescent="0.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ht="14.75" x14ac:dyDescent="0.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ht="14.75" x14ac:dyDescent="0.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ht="14.75" x14ac:dyDescent="0.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ht="14.75" x14ac:dyDescent="0.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ht="14.75" x14ac:dyDescent="0.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ht="14.75" x14ac:dyDescent="0.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ht="14.75" x14ac:dyDescent="0.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ht="14.75" x14ac:dyDescent="0.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ht="14.75" x14ac:dyDescent="0.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ht="14.75" x14ac:dyDescent="0.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ht="14.75" x14ac:dyDescent="0.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ht="14.75" x14ac:dyDescent="0.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ht="14.75" x14ac:dyDescent="0.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ht="14.75" x14ac:dyDescent="0.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ht="14.75" x14ac:dyDescent="0.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ht="14.75" x14ac:dyDescent="0.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ht="14.75" x14ac:dyDescent="0.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ht="14.75" x14ac:dyDescent="0.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ht="14.75" x14ac:dyDescent="0.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ht="14.75" x14ac:dyDescent="0.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ht="14.75" x14ac:dyDescent="0.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ht="14.75" x14ac:dyDescent="0.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ht="14.75" x14ac:dyDescent="0.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ht="14.75" x14ac:dyDescent="0.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ht="14.75" x14ac:dyDescent="0.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ht="14.75" x14ac:dyDescent="0.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ht="14.75" x14ac:dyDescent="0.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ht="14.75" x14ac:dyDescent="0.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ht="14.75" x14ac:dyDescent="0.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ht="14.75" x14ac:dyDescent="0.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ht="14.75" x14ac:dyDescent="0.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ht="14.75" x14ac:dyDescent="0.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ht="14.75" x14ac:dyDescent="0.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ht="14.75" x14ac:dyDescent="0.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ht="14.75" x14ac:dyDescent="0.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ht="14.75" x14ac:dyDescent="0.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ht="14.75" x14ac:dyDescent="0.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ht="14.75" x14ac:dyDescent="0.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ht="14.75" x14ac:dyDescent="0.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ht="14.75" x14ac:dyDescent="0.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ht="14.75" x14ac:dyDescent="0.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ht="14.75" x14ac:dyDescent="0.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ht="14.75" x14ac:dyDescent="0.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ht="14.75" x14ac:dyDescent="0.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ht="14.75" x14ac:dyDescent="0.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ht="14.75" x14ac:dyDescent="0.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ht="14.75" x14ac:dyDescent="0.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ht="14.75" x14ac:dyDescent="0.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ht="14.75" x14ac:dyDescent="0.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ht="14.75" x14ac:dyDescent="0.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ht="14.75" x14ac:dyDescent="0.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ht="14.75" x14ac:dyDescent="0.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ht="14.75" x14ac:dyDescent="0.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ht="14.75" x14ac:dyDescent="0.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ht="14.75" x14ac:dyDescent="0.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ht="14.75" x14ac:dyDescent="0.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ht="14.75" x14ac:dyDescent="0.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ht="14.75" x14ac:dyDescent="0.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ht="14.75" x14ac:dyDescent="0.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ht="14.75" x14ac:dyDescent="0.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ht="14.75" x14ac:dyDescent="0.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ht="14.75" x14ac:dyDescent="0.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ht="14.75" x14ac:dyDescent="0.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ht="14.75" x14ac:dyDescent="0.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ht="14.75" x14ac:dyDescent="0.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ht="14.75" x14ac:dyDescent="0.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ht="14.75" x14ac:dyDescent="0.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ht="14.75" x14ac:dyDescent="0.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ht="14.75" x14ac:dyDescent="0.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ht="14.75" x14ac:dyDescent="0.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ht="14.75" x14ac:dyDescent="0.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ht="14.75" x14ac:dyDescent="0.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ht="14.75" x14ac:dyDescent="0.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ht="14.75" x14ac:dyDescent="0.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ht="14.75" x14ac:dyDescent="0.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ht="14.75" x14ac:dyDescent="0.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ht="14.75" x14ac:dyDescent="0.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ht="14.75" x14ac:dyDescent="0.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ht="14.75" x14ac:dyDescent="0.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ht="14.75" x14ac:dyDescent="0.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ht="14.75" x14ac:dyDescent="0.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ht="14.75" x14ac:dyDescent="0.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ht="14.75" x14ac:dyDescent="0.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ht="14.75" x14ac:dyDescent="0.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ht="14.75" x14ac:dyDescent="0.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ht="14.75" x14ac:dyDescent="0.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ht="14.75" x14ac:dyDescent="0.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ht="14.75" x14ac:dyDescent="0.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ht="14.75" x14ac:dyDescent="0.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ht="14.75" x14ac:dyDescent="0.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ht="14.75" x14ac:dyDescent="0.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ht="14.75" x14ac:dyDescent="0.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ht="14.75" x14ac:dyDescent="0.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ht="14.75" x14ac:dyDescent="0.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ht="14.75" x14ac:dyDescent="0.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ht="14.75" x14ac:dyDescent="0.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ht="14.75" x14ac:dyDescent="0.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ht="14.75" x14ac:dyDescent="0.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ht="14.75" x14ac:dyDescent="0.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ht="14.75" x14ac:dyDescent="0.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ht="14.75" x14ac:dyDescent="0.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ht="14.75" x14ac:dyDescent="0.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ht="14.75" x14ac:dyDescent="0.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ht="14.75" x14ac:dyDescent="0.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ht="14.75" x14ac:dyDescent="0.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ht="14.75" x14ac:dyDescent="0.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ht="14.75" x14ac:dyDescent="0.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ht="14.75" x14ac:dyDescent="0.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ht="14.75" x14ac:dyDescent="0.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ht="14.75" x14ac:dyDescent="0.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ht="14.75" x14ac:dyDescent="0.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ht="14.75" x14ac:dyDescent="0.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ht="14.75" x14ac:dyDescent="0.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ht="14.75" x14ac:dyDescent="0.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ht="14.75" x14ac:dyDescent="0.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ht="14.75" x14ac:dyDescent="0.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ht="14.75" x14ac:dyDescent="0.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ht="14.75" x14ac:dyDescent="0.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ht="14.75" x14ac:dyDescent="0.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ht="14.75" x14ac:dyDescent="0.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ht="14.75" x14ac:dyDescent="0.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ht="14.75" x14ac:dyDescent="0.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ht="14.75" x14ac:dyDescent="0.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ht="14.75" x14ac:dyDescent="0.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ht="14.75" x14ac:dyDescent="0.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ht="14.75" x14ac:dyDescent="0.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ht="14.75" x14ac:dyDescent="0.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ht="14.75" x14ac:dyDescent="0.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ht="14.75" x14ac:dyDescent="0.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ht="14.75" x14ac:dyDescent="0.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ht="14.75" x14ac:dyDescent="0.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ht="14.75" x14ac:dyDescent="0.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ht="14.75" x14ac:dyDescent="0.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ht="14.75" x14ac:dyDescent="0.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ht="14.75" x14ac:dyDescent="0.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ht="14.75" x14ac:dyDescent="0.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ht="14.75" x14ac:dyDescent="0.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ht="14.75" x14ac:dyDescent="0.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ht="14.75" x14ac:dyDescent="0.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ht="14.75" x14ac:dyDescent="0.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ht="14.75" x14ac:dyDescent="0.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ht="14.75" x14ac:dyDescent="0.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ht="14.75" x14ac:dyDescent="0.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ht="14.75" x14ac:dyDescent="0.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ht="14.75" x14ac:dyDescent="0.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ht="14.75" x14ac:dyDescent="0.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ht="14.75" x14ac:dyDescent="0.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ht="14.75" x14ac:dyDescent="0.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ht="14.75" x14ac:dyDescent="0.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ht="14.75" x14ac:dyDescent="0.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ht="14.75" x14ac:dyDescent="0.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ht="14.75" x14ac:dyDescent="0.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ht="14.75" x14ac:dyDescent="0.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ht="14.75" x14ac:dyDescent="0.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ht="14.75" x14ac:dyDescent="0.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ht="14.75" x14ac:dyDescent="0.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ht="14.75" x14ac:dyDescent="0.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ht="14.75" x14ac:dyDescent="0.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ht="14.75" x14ac:dyDescent="0.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ht="14.75" x14ac:dyDescent="0.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ht="14.75" x14ac:dyDescent="0.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ht="14.75" x14ac:dyDescent="0.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ht="14.75" x14ac:dyDescent="0.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ht="14.75" x14ac:dyDescent="0.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ht="14.75" x14ac:dyDescent="0.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ht="14.75" x14ac:dyDescent="0.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ht="14.75" x14ac:dyDescent="0.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ht="14.75" x14ac:dyDescent="0.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ht="14.75" x14ac:dyDescent="0.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ht="14.75" x14ac:dyDescent="0.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ht="14.75" x14ac:dyDescent="0.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ht="14.75" x14ac:dyDescent="0.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ht="14.75" x14ac:dyDescent="0.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ht="14.75" x14ac:dyDescent="0.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ht="14.75" x14ac:dyDescent="0.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ht="14.75" x14ac:dyDescent="0.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ht="14.75" x14ac:dyDescent="0.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ht="14.75" x14ac:dyDescent="0.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ht="14.75" x14ac:dyDescent="0.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ht="14.75" x14ac:dyDescent="0.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ht="14.75" x14ac:dyDescent="0.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ht="14.75" x14ac:dyDescent="0.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ht="14.75" x14ac:dyDescent="0.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ht="14.75" x14ac:dyDescent="0.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ht="14.75" x14ac:dyDescent="0.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ht="14.75" x14ac:dyDescent="0.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ht="14.75" x14ac:dyDescent="0.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ht="14.75" x14ac:dyDescent="0.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ht="14.75" x14ac:dyDescent="0.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ht="14.75" x14ac:dyDescent="0.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ht="14.75" x14ac:dyDescent="0.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ht="14.75" x14ac:dyDescent="0.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ht="14.75" x14ac:dyDescent="0.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ht="14.75" x14ac:dyDescent="0.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ht="14.75" x14ac:dyDescent="0.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ht="14.75" x14ac:dyDescent="0.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ht="14.75" x14ac:dyDescent="0.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ht="14.75" x14ac:dyDescent="0.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ht="14.75" x14ac:dyDescent="0.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ht="14.75" x14ac:dyDescent="0.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ht="14.75" x14ac:dyDescent="0.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ht="14.75" x14ac:dyDescent="0.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ht="14.75" x14ac:dyDescent="0.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ht="14.75" x14ac:dyDescent="0.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ht="14.75" x14ac:dyDescent="0.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ht="14.75" x14ac:dyDescent="0.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ht="14.75" x14ac:dyDescent="0.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ht="14.75" x14ac:dyDescent="0.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ht="14.75" x14ac:dyDescent="0.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ht="14.75" x14ac:dyDescent="0.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ht="14.75" x14ac:dyDescent="0.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ht="14.75" x14ac:dyDescent="0.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ht="14.75" x14ac:dyDescent="0.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ht="14.75" x14ac:dyDescent="0.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ht="14.75" x14ac:dyDescent="0.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ht="14.75" x14ac:dyDescent="0.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ht="14.75" x14ac:dyDescent="0.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ht="14.75" x14ac:dyDescent="0.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ht="14.75" x14ac:dyDescent="0.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ht="14.75" x14ac:dyDescent="0.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ht="14.75" x14ac:dyDescent="0.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ht="14.75" x14ac:dyDescent="0.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ht="14.75" x14ac:dyDescent="0.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ht="14.75" x14ac:dyDescent="0.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ht="14.75" x14ac:dyDescent="0.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ht="14.75" x14ac:dyDescent="0.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ht="14.75" x14ac:dyDescent="0.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ht="14.75" x14ac:dyDescent="0.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ht="14.75" x14ac:dyDescent="0.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ht="14.75" x14ac:dyDescent="0.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ht="14.75" x14ac:dyDescent="0.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ht="14.75" x14ac:dyDescent="0.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ht="14.75" x14ac:dyDescent="0.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ht="14.75" x14ac:dyDescent="0.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ht="14.75" x14ac:dyDescent="0.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ht="14.75" x14ac:dyDescent="0.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ht="14.75" x14ac:dyDescent="0.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ht="14.75" x14ac:dyDescent="0.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ht="14.75" x14ac:dyDescent="0.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ht="14.75" x14ac:dyDescent="0.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ht="14.75" x14ac:dyDescent="0.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ht="14.75" x14ac:dyDescent="0.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ht="14.75" x14ac:dyDescent="0.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ht="14.75" x14ac:dyDescent="0.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ht="14.75" x14ac:dyDescent="0.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ht="14.75" x14ac:dyDescent="0.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ht="14.75" x14ac:dyDescent="0.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ht="14.75" x14ac:dyDescent="0.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ht="14.75" x14ac:dyDescent="0.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ht="14.75" x14ac:dyDescent="0.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ht="14.75" x14ac:dyDescent="0.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ht="14.75" x14ac:dyDescent="0.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ht="14.75" x14ac:dyDescent="0.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ht="14.75" x14ac:dyDescent="0.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ht="14.75" x14ac:dyDescent="0.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ht="14.75" x14ac:dyDescent="0.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ht="14.75" x14ac:dyDescent="0.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ht="14.75" x14ac:dyDescent="0.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ht="14.75" x14ac:dyDescent="0.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ht="14.75" x14ac:dyDescent="0.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ht="14.75" x14ac:dyDescent="0.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ht="14.75" x14ac:dyDescent="0.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ht="14.75" x14ac:dyDescent="0.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ht="14.75" x14ac:dyDescent="0.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ht="14.75" x14ac:dyDescent="0.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ht="14.75" x14ac:dyDescent="0.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ht="14.75" x14ac:dyDescent="0.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ht="14.75" x14ac:dyDescent="0.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ht="14.75" x14ac:dyDescent="0.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ht="14.75" x14ac:dyDescent="0.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ht="14.75" x14ac:dyDescent="0.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ht="14.75" x14ac:dyDescent="0.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ht="14.75" x14ac:dyDescent="0.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ht="14.75" x14ac:dyDescent="0.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ht="14.75" x14ac:dyDescent="0.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ht="14.75" x14ac:dyDescent="0.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ht="14.75" x14ac:dyDescent="0.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ht="14.75" x14ac:dyDescent="0.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ht="14.75" x14ac:dyDescent="0.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ht="14.75" x14ac:dyDescent="0.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ht="14.75" x14ac:dyDescent="0.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ht="14.75" x14ac:dyDescent="0.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ht="14.75" x14ac:dyDescent="0.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ht="14.75" x14ac:dyDescent="0.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ht="14.75" x14ac:dyDescent="0.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ht="14.75" x14ac:dyDescent="0.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ht="14.75" x14ac:dyDescent="0.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ht="14.75" x14ac:dyDescent="0.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ht="14.75" x14ac:dyDescent="0.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ht="14.75" x14ac:dyDescent="0.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ht="14.75" x14ac:dyDescent="0.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ht="14.75" x14ac:dyDescent="0.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ht="14.75" x14ac:dyDescent="0.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ht="14.75" x14ac:dyDescent="0.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ht="14.75" x14ac:dyDescent="0.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ht="14.75" x14ac:dyDescent="0.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ht="14.75" x14ac:dyDescent="0.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ht="14.75" x14ac:dyDescent="0.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ht="14.75" x14ac:dyDescent="0.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ht="14.75" x14ac:dyDescent="0.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ht="14.75" x14ac:dyDescent="0.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ht="14.75" x14ac:dyDescent="0.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ht="14.75" x14ac:dyDescent="0.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ht="14.75" x14ac:dyDescent="0.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ht="14.75" x14ac:dyDescent="0.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ht="14.75" x14ac:dyDescent="0.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ht="14.75" x14ac:dyDescent="0.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ht="14.75" x14ac:dyDescent="0.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ht="14.75" x14ac:dyDescent="0.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ht="14.75" x14ac:dyDescent="0.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ht="14.75" x14ac:dyDescent="0.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ht="14.75" x14ac:dyDescent="0.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ht="14.75" x14ac:dyDescent="0.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ht="14.75" x14ac:dyDescent="0.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ht="14.75" x14ac:dyDescent="0.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ht="14.75" x14ac:dyDescent="0.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ht="14.75" x14ac:dyDescent="0.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ht="14.75" x14ac:dyDescent="0.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ht="14.75" x14ac:dyDescent="0.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ht="14.75" x14ac:dyDescent="0.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ht="14.75" x14ac:dyDescent="0.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ht="14.75" x14ac:dyDescent="0.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ht="14.75" x14ac:dyDescent="0.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ht="14.75" x14ac:dyDescent="0.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ht="14.75" x14ac:dyDescent="0.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ht="14.75" x14ac:dyDescent="0.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ht="14.75" x14ac:dyDescent="0.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ht="14.75" x14ac:dyDescent="0.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ht="14.75" x14ac:dyDescent="0.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ht="14.75" x14ac:dyDescent="0.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ht="14.75" x14ac:dyDescent="0.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ht="14.75" x14ac:dyDescent="0.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ht="14.75" x14ac:dyDescent="0.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ht="14.75" x14ac:dyDescent="0.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ht="14.75" x14ac:dyDescent="0.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ht="14.75" x14ac:dyDescent="0.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ht="14.75" x14ac:dyDescent="0.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ht="14.75" x14ac:dyDescent="0.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ht="14.75" x14ac:dyDescent="0.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ht="14.75" x14ac:dyDescent="0.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ht="14.75" x14ac:dyDescent="0.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ht="14.75" x14ac:dyDescent="0.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ht="14.75" x14ac:dyDescent="0.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ht="14.75" x14ac:dyDescent="0.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ht="14.75" x14ac:dyDescent="0.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ht="14.75" x14ac:dyDescent="0.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ht="14.75" x14ac:dyDescent="0.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ht="14.75" x14ac:dyDescent="0.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ht="14.75" x14ac:dyDescent="0.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ht="14.75" x14ac:dyDescent="0.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ht="14.75" x14ac:dyDescent="0.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ht="14.75" x14ac:dyDescent="0.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ht="14.75" x14ac:dyDescent="0.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ht="14.75" x14ac:dyDescent="0.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ht="14.75" x14ac:dyDescent="0.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ht="14.75" x14ac:dyDescent="0.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ht="14.75" x14ac:dyDescent="0.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ht="14.75" x14ac:dyDescent="0.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ht="14.75" x14ac:dyDescent="0.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ht="14.75" x14ac:dyDescent="0.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ht="14.75" x14ac:dyDescent="0.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ht="14.75" x14ac:dyDescent="0.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ht="14.75" x14ac:dyDescent="0.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ht="14.75" x14ac:dyDescent="0.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ht="14.75" x14ac:dyDescent="0.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ht="14.75" x14ac:dyDescent="0.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ht="14.75" x14ac:dyDescent="0.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ht="14.75" x14ac:dyDescent="0.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ht="14.75" x14ac:dyDescent="0.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ht="14.75" x14ac:dyDescent="0.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ht="14.75" x14ac:dyDescent="0.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ht="14.75" x14ac:dyDescent="0.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ht="14.75" x14ac:dyDescent="0.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ht="14.75" x14ac:dyDescent="0.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ht="14.75" x14ac:dyDescent="0.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ht="14.75" x14ac:dyDescent="0.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ht="14.75" x14ac:dyDescent="0.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ht="14.75" x14ac:dyDescent="0.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ht="14.75" x14ac:dyDescent="0.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ht="14.75" x14ac:dyDescent="0.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ht="14.75" x14ac:dyDescent="0.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ht="14.75" x14ac:dyDescent="0.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ht="14.75" x14ac:dyDescent="0.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ht="14.75" x14ac:dyDescent="0.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ht="14.75" x14ac:dyDescent="0.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ht="14.75" x14ac:dyDescent="0.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ht="14.75" x14ac:dyDescent="0.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ht="14.75" x14ac:dyDescent="0.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ht="14.75" x14ac:dyDescent="0.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ht="14.75" x14ac:dyDescent="0.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ht="14.75" x14ac:dyDescent="0.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ht="14.75" x14ac:dyDescent="0.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ht="14.75" x14ac:dyDescent="0.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ht="14.75" x14ac:dyDescent="0.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ht="14.75" x14ac:dyDescent="0.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ht="14.75" x14ac:dyDescent="0.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ht="14.75" x14ac:dyDescent="0.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ht="14.75" x14ac:dyDescent="0.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ht="14.75" x14ac:dyDescent="0.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ht="14.75" x14ac:dyDescent="0.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ht="14.75" x14ac:dyDescent="0.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ht="14.75" x14ac:dyDescent="0.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ht="14.75" x14ac:dyDescent="0.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ht="14.75" x14ac:dyDescent="0.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ht="14.75" x14ac:dyDescent="0.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ht="14.75" x14ac:dyDescent="0.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ht="14.75" x14ac:dyDescent="0.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ht="14.75" x14ac:dyDescent="0.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ht="14.75" x14ac:dyDescent="0.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ht="14.75" x14ac:dyDescent="0.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ht="14.75" x14ac:dyDescent="0.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ht="14.75" x14ac:dyDescent="0.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ht="14.75" x14ac:dyDescent="0.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ht="14.75" x14ac:dyDescent="0.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ht="14.75" x14ac:dyDescent="0.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ht="14.75" x14ac:dyDescent="0.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ht="14.75" x14ac:dyDescent="0.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ht="14.75" x14ac:dyDescent="0.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ht="14.75" x14ac:dyDescent="0.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ht="14.75" x14ac:dyDescent="0.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ht="14.75" x14ac:dyDescent="0.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ht="14.75" x14ac:dyDescent="0.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ht="14.75" x14ac:dyDescent="0.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ht="14.75" x14ac:dyDescent="0.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ht="14.75" x14ac:dyDescent="0.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ht="14.75" x14ac:dyDescent="0.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ht="14.75" x14ac:dyDescent="0.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ht="14.75" x14ac:dyDescent="0.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ht="14.75" x14ac:dyDescent="0.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ht="14.75" x14ac:dyDescent="0.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ht="14.75" x14ac:dyDescent="0.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ht="14.75" x14ac:dyDescent="0.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ht="14.75" x14ac:dyDescent="0.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ht="14.75" x14ac:dyDescent="0.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ht="14.75" x14ac:dyDescent="0.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ht="14.75" x14ac:dyDescent="0.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ht="14.75" x14ac:dyDescent="0.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ht="14.75" x14ac:dyDescent="0.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ht="14.75" x14ac:dyDescent="0.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ht="14.75" x14ac:dyDescent="0.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ht="14.75" x14ac:dyDescent="0.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ht="14.75" x14ac:dyDescent="0.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ht="14.75" x14ac:dyDescent="0.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ht="14.75" x14ac:dyDescent="0.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ht="14.75" x14ac:dyDescent="0.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ht="14.75" x14ac:dyDescent="0.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ht="14.75" x14ac:dyDescent="0.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ht="14.75" x14ac:dyDescent="0.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ht="14.75" x14ac:dyDescent="0.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ht="14.75" x14ac:dyDescent="0.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ht="14.75" x14ac:dyDescent="0.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ht="14.75" x14ac:dyDescent="0.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ht="14.75" x14ac:dyDescent="0.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ht="14.75" x14ac:dyDescent="0.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ht="14.75" x14ac:dyDescent="0.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ht="14.75" x14ac:dyDescent="0.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ht="14.75" x14ac:dyDescent="0.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ht="14.75" x14ac:dyDescent="0.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ht="14.75" x14ac:dyDescent="0.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ht="14.75" x14ac:dyDescent="0.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ht="14.75" x14ac:dyDescent="0.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ht="14.75" x14ac:dyDescent="0.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ht="14.75" x14ac:dyDescent="0.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ht="14.75" x14ac:dyDescent="0.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ht="14.75" x14ac:dyDescent="0.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ht="14.75" x14ac:dyDescent="0.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ht="14.75" x14ac:dyDescent="0.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ht="14.75" x14ac:dyDescent="0.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ht="14.75" x14ac:dyDescent="0.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ht="14.75" x14ac:dyDescent="0.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ht="14.75" x14ac:dyDescent="0.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ht="14.75" x14ac:dyDescent="0.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ht="14.75" x14ac:dyDescent="0.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ht="14.75" x14ac:dyDescent="0.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ht="14.75" x14ac:dyDescent="0.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ht="14.75" x14ac:dyDescent="0.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ht="14.75" x14ac:dyDescent="0.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ht="14.75" x14ac:dyDescent="0.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ht="14.75" x14ac:dyDescent="0.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ht="14.75" x14ac:dyDescent="0.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ht="14.75" x14ac:dyDescent="0.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ht="14.75" x14ac:dyDescent="0.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ht="14.75" x14ac:dyDescent="0.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ht="14.75" x14ac:dyDescent="0.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ht="14.75" x14ac:dyDescent="0.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ht="14.75" x14ac:dyDescent="0.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ht="14.75" x14ac:dyDescent="0.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ht="14.75" x14ac:dyDescent="0.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ht="14.75" x14ac:dyDescent="0.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ht="14.75" x14ac:dyDescent="0.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ht="14.75" x14ac:dyDescent="0.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ht="14.75" x14ac:dyDescent="0.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ht="14.75" x14ac:dyDescent="0.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ht="14.75" x14ac:dyDescent="0.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ht="14.75" x14ac:dyDescent="0.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ht="14.75" x14ac:dyDescent="0.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ht="14.75" x14ac:dyDescent="0.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ht="14.75" x14ac:dyDescent="0.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ht="14.75" x14ac:dyDescent="0.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ht="14.75" x14ac:dyDescent="0.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ht="14.75" x14ac:dyDescent="0.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ht="14.75" x14ac:dyDescent="0.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ht="14.75" x14ac:dyDescent="0.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ht="14.75" x14ac:dyDescent="0.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ht="14.75" x14ac:dyDescent="0.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ht="14.75" x14ac:dyDescent="0.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ht="14.75" x14ac:dyDescent="0.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ht="14.75" x14ac:dyDescent="0.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ht="14.75" x14ac:dyDescent="0.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ht="14.75" x14ac:dyDescent="0.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ht="14.75" x14ac:dyDescent="0.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ht="14.75" x14ac:dyDescent="0.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ht="14.75" x14ac:dyDescent="0.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ht="14.75" x14ac:dyDescent="0.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ht="14.75" x14ac:dyDescent="0.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ht="14.75" x14ac:dyDescent="0.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ht="14.75" x14ac:dyDescent="0.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ht="14.75" x14ac:dyDescent="0.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ht="14.75" x14ac:dyDescent="0.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ht="14.75" x14ac:dyDescent="0.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ht="14.75" x14ac:dyDescent="0.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ht="14.75" x14ac:dyDescent="0.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ht="14.75" x14ac:dyDescent="0.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ht="14.75" x14ac:dyDescent="0.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ht="14.75" x14ac:dyDescent="0.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ht="14.75" x14ac:dyDescent="0.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ht="14.75" x14ac:dyDescent="0.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ht="14.75" x14ac:dyDescent="0.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ht="14.75" x14ac:dyDescent="0.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ht="14.75" x14ac:dyDescent="0.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ht="14.75" x14ac:dyDescent="0.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ht="14.75" x14ac:dyDescent="0.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ht="14.75" x14ac:dyDescent="0.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ht="14.75" x14ac:dyDescent="0.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ht="14.75" x14ac:dyDescent="0.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ht="14.75" x14ac:dyDescent="0.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ht="14.75" x14ac:dyDescent="0.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ht="14.75" x14ac:dyDescent="0.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ht="14.75" x14ac:dyDescent="0.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ht="14.75" x14ac:dyDescent="0.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ht="14.75" x14ac:dyDescent="0.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ht="14.75" x14ac:dyDescent="0.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ht="14.75" x14ac:dyDescent="0.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ht="14.75" x14ac:dyDescent="0.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ht="14.75" x14ac:dyDescent="0.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ht="14.75" x14ac:dyDescent="0.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ht="14.75" x14ac:dyDescent="0.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ht="14.75" x14ac:dyDescent="0.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ht="14.75" x14ac:dyDescent="0.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ht="14.75" x14ac:dyDescent="0.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ht="14.75" x14ac:dyDescent="0.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ht="14.75" x14ac:dyDescent="0.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ht="14.75" x14ac:dyDescent="0.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ht="14.75" x14ac:dyDescent="0.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ht="14.75" x14ac:dyDescent="0.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ht="14.75" x14ac:dyDescent="0.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ht="14.75" x14ac:dyDescent="0.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ht="14.75" x14ac:dyDescent="0.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ht="14.75" x14ac:dyDescent="0.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ht="14.75" x14ac:dyDescent="0.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ht="14.75" x14ac:dyDescent="0.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ht="14.75" x14ac:dyDescent="0.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ht="14.75" x14ac:dyDescent="0.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ht="14.75" x14ac:dyDescent="0.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ht="14.75" x14ac:dyDescent="0.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ht="14.75" x14ac:dyDescent="0.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ht="14.75" x14ac:dyDescent="0.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ht="14.75" x14ac:dyDescent="0.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ht="14.75" x14ac:dyDescent="0.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ht="14.75" x14ac:dyDescent="0.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ht="14.75" x14ac:dyDescent="0.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ht="14.75" x14ac:dyDescent="0.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ht="14.75" x14ac:dyDescent="0.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ht="14.75" x14ac:dyDescent="0.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ht="14.75" x14ac:dyDescent="0.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ht="14.75" x14ac:dyDescent="0.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ht="14.75" x14ac:dyDescent="0.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ht="14.75" x14ac:dyDescent="0.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ht="14.75" x14ac:dyDescent="0.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ht="14.75" x14ac:dyDescent="0.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ht="14.75" x14ac:dyDescent="0.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ht="14.75" x14ac:dyDescent="0.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ht="14.75" x14ac:dyDescent="0.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ht="14.75" x14ac:dyDescent="0.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ht="14.75" x14ac:dyDescent="0.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ht="14.75" x14ac:dyDescent="0.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ht="14.75" x14ac:dyDescent="0.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ht="14.75" x14ac:dyDescent="0.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ht="14.75" x14ac:dyDescent="0.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ht="14.75" x14ac:dyDescent="0.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ht="14.75" x14ac:dyDescent="0.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ht="14.75" x14ac:dyDescent="0.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ht="14.75" x14ac:dyDescent="0.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ht="14.75" x14ac:dyDescent="0.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ht="14.75" x14ac:dyDescent="0.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ht="14.75" x14ac:dyDescent="0.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ht="14.75" x14ac:dyDescent="0.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ht="14.75" x14ac:dyDescent="0.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ht="14.75" x14ac:dyDescent="0.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ht="14.75" x14ac:dyDescent="0.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ht="14.75" x14ac:dyDescent="0.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ht="14.75" x14ac:dyDescent="0.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ht="14.75" x14ac:dyDescent="0.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ht="14.75" x14ac:dyDescent="0.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ht="14.75" x14ac:dyDescent="0.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ht="14.75" x14ac:dyDescent="0.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ht="14.75" x14ac:dyDescent="0.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ht="14.75" x14ac:dyDescent="0.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ht="14.75" x14ac:dyDescent="0.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ht="14.75" x14ac:dyDescent="0.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ht="14.75" x14ac:dyDescent="0.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ht="14.75" x14ac:dyDescent="0.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ht="14.75" x14ac:dyDescent="0.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ht="14.75" x14ac:dyDescent="0.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ht="14.75" x14ac:dyDescent="0.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ht="14.75" x14ac:dyDescent="0.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ht="14.75" x14ac:dyDescent="0.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ht="14.75" x14ac:dyDescent="0.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ht="14.75" x14ac:dyDescent="0.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ht="14.75" x14ac:dyDescent="0.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ht="14.75" x14ac:dyDescent="0.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ht="14.75" x14ac:dyDescent="0.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ht="14.75" x14ac:dyDescent="0.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ht="14.75" x14ac:dyDescent="0.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ht="14.75" x14ac:dyDescent="0.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ht="14.75" x14ac:dyDescent="0.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ht="14.75" x14ac:dyDescent="0.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ht="14.75" x14ac:dyDescent="0.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ht="14.75" x14ac:dyDescent="0.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ht="14.75" x14ac:dyDescent="0.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ht="14.75" x14ac:dyDescent="0.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ht="14.75" x14ac:dyDescent="0.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ht="14.75" x14ac:dyDescent="0.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ht="14.75" x14ac:dyDescent="0.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ht="14.75" x14ac:dyDescent="0.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ht="14.75" x14ac:dyDescent="0.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ht="14.75" x14ac:dyDescent="0.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ht="14.75" x14ac:dyDescent="0.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ht="14.75" x14ac:dyDescent="0.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ht="14.75" x14ac:dyDescent="0.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ht="14.75" x14ac:dyDescent="0.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ht="14.75" x14ac:dyDescent="0.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ht="14.75" x14ac:dyDescent="0.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ht="14.75" x14ac:dyDescent="0.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ht="14.75" x14ac:dyDescent="0.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ht="14.75" x14ac:dyDescent="0.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ht="14.75" x14ac:dyDescent="0.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ht="14.75" x14ac:dyDescent="0.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ht="14.75" x14ac:dyDescent="0.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ht="14.75" x14ac:dyDescent="0.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ht="14.75" x14ac:dyDescent="0.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ht="14.75" x14ac:dyDescent="0.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ht="14.75" x14ac:dyDescent="0.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ht="14.75" x14ac:dyDescent="0.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ht="14.75" x14ac:dyDescent="0.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ht="14.75" x14ac:dyDescent="0.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ht="14.75" x14ac:dyDescent="0.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ht="14.75" x14ac:dyDescent="0.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ht="14.75" x14ac:dyDescent="0.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ht="14.75" x14ac:dyDescent="0.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ht="14.75" x14ac:dyDescent="0.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ht="14.75" x14ac:dyDescent="0.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ht="14.75" x14ac:dyDescent="0.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ht="14.75" x14ac:dyDescent="0.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ht="14.75" x14ac:dyDescent="0.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ht="14.75" x14ac:dyDescent="0.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ht="14.75" x14ac:dyDescent="0.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ht="14.75" x14ac:dyDescent="0.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ht="14.75" x14ac:dyDescent="0.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ht="14.75" x14ac:dyDescent="0.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ht="14.75" x14ac:dyDescent="0.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ht="14.75" x14ac:dyDescent="0.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ht="14.75" x14ac:dyDescent="0.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ht="14.75" x14ac:dyDescent="0.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defaultColWidth="14.5" defaultRowHeight="15" customHeight="1" x14ac:dyDescent="0.75"/>
  <sheetData>
    <row r="1" spans="1:26" ht="15" customHeight="1" x14ac:dyDescent="0.75">
      <c r="A1" s="6" t="s">
        <v>337</v>
      </c>
      <c r="B1" s="6"/>
      <c r="C1" s="1"/>
      <c r="D1" s="1"/>
      <c r="E1" s="1"/>
      <c r="F1" s="1"/>
      <c r="G1" s="1"/>
      <c r="H1" s="1"/>
      <c r="I1" s="1"/>
      <c r="J1" s="1"/>
      <c r="K1" s="1"/>
      <c r="L1" s="1"/>
      <c r="M1" s="1"/>
      <c r="N1" s="1"/>
      <c r="O1" s="1"/>
      <c r="P1" s="1"/>
      <c r="Q1" s="1"/>
      <c r="R1" s="1"/>
      <c r="S1" s="1"/>
      <c r="T1" s="1"/>
      <c r="U1" s="1"/>
      <c r="V1" s="1"/>
      <c r="W1" s="1"/>
      <c r="X1" s="1"/>
      <c r="Y1" s="1"/>
      <c r="Z1" s="1"/>
    </row>
    <row r="2" spans="1:26" ht="15" customHeight="1" x14ac:dyDescent="0.75">
      <c r="A2" s="83" t="s">
        <v>338</v>
      </c>
      <c r="B2" s="84" t="s">
        <v>339</v>
      </c>
      <c r="C2" s="1"/>
      <c r="D2" s="1"/>
      <c r="E2" s="1"/>
      <c r="F2" s="1"/>
      <c r="G2" s="1"/>
      <c r="H2" s="1"/>
      <c r="I2" s="1"/>
      <c r="J2" s="1"/>
      <c r="K2" s="1"/>
      <c r="L2" s="1"/>
      <c r="M2" s="1"/>
      <c r="N2" s="1"/>
      <c r="O2" s="1"/>
      <c r="P2" s="1"/>
      <c r="Q2" s="1"/>
      <c r="R2" s="1"/>
      <c r="S2" s="1"/>
      <c r="T2" s="1"/>
      <c r="U2" s="1"/>
      <c r="V2" s="1"/>
      <c r="W2" s="1"/>
      <c r="X2" s="1"/>
      <c r="Y2" s="1"/>
      <c r="Z2" s="1"/>
    </row>
    <row r="3" spans="1:26" ht="15" customHeight="1" x14ac:dyDescent="0.75">
      <c r="A3" s="85" t="s">
        <v>340</v>
      </c>
      <c r="B3" s="16"/>
      <c r="C3" s="1"/>
      <c r="D3" s="1"/>
      <c r="E3" s="1"/>
      <c r="F3" s="1"/>
      <c r="G3" s="1"/>
      <c r="H3" s="1"/>
      <c r="I3" s="1"/>
      <c r="J3" s="1"/>
      <c r="K3" s="1"/>
      <c r="L3" s="1"/>
      <c r="M3" s="1"/>
      <c r="N3" s="1"/>
      <c r="O3" s="1"/>
      <c r="P3" s="1"/>
      <c r="Q3" s="1"/>
      <c r="R3" s="1"/>
      <c r="S3" s="1"/>
      <c r="T3" s="1"/>
      <c r="U3" s="1"/>
      <c r="V3" s="1"/>
      <c r="W3" s="1"/>
      <c r="X3" s="1"/>
      <c r="Y3" s="1"/>
      <c r="Z3" s="1"/>
    </row>
    <row r="4" spans="1:26" ht="15" customHeight="1" x14ac:dyDescent="0.75">
      <c r="A4" s="86" t="str">
        <f>'Multiplier Matrix (uncorrected)'!A81</f>
        <v>Ag</v>
      </c>
      <c r="B4" s="87">
        <f>'Multiplier Matrix (uncorrected)'!O81</f>
        <v>2.6907506508189835E-2</v>
      </c>
      <c r="C4" s="1"/>
      <c r="D4" s="1"/>
      <c r="E4" s="1"/>
      <c r="F4" s="1"/>
      <c r="G4" s="1"/>
      <c r="H4" s="1"/>
      <c r="I4" s="1"/>
      <c r="J4" s="1"/>
      <c r="K4" s="1"/>
      <c r="L4" s="1"/>
      <c r="M4" s="1"/>
      <c r="N4" s="1"/>
      <c r="O4" s="1"/>
      <c r="P4" s="1"/>
      <c r="Q4" s="1"/>
      <c r="R4" s="1"/>
      <c r="S4" s="1"/>
      <c r="T4" s="1"/>
      <c r="U4" s="1"/>
      <c r="V4" s="1"/>
      <c r="W4" s="1"/>
      <c r="X4" s="1"/>
      <c r="Y4" s="1"/>
      <c r="Z4" s="1"/>
    </row>
    <row r="5" spans="1:26" ht="15" customHeight="1" x14ac:dyDescent="0.75">
      <c r="A5" s="86" t="str">
        <f>'Multiplier Matrix (uncorrected)'!A82</f>
        <v>Tourism</v>
      </c>
      <c r="B5" s="87">
        <f>'Multiplier Matrix (uncorrected)'!O82</f>
        <v>0.39229696152019489</v>
      </c>
      <c r="C5" s="1"/>
      <c r="D5" s="1"/>
      <c r="E5" s="1"/>
      <c r="F5" s="1"/>
      <c r="G5" s="1"/>
      <c r="H5" s="1"/>
      <c r="I5" s="1"/>
      <c r="J5" s="1"/>
      <c r="K5" s="1"/>
      <c r="L5" s="1"/>
      <c r="M5" s="1"/>
      <c r="N5" s="1"/>
      <c r="O5" s="1"/>
      <c r="P5" s="1"/>
      <c r="Q5" s="1"/>
      <c r="R5" s="1"/>
      <c r="S5" s="1"/>
      <c r="T5" s="1"/>
      <c r="U5" s="1"/>
      <c r="V5" s="1"/>
      <c r="W5" s="1"/>
      <c r="X5" s="1"/>
      <c r="Y5" s="1"/>
      <c r="Z5" s="1"/>
    </row>
    <row r="6" spans="1:26" ht="15" customHeight="1" x14ac:dyDescent="0.75">
      <c r="A6" s="86" t="str">
        <f>'Multiplier Matrix (uncorrected)'!A83</f>
        <v>Nag</v>
      </c>
      <c r="B6" s="87">
        <f>'Multiplier Matrix (uncorrected)'!O83</f>
        <v>1.1072721080584722</v>
      </c>
      <c r="C6" s="1"/>
      <c r="D6" s="1"/>
      <c r="E6" s="1"/>
      <c r="F6" s="1"/>
      <c r="G6" s="1"/>
      <c r="H6" s="1"/>
      <c r="I6" s="1"/>
      <c r="J6" s="1"/>
      <c r="K6" s="1"/>
      <c r="L6" s="1"/>
      <c r="M6" s="1"/>
      <c r="N6" s="1"/>
      <c r="O6" s="1"/>
      <c r="P6" s="1"/>
      <c r="Q6" s="1"/>
      <c r="R6" s="1"/>
      <c r="S6" s="1"/>
      <c r="T6" s="1"/>
      <c r="U6" s="1"/>
      <c r="V6" s="1"/>
      <c r="W6" s="1"/>
      <c r="X6" s="1"/>
      <c r="Y6" s="1"/>
      <c r="Z6" s="1"/>
    </row>
    <row r="7" spans="1:26" ht="15" customHeight="1" x14ac:dyDescent="0.75">
      <c r="A7" s="86" t="str">
        <f>'Multiplier Matrix (uncorrected)'!A84</f>
        <v>NatRes</v>
      </c>
      <c r="B7" s="87">
        <f>'Multiplier Matrix (uncorrected)'!O84</f>
        <v>1.2591311028661178E-2</v>
      </c>
      <c r="C7" s="1"/>
      <c r="D7" s="1"/>
      <c r="E7" s="1"/>
      <c r="F7" s="1"/>
      <c r="G7" s="1"/>
      <c r="H7" s="1"/>
      <c r="I7" s="1"/>
      <c r="J7" s="1"/>
      <c r="K7" s="1"/>
      <c r="L7" s="1"/>
      <c r="M7" s="1"/>
      <c r="N7" s="1"/>
      <c r="O7" s="1"/>
      <c r="P7" s="1"/>
      <c r="Q7" s="1"/>
      <c r="R7" s="1"/>
      <c r="S7" s="1"/>
      <c r="T7" s="1"/>
      <c r="U7" s="1"/>
      <c r="V7" s="1"/>
      <c r="W7" s="1"/>
      <c r="X7" s="1"/>
      <c r="Y7" s="1"/>
      <c r="Z7" s="1"/>
    </row>
    <row r="8" spans="1:26" ht="15" customHeight="1" x14ac:dyDescent="0.75">
      <c r="A8" s="86" t="str">
        <f>'Multiplier Matrix (uncorrected)'!A92</f>
        <v>Restaurants</v>
      </c>
      <c r="B8" s="87">
        <f>'Multiplier Matrix (uncorrected)'!O92</f>
        <v>9.103408325007234E-2</v>
      </c>
      <c r="C8" s="1"/>
      <c r="D8" s="1"/>
      <c r="E8" s="1"/>
      <c r="F8" s="1"/>
      <c r="G8" s="1"/>
      <c r="H8" s="1"/>
      <c r="I8" s="1"/>
      <c r="J8" s="1"/>
      <c r="K8" s="1"/>
      <c r="L8" s="1"/>
      <c r="M8" s="1"/>
      <c r="N8" s="1"/>
      <c r="O8" s="1"/>
      <c r="P8" s="1"/>
      <c r="Q8" s="1"/>
      <c r="R8" s="1"/>
      <c r="S8" s="1"/>
      <c r="T8" s="1"/>
      <c r="U8" s="1"/>
      <c r="V8" s="1"/>
      <c r="W8" s="1"/>
      <c r="X8" s="1"/>
      <c r="Y8" s="1"/>
      <c r="Z8" s="1"/>
    </row>
    <row r="9" spans="1:26" ht="15" customHeight="1" x14ac:dyDescent="0.75">
      <c r="A9" s="86" t="str">
        <f>'Multiplier Matrix (uncorrected)'!A93</f>
        <v>Lodges</v>
      </c>
      <c r="B9" s="87">
        <f>'Multiplier Matrix (uncorrected)'!O93</f>
        <v>1.9916189898667516E-2</v>
      </c>
      <c r="C9" s="1"/>
      <c r="D9" s="1"/>
      <c r="E9" s="1"/>
      <c r="F9" s="1"/>
      <c r="G9" s="1"/>
      <c r="H9" s="1"/>
      <c r="I9" s="1"/>
      <c r="J9" s="1"/>
      <c r="K9" s="1"/>
      <c r="L9" s="1"/>
      <c r="M9" s="1"/>
      <c r="N9" s="1"/>
      <c r="O9" s="1"/>
      <c r="P9" s="1"/>
      <c r="Q9" s="1"/>
      <c r="R9" s="1"/>
      <c r="S9" s="1"/>
      <c r="T9" s="1"/>
      <c r="U9" s="1"/>
      <c r="V9" s="1"/>
      <c r="W9" s="1"/>
      <c r="X9" s="1"/>
      <c r="Y9" s="1"/>
      <c r="Z9" s="1"/>
    </row>
    <row r="10" spans="1:26" ht="15" customHeight="1" x14ac:dyDescent="0.75">
      <c r="A10" s="88" t="s">
        <v>341</v>
      </c>
      <c r="B10" s="89">
        <f>SUM(B4:B9)</f>
        <v>1.6500181602642578</v>
      </c>
      <c r="C10" s="1"/>
      <c r="D10" s="1"/>
      <c r="E10" s="1"/>
      <c r="F10" s="1"/>
      <c r="G10" s="1"/>
      <c r="H10" s="1"/>
      <c r="I10" s="1"/>
      <c r="J10" s="1"/>
      <c r="K10" s="1"/>
      <c r="L10" s="1"/>
      <c r="M10" s="1"/>
      <c r="N10" s="1"/>
      <c r="O10" s="1"/>
      <c r="P10" s="1"/>
      <c r="Q10" s="1"/>
      <c r="R10" s="1"/>
      <c r="S10" s="1"/>
      <c r="T10" s="1"/>
      <c r="U10" s="1"/>
      <c r="V10" s="1"/>
      <c r="W10" s="1"/>
      <c r="X10" s="1"/>
      <c r="Y10" s="1"/>
      <c r="Z10" s="1"/>
    </row>
    <row r="11" spans="1:26" ht="15" customHeight="1" x14ac:dyDescent="0.75">
      <c r="A11" s="90" t="s">
        <v>342</v>
      </c>
      <c r="B11" s="91"/>
      <c r="C11" s="1"/>
      <c r="D11" s="1"/>
      <c r="E11" s="1"/>
      <c r="F11" s="1"/>
      <c r="G11" s="1"/>
      <c r="H11" s="1"/>
      <c r="I11" s="1"/>
      <c r="J11" s="1"/>
      <c r="K11" s="1"/>
      <c r="L11" s="1"/>
      <c r="M11" s="1"/>
      <c r="N11" s="1"/>
      <c r="O11" s="1"/>
      <c r="P11" s="1"/>
      <c r="Q11" s="1"/>
      <c r="R11" s="1"/>
      <c r="S11" s="1"/>
      <c r="T11" s="1"/>
      <c r="U11" s="1"/>
      <c r="V11" s="1"/>
      <c r="W11" s="1"/>
      <c r="X11" s="1"/>
      <c r="Y11" s="1"/>
      <c r="Z11" s="1"/>
    </row>
    <row r="12" spans="1:26" ht="15" customHeight="1" x14ac:dyDescent="0.75">
      <c r="A12" s="86" t="s">
        <v>343</v>
      </c>
      <c r="B12" s="92">
        <f>SUM(B13:B16)</f>
        <v>0.19704504977342152</v>
      </c>
      <c r="C12" s="1"/>
      <c r="D12" s="1"/>
      <c r="E12" s="1"/>
      <c r="F12" s="1"/>
      <c r="G12" s="1"/>
      <c r="H12" s="1"/>
      <c r="I12" s="1"/>
      <c r="J12" s="1"/>
      <c r="K12" s="1"/>
      <c r="L12" s="1"/>
      <c r="M12" s="1"/>
      <c r="N12" s="1"/>
      <c r="O12" s="1"/>
      <c r="P12" s="1"/>
      <c r="Q12" s="1"/>
      <c r="R12" s="1"/>
      <c r="S12" s="1"/>
      <c r="T12" s="1"/>
      <c r="U12" s="1"/>
      <c r="V12" s="1"/>
      <c r="W12" s="1"/>
      <c r="X12" s="1"/>
      <c r="Y12" s="1"/>
      <c r="Z12" s="1"/>
    </row>
    <row r="13" spans="1:26" ht="15" customHeight="1" x14ac:dyDescent="0.75">
      <c r="A13" s="86" t="str">
        <f>'Multiplier Matrix (uncorrected)'!A85</f>
        <v>L-MUSK</v>
      </c>
      <c r="B13" s="92">
        <f>'Multiplier Matrix (uncorrected)'!O85</f>
        <v>0.11495162250823547</v>
      </c>
      <c r="C13" s="1"/>
      <c r="D13" s="1"/>
      <c r="E13" s="1"/>
      <c r="F13" s="1"/>
      <c r="G13" s="1"/>
      <c r="H13" s="1"/>
      <c r="I13" s="1"/>
      <c r="J13" s="1"/>
      <c r="K13" s="1"/>
      <c r="L13" s="1"/>
      <c r="M13" s="1"/>
      <c r="N13" s="1"/>
      <c r="O13" s="1"/>
      <c r="P13" s="1"/>
      <c r="Q13" s="1"/>
      <c r="R13" s="1"/>
      <c r="S13" s="1"/>
      <c r="T13" s="1"/>
      <c r="U13" s="1"/>
      <c r="V13" s="1"/>
      <c r="W13" s="1"/>
      <c r="X13" s="1"/>
      <c r="Y13" s="1"/>
      <c r="Z13" s="1"/>
    </row>
    <row r="14" spans="1:26" ht="15" customHeight="1" x14ac:dyDescent="0.75">
      <c r="A14" s="86" t="str">
        <f>'Multiplier Matrix (uncorrected)'!A86</f>
        <v>L-FUSK</v>
      </c>
      <c r="B14" s="92">
        <f>'Multiplier Matrix (uncorrected)'!O86</f>
        <v>6.0623427059892848E-2</v>
      </c>
      <c r="C14" s="1"/>
      <c r="D14" s="1"/>
      <c r="E14" s="1"/>
      <c r="F14" s="1"/>
      <c r="G14" s="1"/>
      <c r="H14" s="1"/>
      <c r="I14" s="1"/>
      <c r="J14" s="1"/>
      <c r="K14" s="1"/>
      <c r="L14" s="1"/>
      <c r="M14" s="1"/>
      <c r="N14" s="1"/>
      <c r="O14" s="1"/>
      <c r="P14" s="1"/>
      <c r="Q14" s="1"/>
      <c r="R14" s="1"/>
      <c r="S14" s="1"/>
      <c r="T14" s="1"/>
      <c r="U14" s="1"/>
      <c r="V14" s="1"/>
      <c r="W14" s="1"/>
      <c r="X14" s="1"/>
      <c r="Y14" s="1"/>
      <c r="Z14" s="1"/>
    </row>
    <row r="15" spans="1:26" ht="15" customHeight="1" x14ac:dyDescent="0.75">
      <c r="A15" s="86" t="str">
        <f>'Multiplier Matrix (uncorrected)'!A87</f>
        <v>L-MSK</v>
      </c>
      <c r="B15" s="92">
        <f>'Multiplier Matrix (uncorrected)'!O87</f>
        <v>1.1058282726758363E-2</v>
      </c>
      <c r="C15" s="1"/>
      <c r="D15" s="1"/>
      <c r="E15" s="1"/>
      <c r="F15" s="1"/>
      <c r="G15" s="1"/>
      <c r="H15" s="1"/>
      <c r="I15" s="1"/>
      <c r="J15" s="1"/>
      <c r="K15" s="1"/>
      <c r="L15" s="1"/>
      <c r="M15" s="1"/>
      <c r="N15" s="1"/>
      <c r="O15" s="1"/>
      <c r="P15" s="1"/>
      <c r="Q15" s="1"/>
      <c r="R15" s="1"/>
      <c r="S15" s="1"/>
      <c r="T15" s="1"/>
      <c r="U15" s="1"/>
      <c r="V15" s="1"/>
      <c r="W15" s="1"/>
      <c r="X15" s="1"/>
      <c r="Y15" s="1"/>
      <c r="Z15" s="1"/>
    </row>
    <row r="16" spans="1:26" ht="15" customHeight="1" x14ac:dyDescent="0.75">
      <c r="A16" s="86" t="str">
        <f>'Multiplier Matrix (uncorrected)'!A88</f>
        <v>L-FSK</v>
      </c>
      <c r="B16" s="92">
        <f>'Multiplier Matrix (uncorrected)'!O88</f>
        <v>1.0411717478534874E-2</v>
      </c>
      <c r="C16" s="1"/>
      <c r="D16" s="1"/>
      <c r="E16" s="1"/>
      <c r="F16" s="1"/>
      <c r="G16" s="1"/>
      <c r="H16" s="1"/>
      <c r="I16" s="1"/>
      <c r="J16" s="1"/>
      <c r="K16" s="1"/>
      <c r="L16" s="1"/>
      <c r="M16" s="1"/>
      <c r="N16" s="1"/>
      <c r="O16" s="1"/>
      <c r="P16" s="1"/>
      <c r="Q16" s="1"/>
      <c r="R16" s="1"/>
      <c r="S16" s="1"/>
      <c r="T16" s="1"/>
      <c r="U16" s="1"/>
      <c r="V16" s="1"/>
      <c r="W16" s="1"/>
      <c r="X16" s="1"/>
      <c r="Y16" s="1"/>
      <c r="Z16" s="1"/>
    </row>
    <row r="17" spans="1:26" ht="15" customHeight="1" x14ac:dyDescent="0.75">
      <c r="A17" s="88" t="s">
        <v>344</v>
      </c>
      <c r="B17" s="92">
        <f>'Multiplier Matrix (uncorrected)'!O89</f>
        <v>0.50725949703923867</v>
      </c>
      <c r="C17" s="1"/>
      <c r="D17" s="1"/>
      <c r="E17" s="1"/>
      <c r="F17" s="1"/>
      <c r="G17" s="1"/>
      <c r="H17" s="1"/>
      <c r="I17" s="1"/>
      <c r="J17" s="1"/>
      <c r="K17" s="1"/>
      <c r="L17" s="1"/>
      <c r="M17" s="1"/>
      <c r="N17" s="1"/>
      <c r="O17" s="1"/>
      <c r="P17" s="1"/>
      <c r="Q17" s="1"/>
      <c r="R17" s="1"/>
      <c r="S17" s="1"/>
      <c r="T17" s="1"/>
      <c r="U17" s="1"/>
      <c r="V17" s="1"/>
      <c r="W17" s="1"/>
      <c r="X17" s="1"/>
      <c r="Y17" s="1"/>
      <c r="Z17" s="1"/>
    </row>
    <row r="18" spans="1:26" ht="15" customHeight="1" x14ac:dyDescent="0.75">
      <c r="A18" s="90" t="s">
        <v>345</v>
      </c>
      <c r="B18" s="91"/>
      <c r="C18" s="1"/>
      <c r="D18" s="1"/>
      <c r="E18" s="1"/>
      <c r="F18" s="1"/>
      <c r="G18" s="1"/>
      <c r="H18" s="1"/>
      <c r="I18" s="1"/>
      <c r="J18" s="1"/>
      <c r="K18" s="1"/>
      <c r="L18" s="1"/>
      <c r="M18" s="1"/>
      <c r="N18" s="1"/>
      <c r="O18" s="1"/>
      <c r="P18" s="1"/>
      <c r="Q18" s="1"/>
      <c r="R18" s="1"/>
      <c r="S18" s="1"/>
      <c r="T18" s="1"/>
      <c r="U18" s="1"/>
      <c r="V18" s="1"/>
      <c r="W18" s="1"/>
      <c r="X18" s="1"/>
      <c r="Y18" s="1"/>
      <c r="Z18" s="1"/>
    </row>
    <row r="19" spans="1:26" ht="15" customHeight="1" x14ac:dyDescent="0.75">
      <c r="A19" s="86" t="str">
        <f>'Multiplier Matrix (uncorrected)'!A90</f>
        <v>Poor</v>
      </c>
      <c r="B19" s="92">
        <f>'Multiplier Matrix (uncorrected)'!O90</f>
        <v>0.17589290733526849</v>
      </c>
      <c r="C19" s="1"/>
      <c r="D19" s="1"/>
      <c r="E19" s="1"/>
      <c r="F19" s="1"/>
      <c r="G19" s="1"/>
      <c r="H19" s="1"/>
      <c r="I19" s="1"/>
      <c r="J19" s="1"/>
      <c r="K19" s="1"/>
      <c r="L19" s="1"/>
      <c r="M19" s="1"/>
      <c r="N19" s="1"/>
      <c r="O19" s="1"/>
      <c r="P19" s="1"/>
      <c r="Q19" s="1"/>
      <c r="R19" s="1"/>
      <c r="S19" s="1"/>
      <c r="T19" s="1"/>
      <c r="U19" s="1"/>
      <c r="V19" s="1"/>
      <c r="W19" s="1"/>
      <c r="X19" s="1"/>
      <c r="Y19" s="1"/>
      <c r="Z19" s="1"/>
    </row>
    <row r="20" spans="1:26" ht="15" customHeight="1" x14ac:dyDescent="0.75">
      <c r="A20" s="86" t="str">
        <f>'Multiplier Matrix (uncorrected)'!A91</f>
        <v>Nonpoor</v>
      </c>
      <c r="B20" s="92">
        <f>'Multiplier Matrix (uncorrected)'!O91</f>
        <v>0.52841163947739167</v>
      </c>
      <c r="C20" s="1"/>
      <c r="D20" s="1"/>
      <c r="E20" s="1"/>
      <c r="F20" s="1"/>
      <c r="G20" s="1"/>
      <c r="H20" s="1"/>
      <c r="I20" s="1"/>
      <c r="J20" s="1"/>
      <c r="K20" s="1"/>
      <c r="L20" s="1"/>
      <c r="M20" s="1"/>
      <c r="N20" s="1"/>
      <c r="O20" s="1"/>
      <c r="P20" s="1"/>
      <c r="Q20" s="1"/>
      <c r="R20" s="1"/>
      <c r="S20" s="1"/>
      <c r="T20" s="1"/>
      <c r="U20" s="1"/>
      <c r="V20" s="1"/>
      <c r="W20" s="1"/>
      <c r="X20" s="1"/>
      <c r="Y20" s="1"/>
      <c r="Z20" s="1"/>
    </row>
    <row r="21" spans="1:26" ht="15" customHeight="1" x14ac:dyDescent="0.75">
      <c r="A21" s="93" t="s">
        <v>346</v>
      </c>
      <c r="B21" s="94">
        <f>SUM(B19:B20)</f>
        <v>0.70430454681266019</v>
      </c>
      <c r="C21" s="1"/>
      <c r="D21" s="1"/>
      <c r="E21" s="1"/>
      <c r="F21" s="1"/>
      <c r="G21" s="1"/>
      <c r="H21" s="1"/>
      <c r="I21" s="1"/>
      <c r="J21" s="1"/>
      <c r="K21" s="1"/>
      <c r="L21" s="1"/>
      <c r="M21" s="1"/>
      <c r="N21" s="1"/>
      <c r="O21" s="1"/>
      <c r="P21" s="1"/>
      <c r="Q21" s="1"/>
      <c r="R21" s="1"/>
      <c r="S21" s="1"/>
      <c r="T21" s="1"/>
      <c r="U21" s="1"/>
      <c r="V21" s="1"/>
      <c r="W21" s="1"/>
      <c r="X21" s="1"/>
      <c r="Y21" s="1"/>
      <c r="Z21" s="1"/>
    </row>
    <row r="22" spans="1:26" ht="15" customHeight="1" x14ac:dyDescent="0.75">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ht="14.75" x14ac:dyDescent="0.75">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ht="14.75" x14ac:dyDescent="0.75">
      <c r="A24" s="96" t="s">
        <v>347</v>
      </c>
      <c r="B24" s="92">
        <f>SUM(B25:B26)</f>
        <v>57.865818749677693</v>
      </c>
      <c r="C24" s="1"/>
      <c r="D24" s="1"/>
      <c r="E24" s="1"/>
      <c r="F24" s="1"/>
      <c r="G24" s="1"/>
      <c r="H24" s="1"/>
      <c r="I24" s="1"/>
      <c r="J24" s="1"/>
      <c r="K24" s="1"/>
      <c r="L24" s="1"/>
      <c r="M24" s="1"/>
      <c r="N24" s="1"/>
      <c r="O24" s="1"/>
      <c r="P24" s="1"/>
      <c r="Q24" s="1"/>
      <c r="R24" s="1"/>
      <c r="S24" s="1"/>
      <c r="T24" s="1"/>
      <c r="U24" s="1"/>
      <c r="V24" s="1"/>
      <c r="W24" s="1"/>
      <c r="X24" s="1"/>
      <c r="Y24" s="1"/>
      <c r="Z24" s="1"/>
    </row>
    <row r="25" spans="1:26" ht="14.75" x14ac:dyDescent="0.75">
      <c r="A25" s="97" t="s">
        <v>348</v>
      </c>
      <c r="B25" s="92">
        <f>B27*B19</f>
        <v>14.451400521660728</v>
      </c>
      <c r="C25" s="1"/>
      <c r="D25" s="1"/>
      <c r="E25" s="1"/>
      <c r="F25" s="1"/>
      <c r="G25" s="1"/>
      <c r="H25" s="1"/>
      <c r="I25" s="1"/>
      <c r="J25" s="1"/>
      <c r="K25" s="1"/>
      <c r="L25" s="1"/>
      <c r="M25" s="1"/>
      <c r="N25" s="1"/>
      <c r="O25" s="1"/>
      <c r="P25" s="1"/>
      <c r="Q25" s="1"/>
      <c r="R25" s="1"/>
      <c r="S25" s="1"/>
      <c r="T25" s="1"/>
      <c r="U25" s="1"/>
      <c r="V25" s="1"/>
      <c r="W25" s="1"/>
      <c r="X25" s="1"/>
      <c r="Y25" s="1"/>
      <c r="Z25" s="1"/>
    </row>
    <row r="26" spans="1:26" ht="14.75" x14ac:dyDescent="0.75">
      <c r="A26" s="98" t="s">
        <v>349</v>
      </c>
      <c r="B26" s="89">
        <f>B27*B20</f>
        <v>43.414418228016963</v>
      </c>
      <c r="C26" s="1"/>
      <c r="D26" s="1"/>
      <c r="E26" s="1"/>
      <c r="F26" s="1"/>
      <c r="G26" s="1"/>
      <c r="H26" s="1"/>
      <c r="I26" s="1"/>
      <c r="J26" s="1"/>
      <c r="K26" s="1"/>
      <c r="L26" s="1"/>
      <c r="M26" s="1"/>
      <c r="N26" s="1"/>
      <c r="O26" s="1"/>
      <c r="P26" s="1"/>
      <c r="Q26" s="1"/>
      <c r="R26" s="1"/>
      <c r="S26" s="1"/>
      <c r="T26" s="1"/>
      <c r="U26" s="1"/>
      <c r="V26" s="1"/>
      <c r="W26" s="1"/>
      <c r="X26" s="1"/>
      <c r="Y26" s="1"/>
      <c r="Z26" s="1"/>
    </row>
    <row r="27" spans="1:26" ht="14.75" x14ac:dyDescent="0.75">
      <c r="A27" s="59" t="s">
        <v>350</v>
      </c>
      <c r="B27" s="99">
        <f>Tourists!C44/SUM(Tourists!C3,Tourists!C7)</f>
        <v>82.160223175542797</v>
      </c>
      <c r="C27" s="1"/>
      <c r="D27" s="1"/>
      <c r="E27" s="1"/>
      <c r="F27" s="1"/>
      <c r="G27" s="1"/>
      <c r="H27" s="1"/>
      <c r="I27" s="1"/>
      <c r="J27" s="1"/>
      <c r="K27" s="1"/>
      <c r="L27" s="1"/>
      <c r="M27" s="1"/>
      <c r="N27" s="1"/>
      <c r="O27" s="1"/>
      <c r="P27" s="1"/>
      <c r="Q27" s="1"/>
      <c r="R27" s="1"/>
      <c r="S27" s="1"/>
      <c r="T27" s="1"/>
      <c r="U27" s="1"/>
      <c r="V27" s="1"/>
      <c r="W27" s="1"/>
      <c r="X27" s="1"/>
      <c r="Y27" s="1"/>
      <c r="Z27" s="1"/>
    </row>
    <row r="28" spans="1:26" ht="14.75" x14ac:dyDescent="0.75">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ht="14.75" x14ac:dyDescent="0.75">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ht="14.75" x14ac:dyDescent="0.7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4.75" x14ac:dyDescent="0.7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4.75" x14ac:dyDescent="0.7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4.75" x14ac:dyDescent="0.7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4.75" x14ac:dyDescent="0.7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4.75" x14ac:dyDescent="0.7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4.75" x14ac:dyDescent="0.7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4.75" x14ac:dyDescent="0.7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4.75" x14ac:dyDescent="0.7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4.75" x14ac:dyDescent="0.7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4.75" x14ac:dyDescent="0.7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4.75" x14ac:dyDescent="0.7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4.75" x14ac:dyDescent="0.7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4.75" x14ac:dyDescent="0.7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4.75" x14ac:dyDescent="0.7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4.75" x14ac:dyDescent="0.7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4.75" x14ac:dyDescent="0.7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4.75" x14ac:dyDescent="0.7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4.75" x14ac:dyDescent="0.7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4.75" x14ac:dyDescent="0.7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4.75" x14ac:dyDescent="0.7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4.75" x14ac:dyDescent="0.7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4.75" x14ac:dyDescent="0.7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4.75" x14ac:dyDescent="0.7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4.75" x14ac:dyDescent="0.7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4.75" x14ac:dyDescent="0.7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75" x14ac:dyDescent="0.7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75" x14ac:dyDescent="0.7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75" x14ac:dyDescent="0.7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75" x14ac:dyDescent="0.7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75" x14ac:dyDescent="0.7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75" x14ac:dyDescent="0.7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75" x14ac:dyDescent="0.7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75" x14ac:dyDescent="0.7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75" x14ac:dyDescent="0.7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75" x14ac:dyDescent="0.7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75" x14ac:dyDescent="0.7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75" x14ac:dyDescent="0.7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75" x14ac:dyDescent="0.7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75" x14ac:dyDescent="0.7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75" x14ac:dyDescent="0.7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75" x14ac:dyDescent="0.7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75" x14ac:dyDescent="0.7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75" x14ac:dyDescent="0.7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75" x14ac:dyDescent="0.7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75" x14ac:dyDescent="0.7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75" x14ac:dyDescent="0.7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75" x14ac:dyDescent="0.7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75" x14ac:dyDescent="0.7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75" x14ac:dyDescent="0.7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75" x14ac:dyDescent="0.7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75" x14ac:dyDescent="0.7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75" x14ac:dyDescent="0.7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75" x14ac:dyDescent="0.7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75" x14ac:dyDescent="0.7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75" x14ac:dyDescent="0.7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75" x14ac:dyDescent="0.7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75" x14ac:dyDescent="0.7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75" x14ac:dyDescent="0.7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75" x14ac:dyDescent="0.7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75" x14ac:dyDescent="0.7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75" x14ac:dyDescent="0.7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75" x14ac:dyDescent="0.7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75" x14ac:dyDescent="0.7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75" x14ac:dyDescent="0.7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75" x14ac:dyDescent="0.7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75" x14ac:dyDescent="0.7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75" x14ac:dyDescent="0.7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75" x14ac:dyDescent="0.7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75" x14ac:dyDescent="0.7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75" x14ac:dyDescent="0.7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75" x14ac:dyDescent="0.7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75" x14ac:dyDescent="0.7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75" x14ac:dyDescent="0.7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75" x14ac:dyDescent="0.7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75" x14ac:dyDescent="0.7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75" x14ac:dyDescent="0.7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75" x14ac:dyDescent="0.7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75" x14ac:dyDescent="0.7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75" x14ac:dyDescent="0.7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75" x14ac:dyDescent="0.7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75" x14ac:dyDescent="0.7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75" x14ac:dyDescent="0.7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75" x14ac:dyDescent="0.7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75" x14ac:dyDescent="0.7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75" x14ac:dyDescent="0.7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75" x14ac:dyDescent="0.7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75" x14ac:dyDescent="0.7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75" x14ac:dyDescent="0.7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75" x14ac:dyDescent="0.7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75" x14ac:dyDescent="0.7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75" x14ac:dyDescent="0.7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75" x14ac:dyDescent="0.7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75" x14ac:dyDescent="0.7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75" x14ac:dyDescent="0.7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75" x14ac:dyDescent="0.7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75" x14ac:dyDescent="0.7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75" x14ac:dyDescent="0.7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75" x14ac:dyDescent="0.7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75" x14ac:dyDescent="0.7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75" x14ac:dyDescent="0.7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75" x14ac:dyDescent="0.7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75" x14ac:dyDescent="0.7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75" x14ac:dyDescent="0.7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75" x14ac:dyDescent="0.7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75" x14ac:dyDescent="0.7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75" x14ac:dyDescent="0.7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75" x14ac:dyDescent="0.7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75" x14ac:dyDescent="0.7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75" x14ac:dyDescent="0.7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75" x14ac:dyDescent="0.7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75" x14ac:dyDescent="0.7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75" x14ac:dyDescent="0.7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75" x14ac:dyDescent="0.7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75" x14ac:dyDescent="0.7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75" x14ac:dyDescent="0.7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75" x14ac:dyDescent="0.7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75" x14ac:dyDescent="0.7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75" x14ac:dyDescent="0.7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75" x14ac:dyDescent="0.7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75" x14ac:dyDescent="0.7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75" x14ac:dyDescent="0.7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75" x14ac:dyDescent="0.7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75" x14ac:dyDescent="0.7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75" x14ac:dyDescent="0.7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75" x14ac:dyDescent="0.7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75" x14ac:dyDescent="0.7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75" x14ac:dyDescent="0.7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75" x14ac:dyDescent="0.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75" x14ac:dyDescent="0.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75" x14ac:dyDescent="0.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75" x14ac:dyDescent="0.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75" x14ac:dyDescent="0.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75" x14ac:dyDescent="0.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75" x14ac:dyDescent="0.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75" x14ac:dyDescent="0.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75" x14ac:dyDescent="0.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75" x14ac:dyDescent="0.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75" x14ac:dyDescent="0.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75" x14ac:dyDescent="0.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75" x14ac:dyDescent="0.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75" x14ac:dyDescent="0.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75" x14ac:dyDescent="0.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75" x14ac:dyDescent="0.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75" x14ac:dyDescent="0.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75" x14ac:dyDescent="0.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75" x14ac:dyDescent="0.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75" x14ac:dyDescent="0.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75" x14ac:dyDescent="0.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75" x14ac:dyDescent="0.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75" x14ac:dyDescent="0.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75" x14ac:dyDescent="0.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75" x14ac:dyDescent="0.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75" x14ac:dyDescent="0.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75" x14ac:dyDescent="0.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75" x14ac:dyDescent="0.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75" x14ac:dyDescent="0.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75" x14ac:dyDescent="0.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75" x14ac:dyDescent="0.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75" x14ac:dyDescent="0.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75" x14ac:dyDescent="0.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75" x14ac:dyDescent="0.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75" x14ac:dyDescent="0.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75" x14ac:dyDescent="0.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75" x14ac:dyDescent="0.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75" x14ac:dyDescent="0.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75" x14ac:dyDescent="0.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75" x14ac:dyDescent="0.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75" x14ac:dyDescent="0.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75" x14ac:dyDescent="0.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75" x14ac:dyDescent="0.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75" x14ac:dyDescent="0.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75" x14ac:dyDescent="0.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75" x14ac:dyDescent="0.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75" x14ac:dyDescent="0.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75" x14ac:dyDescent="0.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75" x14ac:dyDescent="0.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75" x14ac:dyDescent="0.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75" x14ac:dyDescent="0.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75" x14ac:dyDescent="0.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75" x14ac:dyDescent="0.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75" x14ac:dyDescent="0.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75" x14ac:dyDescent="0.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75" x14ac:dyDescent="0.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75" x14ac:dyDescent="0.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75" x14ac:dyDescent="0.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75" x14ac:dyDescent="0.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75" x14ac:dyDescent="0.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75" x14ac:dyDescent="0.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75" x14ac:dyDescent="0.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75" x14ac:dyDescent="0.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75" x14ac:dyDescent="0.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75" x14ac:dyDescent="0.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75" x14ac:dyDescent="0.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75" x14ac:dyDescent="0.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75" x14ac:dyDescent="0.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75" x14ac:dyDescent="0.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75" x14ac:dyDescent="0.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75" x14ac:dyDescent="0.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75" x14ac:dyDescent="0.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75" x14ac:dyDescent="0.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75" x14ac:dyDescent="0.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75" x14ac:dyDescent="0.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75" x14ac:dyDescent="0.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75" x14ac:dyDescent="0.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75" x14ac:dyDescent="0.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75" x14ac:dyDescent="0.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75" x14ac:dyDescent="0.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75" x14ac:dyDescent="0.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75" x14ac:dyDescent="0.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75" x14ac:dyDescent="0.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75" x14ac:dyDescent="0.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75" x14ac:dyDescent="0.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75" x14ac:dyDescent="0.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75" x14ac:dyDescent="0.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75" x14ac:dyDescent="0.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75" x14ac:dyDescent="0.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75" x14ac:dyDescent="0.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75" x14ac:dyDescent="0.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75" x14ac:dyDescent="0.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75" x14ac:dyDescent="0.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75" x14ac:dyDescent="0.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75" x14ac:dyDescent="0.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75" x14ac:dyDescent="0.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75" x14ac:dyDescent="0.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75" x14ac:dyDescent="0.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75" x14ac:dyDescent="0.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75" x14ac:dyDescent="0.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75" x14ac:dyDescent="0.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75" x14ac:dyDescent="0.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75" x14ac:dyDescent="0.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75" x14ac:dyDescent="0.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75" x14ac:dyDescent="0.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75" x14ac:dyDescent="0.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75" x14ac:dyDescent="0.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75" x14ac:dyDescent="0.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75" x14ac:dyDescent="0.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75" x14ac:dyDescent="0.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75" x14ac:dyDescent="0.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75" x14ac:dyDescent="0.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75" x14ac:dyDescent="0.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75" x14ac:dyDescent="0.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75" x14ac:dyDescent="0.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75" x14ac:dyDescent="0.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75" x14ac:dyDescent="0.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75" x14ac:dyDescent="0.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75" x14ac:dyDescent="0.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75" x14ac:dyDescent="0.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75" x14ac:dyDescent="0.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75" x14ac:dyDescent="0.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75" x14ac:dyDescent="0.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75" x14ac:dyDescent="0.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75" x14ac:dyDescent="0.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75" x14ac:dyDescent="0.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75" x14ac:dyDescent="0.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75" x14ac:dyDescent="0.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75" x14ac:dyDescent="0.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75" x14ac:dyDescent="0.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75" x14ac:dyDescent="0.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75" x14ac:dyDescent="0.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75" x14ac:dyDescent="0.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75" x14ac:dyDescent="0.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75" x14ac:dyDescent="0.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75" x14ac:dyDescent="0.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75" x14ac:dyDescent="0.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75" x14ac:dyDescent="0.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75" x14ac:dyDescent="0.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75" x14ac:dyDescent="0.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75" x14ac:dyDescent="0.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75" x14ac:dyDescent="0.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75" x14ac:dyDescent="0.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75" x14ac:dyDescent="0.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75" x14ac:dyDescent="0.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75" x14ac:dyDescent="0.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75" x14ac:dyDescent="0.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75" x14ac:dyDescent="0.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75" x14ac:dyDescent="0.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75" x14ac:dyDescent="0.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75" x14ac:dyDescent="0.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75" x14ac:dyDescent="0.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75" x14ac:dyDescent="0.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75" x14ac:dyDescent="0.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75" x14ac:dyDescent="0.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75" x14ac:dyDescent="0.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75" x14ac:dyDescent="0.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75" x14ac:dyDescent="0.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75" x14ac:dyDescent="0.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75" x14ac:dyDescent="0.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75" x14ac:dyDescent="0.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75" x14ac:dyDescent="0.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75" x14ac:dyDescent="0.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75" x14ac:dyDescent="0.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75" x14ac:dyDescent="0.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75" x14ac:dyDescent="0.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75" x14ac:dyDescent="0.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75" x14ac:dyDescent="0.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75" x14ac:dyDescent="0.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75" x14ac:dyDescent="0.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75" x14ac:dyDescent="0.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75" x14ac:dyDescent="0.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75" x14ac:dyDescent="0.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75" x14ac:dyDescent="0.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75" x14ac:dyDescent="0.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75" x14ac:dyDescent="0.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75" x14ac:dyDescent="0.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75" x14ac:dyDescent="0.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75" x14ac:dyDescent="0.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75" x14ac:dyDescent="0.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75" x14ac:dyDescent="0.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75" x14ac:dyDescent="0.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75" x14ac:dyDescent="0.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75" x14ac:dyDescent="0.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75" x14ac:dyDescent="0.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75" x14ac:dyDescent="0.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75" x14ac:dyDescent="0.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75" x14ac:dyDescent="0.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75" x14ac:dyDescent="0.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75" x14ac:dyDescent="0.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75" x14ac:dyDescent="0.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75" x14ac:dyDescent="0.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75" x14ac:dyDescent="0.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75" x14ac:dyDescent="0.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75" x14ac:dyDescent="0.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75" x14ac:dyDescent="0.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75" x14ac:dyDescent="0.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75" x14ac:dyDescent="0.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75" x14ac:dyDescent="0.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75" x14ac:dyDescent="0.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75" x14ac:dyDescent="0.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75" x14ac:dyDescent="0.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75" x14ac:dyDescent="0.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75" x14ac:dyDescent="0.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75" x14ac:dyDescent="0.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75" x14ac:dyDescent="0.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75" x14ac:dyDescent="0.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75" x14ac:dyDescent="0.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75" x14ac:dyDescent="0.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75" x14ac:dyDescent="0.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75" x14ac:dyDescent="0.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75" x14ac:dyDescent="0.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75" x14ac:dyDescent="0.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75" x14ac:dyDescent="0.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75" x14ac:dyDescent="0.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75" x14ac:dyDescent="0.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75" x14ac:dyDescent="0.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75" x14ac:dyDescent="0.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75" x14ac:dyDescent="0.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75" x14ac:dyDescent="0.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75" x14ac:dyDescent="0.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75" x14ac:dyDescent="0.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75" x14ac:dyDescent="0.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75" x14ac:dyDescent="0.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75" x14ac:dyDescent="0.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75" x14ac:dyDescent="0.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75" x14ac:dyDescent="0.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75" x14ac:dyDescent="0.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75" x14ac:dyDescent="0.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75" x14ac:dyDescent="0.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75" x14ac:dyDescent="0.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75" x14ac:dyDescent="0.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75" x14ac:dyDescent="0.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75" x14ac:dyDescent="0.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75" x14ac:dyDescent="0.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75" x14ac:dyDescent="0.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75" x14ac:dyDescent="0.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75" x14ac:dyDescent="0.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75" x14ac:dyDescent="0.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75" x14ac:dyDescent="0.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75" x14ac:dyDescent="0.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75" x14ac:dyDescent="0.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75" x14ac:dyDescent="0.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75" x14ac:dyDescent="0.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75" x14ac:dyDescent="0.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75" x14ac:dyDescent="0.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75" x14ac:dyDescent="0.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75" x14ac:dyDescent="0.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75" x14ac:dyDescent="0.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75" x14ac:dyDescent="0.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75" x14ac:dyDescent="0.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75" x14ac:dyDescent="0.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75" x14ac:dyDescent="0.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75" x14ac:dyDescent="0.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75" x14ac:dyDescent="0.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75" x14ac:dyDescent="0.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75" x14ac:dyDescent="0.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75" x14ac:dyDescent="0.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75" x14ac:dyDescent="0.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75" x14ac:dyDescent="0.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75" x14ac:dyDescent="0.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75" x14ac:dyDescent="0.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75" x14ac:dyDescent="0.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75" x14ac:dyDescent="0.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75" x14ac:dyDescent="0.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75" x14ac:dyDescent="0.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75" x14ac:dyDescent="0.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75" x14ac:dyDescent="0.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75" x14ac:dyDescent="0.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75" x14ac:dyDescent="0.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75" x14ac:dyDescent="0.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75" x14ac:dyDescent="0.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75" x14ac:dyDescent="0.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75" x14ac:dyDescent="0.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75" x14ac:dyDescent="0.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75" x14ac:dyDescent="0.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75" x14ac:dyDescent="0.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75" x14ac:dyDescent="0.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75" x14ac:dyDescent="0.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75" x14ac:dyDescent="0.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75" x14ac:dyDescent="0.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75" x14ac:dyDescent="0.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75" x14ac:dyDescent="0.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75" x14ac:dyDescent="0.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75" x14ac:dyDescent="0.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75" x14ac:dyDescent="0.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75" x14ac:dyDescent="0.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75" x14ac:dyDescent="0.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75" x14ac:dyDescent="0.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75" x14ac:dyDescent="0.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75" x14ac:dyDescent="0.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75" x14ac:dyDescent="0.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75" x14ac:dyDescent="0.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75" x14ac:dyDescent="0.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75" x14ac:dyDescent="0.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75" x14ac:dyDescent="0.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75" x14ac:dyDescent="0.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75" x14ac:dyDescent="0.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75" x14ac:dyDescent="0.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75" x14ac:dyDescent="0.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75" x14ac:dyDescent="0.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75" x14ac:dyDescent="0.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75" x14ac:dyDescent="0.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75" x14ac:dyDescent="0.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75" x14ac:dyDescent="0.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75" x14ac:dyDescent="0.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75" x14ac:dyDescent="0.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75" x14ac:dyDescent="0.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75" x14ac:dyDescent="0.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75" x14ac:dyDescent="0.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75" x14ac:dyDescent="0.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75" x14ac:dyDescent="0.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75" x14ac:dyDescent="0.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75" x14ac:dyDescent="0.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75" x14ac:dyDescent="0.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75" x14ac:dyDescent="0.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75" x14ac:dyDescent="0.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75" x14ac:dyDescent="0.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75" x14ac:dyDescent="0.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75" x14ac:dyDescent="0.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75" x14ac:dyDescent="0.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75" x14ac:dyDescent="0.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75" x14ac:dyDescent="0.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75" x14ac:dyDescent="0.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75" x14ac:dyDescent="0.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75" x14ac:dyDescent="0.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75" x14ac:dyDescent="0.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75" x14ac:dyDescent="0.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75" x14ac:dyDescent="0.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75" x14ac:dyDescent="0.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75" x14ac:dyDescent="0.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75" x14ac:dyDescent="0.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75" x14ac:dyDescent="0.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75" x14ac:dyDescent="0.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75" x14ac:dyDescent="0.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75" x14ac:dyDescent="0.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75" x14ac:dyDescent="0.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75" x14ac:dyDescent="0.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75" x14ac:dyDescent="0.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75" x14ac:dyDescent="0.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75" x14ac:dyDescent="0.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75" x14ac:dyDescent="0.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75" x14ac:dyDescent="0.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75" x14ac:dyDescent="0.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75" x14ac:dyDescent="0.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75" x14ac:dyDescent="0.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75" x14ac:dyDescent="0.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75" x14ac:dyDescent="0.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75" x14ac:dyDescent="0.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75" x14ac:dyDescent="0.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75" x14ac:dyDescent="0.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75" x14ac:dyDescent="0.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75" x14ac:dyDescent="0.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75" x14ac:dyDescent="0.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75" x14ac:dyDescent="0.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75" x14ac:dyDescent="0.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75" x14ac:dyDescent="0.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75" x14ac:dyDescent="0.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75" x14ac:dyDescent="0.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75" x14ac:dyDescent="0.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75" x14ac:dyDescent="0.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75" x14ac:dyDescent="0.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75" x14ac:dyDescent="0.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75" x14ac:dyDescent="0.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75" x14ac:dyDescent="0.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75" x14ac:dyDescent="0.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75" x14ac:dyDescent="0.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75" x14ac:dyDescent="0.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75" x14ac:dyDescent="0.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75" x14ac:dyDescent="0.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75" x14ac:dyDescent="0.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75" x14ac:dyDescent="0.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75" x14ac:dyDescent="0.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75" x14ac:dyDescent="0.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75" x14ac:dyDescent="0.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75" x14ac:dyDescent="0.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75" x14ac:dyDescent="0.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75" x14ac:dyDescent="0.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75" x14ac:dyDescent="0.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75" x14ac:dyDescent="0.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75" x14ac:dyDescent="0.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75" x14ac:dyDescent="0.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75" x14ac:dyDescent="0.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75" x14ac:dyDescent="0.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75" x14ac:dyDescent="0.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75" x14ac:dyDescent="0.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75" x14ac:dyDescent="0.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75" x14ac:dyDescent="0.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75" x14ac:dyDescent="0.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75" x14ac:dyDescent="0.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75" x14ac:dyDescent="0.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75" x14ac:dyDescent="0.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75" x14ac:dyDescent="0.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75" x14ac:dyDescent="0.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75" x14ac:dyDescent="0.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75" x14ac:dyDescent="0.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75" x14ac:dyDescent="0.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75" x14ac:dyDescent="0.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75" x14ac:dyDescent="0.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75" x14ac:dyDescent="0.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75" x14ac:dyDescent="0.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75" x14ac:dyDescent="0.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75" x14ac:dyDescent="0.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75" x14ac:dyDescent="0.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75" x14ac:dyDescent="0.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75" x14ac:dyDescent="0.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75" x14ac:dyDescent="0.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75" x14ac:dyDescent="0.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75" x14ac:dyDescent="0.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75" x14ac:dyDescent="0.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75" x14ac:dyDescent="0.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75" x14ac:dyDescent="0.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75" x14ac:dyDescent="0.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75" x14ac:dyDescent="0.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75" x14ac:dyDescent="0.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75" x14ac:dyDescent="0.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75" x14ac:dyDescent="0.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75" x14ac:dyDescent="0.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75" x14ac:dyDescent="0.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75" x14ac:dyDescent="0.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75" x14ac:dyDescent="0.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75" x14ac:dyDescent="0.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75" x14ac:dyDescent="0.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75" x14ac:dyDescent="0.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75" x14ac:dyDescent="0.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75" x14ac:dyDescent="0.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75" x14ac:dyDescent="0.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75" x14ac:dyDescent="0.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75" x14ac:dyDescent="0.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75" x14ac:dyDescent="0.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75" x14ac:dyDescent="0.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75" x14ac:dyDescent="0.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75" x14ac:dyDescent="0.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75" x14ac:dyDescent="0.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75" x14ac:dyDescent="0.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75" x14ac:dyDescent="0.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75" x14ac:dyDescent="0.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75" x14ac:dyDescent="0.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75" x14ac:dyDescent="0.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75" x14ac:dyDescent="0.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75" x14ac:dyDescent="0.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75" x14ac:dyDescent="0.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75" x14ac:dyDescent="0.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75" x14ac:dyDescent="0.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75" x14ac:dyDescent="0.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75" x14ac:dyDescent="0.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75" x14ac:dyDescent="0.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75" x14ac:dyDescent="0.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75" x14ac:dyDescent="0.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75" x14ac:dyDescent="0.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75" x14ac:dyDescent="0.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75" x14ac:dyDescent="0.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75" x14ac:dyDescent="0.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75" x14ac:dyDescent="0.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75" x14ac:dyDescent="0.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75" x14ac:dyDescent="0.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75" x14ac:dyDescent="0.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75" x14ac:dyDescent="0.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75" x14ac:dyDescent="0.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75" x14ac:dyDescent="0.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75" x14ac:dyDescent="0.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75" x14ac:dyDescent="0.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75" x14ac:dyDescent="0.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75" x14ac:dyDescent="0.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75" x14ac:dyDescent="0.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75" x14ac:dyDescent="0.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75" x14ac:dyDescent="0.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75" x14ac:dyDescent="0.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75" x14ac:dyDescent="0.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75" x14ac:dyDescent="0.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75" x14ac:dyDescent="0.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75" x14ac:dyDescent="0.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75" x14ac:dyDescent="0.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75" x14ac:dyDescent="0.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75" x14ac:dyDescent="0.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75" x14ac:dyDescent="0.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75" x14ac:dyDescent="0.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75" x14ac:dyDescent="0.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75" x14ac:dyDescent="0.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75" x14ac:dyDescent="0.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75" x14ac:dyDescent="0.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75" x14ac:dyDescent="0.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75" x14ac:dyDescent="0.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75" x14ac:dyDescent="0.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75" x14ac:dyDescent="0.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75" x14ac:dyDescent="0.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75" x14ac:dyDescent="0.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75" x14ac:dyDescent="0.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75" x14ac:dyDescent="0.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75" x14ac:dyDescent="0.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75" x14ac:dyDescent="0.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75" x14ac:dyDescent="0.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75" x14ac:dyDescent="0.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75" x14ac:dyDescent="0.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75" x14ac:dyDescent="0.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75" x14ac:dyDescent="0.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75" x14ac:dyDescent="0.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75" x14ac:dyDescent="0.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75" x14ac:dyDescent="0.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75" x14ac:dyDescent="0.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75" x14ac:dyDescent="0.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75" x14ac:dyDescent="0.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75" x14ac:dyDescent="0.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75" x14ac:dyDescent="0.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75" x14ac:dyDescent="0.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75" x14ac:dyDescent="0.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75" x14ac:dyDescent="0.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75" x14ac:dyDescent="0.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75" x14ac:dyDescent="0.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75" x14ac:dyDescent="0.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75" x14ac:dyDescent="0.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75" x14ac:dyDescent="0.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75" x14ac:dyDescent="0.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75" x14ac:dyDescent="0.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75" x14ac:dyDescent="0.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75" x14ac:dyDescent="0.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75" x14ac:dyDescent="0.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75" x14ac:dyDescent="0.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75" x14ac:dyDescent="0.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75" x14ac:dyDescent="0.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75" x14ac:dyDescent="0.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75" x14ac:dyDescent="0.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75" x14ac:dyDescent="0.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75" x14ac:dyDescent="0.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75" x14ac:dyDescent="0.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75" x14ac:dyDescent="0.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75" x14ac:dyDescent="0.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75" x14ac:dyDescent="0.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75" x14ac:dyDescent="0.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75" x14ac:dyDescent="0.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75" x14ac:dyDescent="0.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75" x14ac:dyDescent="0.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75" x14ac:dyDescent="0.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75" x14ac:dyDescent="0.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75" x14ac:dyDescent="0.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75" x14ac:dyDescent="0.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75" x14ac:dyDescent="0.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75" x14ac:dyDescent="0.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75" x14ac:dyDescent="0.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75" x14ac:dyDescent="0.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75" x14ac:dyDescent="0.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75" x14ac:dyDescent="0.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75" x14ac:dyDescent="0.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75" x14ac:dyDescent="0.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75" x14ac:dyDescent="0.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75" x14ac:dyDescent="0.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75" x14ac:dyDescent="0.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75" x14ac:dyDescent="0.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75" x14ac:dyDescent="0.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75" x14ac:dyDescent="0.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75" x14ac:dyDescent="0.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75" x14ac:dyDescent="0.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75" x14ac:dyDescent="0.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75" x14ac:dyDescent="0.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75" x14ac:dyDescent="0.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75" x14ac:dyDescent="0.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75" x14ac:dyDescent="0.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75" x14ac:dyDescent="0.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75" x14ac:dyDescent="0.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75" x14ac:dyDescent="0.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75" x14ac:dyDescent="0.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75" x14ac:dyDescent="0.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75" x14ac:dyDescent="0.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75" x14ac:dyDescent="0.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75" x14ac:dyDescent="0.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75" x14ac:dyDescent="0.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75" x14ac:dyDescent="0.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75" x14ac:dyDescent="0.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75" x14ac:dyDescent="0.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75" x14ac:dyDescent="0.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75" x14ac:dyDescent="0.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75" x14ac:dyDescent="0.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75" x14ac:dyDescent="0.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75" x14ac:dyDescent="0.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75" x14ac:dyDescent="0.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75" x14ac:dyDescent="0.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75" x14ac:dyDescent="0.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75" x14ac:dyDescent="0.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75" x14ac:dyDescent="0.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75" x14ac:dyDescent="0.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75" x14ac:dyDescent="0.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75" x14ac:dyDescent="0.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75" x14ac:dyDescent="0.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75" x14ac:dyDescent="0.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75" x14ac:dyDescent="0.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75" x14ac:dyDescent="0.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75" x14ac:dyDescent="0.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75" x14ac:dyDescent="0.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75" x14ac:dyDescent="0.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75" x14ac:dyDescent="0.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75" x14ac:dyDescent="0.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75" x14ac:dyDescent="0.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75" x14ac:dyDescent="0.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75" x14ac:dyDescent="0.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75" x14ac:dyDescent="0.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75" x14ac:dyDescent="0.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75" x14ac:dyDescent="0.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75" x14ac:dyDescent="0.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75" x14ac:dyDescent="0.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75" x14ac:dyDescent="0.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75" x14ac:dyDescent="0.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75" x14ac:dyDescent="0.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75" x14ac:dyDescent="0.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75" x14ac:dyDescent="0.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75" x14ac:dyDescent="0.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75" x14ac:dyDescent="0.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75" x14ac:dyDescent="0.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75" x14ac:dyDescent="0.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75" x14ac:dyDescent="0.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75" x14ac:dyDescent="0.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75" x14ac:dyDescent="0.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75" x14ac:dyDescent="0.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75" x14ac:dyDescent="0.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75" x14ac:dyDescent="0.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75" x14ac:dyDescent="0.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75" x14ac:dyDescent="0.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75" x14ac:dyDescent="0.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75" x14ac:dyDescent="0.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75" x14ac:dyDescent="0.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75" x14ac:dyDescent="0.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75" x14ac:dyDescent="0.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75" x14ac:dyDescent="0.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75" x14ac:dyDescent="0.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75" x14ac:dyDescent="0.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75" x14ac:dyDescent="0.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75" x14ac:dyDescent="0.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75" x14ac:dyDescent="0.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75" x14ac:dyDescent="0.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75" x14ac:dyDescent="0.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75" x14ac:dyDescent="0.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75" x14ac:dyDescent="0.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75" x14ac:dyDescent="0.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75" x14ac:dyDescent="0.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75" x14ac:dyDescent="0.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75" x14ac:dyDescent="0.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75" x14ac:dyDescent="0.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75" x14ac:dyDescent="0.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75" x14ac:dyDescent="0.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75" x14ac:dyDescent="0.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75" x14ac:dyDescent="0.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75" x14ac:dyDescent="0.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75" x14ac:dyDescent="0.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75" x14ac:dyDescent="0.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75" x14ac:dyDescent="0.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75" x14ac:dyDescent="0.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75" x14ac:dyDescent="0.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75" x14ac:dyDescent="0.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75" x14ac:dyDescent="0.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75" x14ac:dyDescent="0.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75" x14ac:dyDescent="0.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75" x14ac:dyDescent="0.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75" x14ac:dyDescent="0.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75" x14ac:dyDescent="0.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75" x14ac:dyDescent="0.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75" x14ac:dyDescent="0.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75" x14ac:dyDescent="0.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75" x14ac:dyDescent="0.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75" x14ac:dyDescent="0.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75" x14ac:dyDescent="0.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75" x14ac:dyDescent="0.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75" x14ac:dyDescent="0.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75" x14ac:dyDescent="0.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75" x14ac:dyDescent="0.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75" x14ac:dyDescent="0.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75" x14ac:dyDescent="0.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75" x14ac:dyDescent="0.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75" x14ac:dyDescent="0.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75" x14ac:dyDescent="0.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75" x14ac:dyDescent="0.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75" x14ac:dyDescent="0.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75" x14ac:dyDescent="0.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75" x14ac:dyDescent="0.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75" x14ac:dyDescent="0.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75" x14ac:dyDescent="0.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75" x14ac:dyDescent="0.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75" x14ac:dyDescent="0.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75" x14ac:dyDescent="0.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75" x14ac:dyDescent="0.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75" x14ac:dyDescent="0.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75" x14ac:dyDescent="0.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75" x14ac:dyDescent="0.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75" x14ac:dyDescent="0.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75" x14ac:dyDescent="0.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75" x14ac:dyDescent="0.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75" x14ac:dyDescent="0.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75" x14ac:dyDescent="0.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75" x14ac:dyDescent="0.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75" x14ac:dyDescent="0.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75" x14ac:dyDescent="0.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75" x14ac:dyDescent="0.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75" x14ac:dyDescent="0.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75" x14ac:dyDescent="0.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75" x14ac:dyDescent="0.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75" x14ac:dyDescent="0.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75" x14ac:dyDescent="0.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75" x14ac:dyDescent="0.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75" x14ac:dyDescent="0.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75" x14ac:dyDescent="0.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75" x14ac:dyDescent="0.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75" x14ac:dyDescent="0.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75" x14ac:dyDescent="0.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75" x14ac:dyDescent="0.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75" x14ac:dyDescent="0.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75" x14ac:dyDescent="0.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75" x14ac:dyDescent="0.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75" x14ac:dyDescent="0.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75" x14ac:dyDescent="0.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75" x14ac:dyDescent="0.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75" x14ac:dyDescent="0.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75" x14ac:dyDescent="0.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75" x14ac:dyDescent="0.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75" x14ac:dyDescent="0.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75" x14ac:dyDescent="0.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75" x14ac:dyDescent="0.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75" x14ac:dyDescent="0.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75" x14ac:dyDescent="0.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75" x14ac:dyDescent="0.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75" x14ac:dyDescent="0.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75" x14ac:dyDescent="0.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75" x14ac:dyDescent="0.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75" x14ac:dyDescent="0.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75" x14ac:dyDescent="0.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75" x14ac:dyDescent="0.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75" x14ac:dyDescent="0.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75" x14ac:dyDescent="0.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75" x14ac:dyDescent="0.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75" x14ac:dyDescent="0.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75" x14ac:dyDescent="0.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75" x14ac:dyDescent="0.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75" x14ac:dyDescent="0.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75" x14ac:dyDescent="0.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75" x14ac:dyDescent="0.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75" x14ac:dyDescent="0.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75" x14ac:dyDescent="0.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75" x14ac:dyDescent="0.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75" x14ac:dyDescent="0.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75" x14ac:dyDescent="0.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75" x14ac:dyDescent="0.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75" x14ac:dyDescent="0.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75" x14ac:dyDescent="0.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75" x14ac:dyDescent="0.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75" x14ac:dyDescent="0.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75" x14ac:dyDescent="0.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75" x14ac:dyDescent="0.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75" x14ac:dyDescent="0.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75" x14ac:dyDescent="0.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75" x14ac:dyDescent="0.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75" x14ac:dyDescent="0.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75" x14ac:dyDescent="0.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75" x14ac:dyDescent="0.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75" x14ac:dyDescent="0.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75" x14ac:dyDescent="0.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75" x14ac:dyDescent="0.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75" x14ac:dyDescent="0.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75" x14ac:dyDescent="0.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75" x14ac:dyDescent="0.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75" x14ac:dyDescent="0.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75" x14ac:dyDescent="0.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75" x14ac:dyDescent="0.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75" x14ac:dyDescent="0.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75" x14ac:dyDescent="0.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75" x14ac:dyDescent="0.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75" x14ac:dyDescent="0.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75" x14ac:dyDescent="0.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75" x14ac:dyDescent="0.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75" x14ac:dyDescent="0.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75" x14ac:dyDescent="0.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75" x14ac:dyDescent="0.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75" x14ac:dyDescent="0.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75" x14ac:dyDescent="0.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75" x14ac:dyDescent="0.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75" x14ac:dyDescent="0.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75" x14ac:dyDescent="0.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75" x14ac:dyDescent="0.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75" x14ac:dyDescent="0.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75" x14ac:dyDescent="0.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75" x14ac:dyDescent="0.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75" x14ac:dyDescent="0.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75" x14ac:dyDescent="0.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75" x14ac:dyDescent="0.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75" x14ac:dyDescent="0.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75" x14ac:dyDescent="0.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75" x14ac:dyDescent="0.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75" x14ac:dyDescent="0.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75" x14ac:dyDescent="0.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75" x14ac:dyDescent="0.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75" x14ac:dyDescent="0.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75" x14ac:dyDescent="0.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75" x14ac:dyDescent="0.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75" x14ac:dyDescent="0.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75" x14ac:dyDescent="0.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75" x14ac:dyDescent="0.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75" x14ac:dyDescent="0.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75" x14ac:dyDescent="0.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75" x14ac:dyDescent="0.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75" x14ac:dyDescent="0.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75" x14ac:dyDescent="0.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75" x14ac:dyDescent="0.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75" x14ac:dyDescent="0.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75" x14ac:dyDescent="0.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75" x14ac:dyDescent="0.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75" x14ac:dyDescent="0.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75" x14ac:dyDescent="0.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75" x14ac:dyDescent="0.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75" x14ac:dyDescent="0.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75" x14ac:dyDescent="0.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75" x14ac:dyDescent="0.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75" x14ac:dyDescent="0.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75" x14ac:dyDescent="0.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75" x14ac:dyDescent="0.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75" x14ac:dyDescent="0.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75" x14ac:dyDescent="0.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75" x14ac:dyDescent="0.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75" x14ac:dyDescent="0.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75" x14ac:dyDescent="0.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75" x14ac:dyDescent="0.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75" x14ac:dyDescent="0.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75" x14ac:dyDescent="0.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75" x14ac:dyDescent="0.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75" x14ac:dyDescent="0.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75" x14ac:dyDescent="0.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75" x14ac:dyDescent="0.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75" x14ac:dyDescent="0.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75" x14ac:dyDescent="0.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75" x14ac:dyDescent="0.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75" x14ac:dyDescent="0.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75" x14ac:dyDescent="0.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75" x14ac:dyDescent="0.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75" x14ac:dyDescent="0.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75" x14ac:dyDescent="0.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75" x14ac:dyDescent="0.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75" x14ac:dyDescent="0.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75" x14ac:dyDescent="0.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75" x14ac:dyDescent="0.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75" x14ac:dyDescent="0.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75" x14ac:dyDescent="0.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75" x14ac:dyDescent="0.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75" x14ac:dyDescent="0.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75" x14ac:dyDescent="0.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75" x14ac:dyDescent="0.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75" x14ac:dyDescent="0.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75" x14ac:dyDescent="0.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75" x14ac:dyDescent="0.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4.75" x14ac:dyDescent="0.7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4.75" x14ac:dyDescent="0.7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4.75" x14ac:dyDescent="0.75">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4.75" x14ac:dyDescent="0.75">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4.75" x14ac:dyDescent="0.75">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Tourists</vt:lpstr>
      <vt:lpstr>Ag</vt:lpstr>
      <vt:lpstr>Nonag</vt:lpstr>
      <vt:lpstr>Fishing</vt:lpstr>
      <vt:lpstr>Restaurants</vt:lpstr>
      <vt:lpstr>Lodges</vt:lpstr>
      <vt:lpstr>Tourism</vt:lpstr>
      <vt:lpstr>NatParkPA</vt:lpstr>
      <vt:lpstr>ComRevSh</vt:lpstr>
      <vt:lpstr>Localgov</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Kagin</dc:creator>
  <cp:lastModifiedBy>J Edward Taylor</cp:lastModifiedBy>
  <dcterms:created xsi:type="dcterms:W3CDTF">2023-06-19T15:34:23Z</dcterms:created>
  <dcterms:modified xsi:type="dcterms:W3CDTF">2023-11-21T03:18:35Z</dcterms:modified>
</cp:coreProperties>
</file>