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6A67C82E-C4D4-A74B-89BE-C68C54E4FA40}" xr6:coauthVersionLast="47" xr6:coauthVersionMax="47" xr10:uidLastSave="{00000000-0000-0000-0000-000000000000}"/>
  <bookViews>
    <workbookView xWindow="15220" yWindow="6660" windowWidth="23140" windowHeight="13680" firstSheet="1"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c r="C5" i="9"/>
  <c r="K2" i="9"/>
  <c r="D4" i="9" s="1"/>
  <c r="J2" i="9"/>
  <c r="C4" i="9" s="1"/>
  <c r="Q10" i="9"/>
  <c r="D3" i="9"/>
  <c r="C3" i="9"/>
  <c r="D2" i="9"/>
  <c r="C2" i="9"/>
  <c r="C20" i="5"/>
  <c r="C20" i="2"/>
  <c r="Q11" i="9"/>
  <c r="O11" i="9"/>
  <c r="O10" i="9"/>
  <c r="P11" i="9"/>
  <c r="P10" i="9"/>
  <c r="N11" i="9"/>
  <c r="N10" i="9"/>
  <c r="R7" i="11"/>
  <c r="R15" i="11"/>
  <c r="R16" i="11"/>
  <c r="R17" i="11"/>
  <c r="R18" i="11"/>
  <c r="R19" i="11"/>
  <c r="R20" i="11"/>
  <c r="R21" i="11"/>
  <c r="L19" i="11"/>
  <c r="K19" i="11"/>
  <c r="C74" i="15"/>
  <c r="C73" i="15"/>
  <c r="C71" i="15"/>
  <c r="C70" i="15"/>
  <c r="C69" i="15"/>
  <c r="C67" i="15"/>
  <c r="C66" i="15"/>
  <c r="C65" i="15"/>
  <c r="C64" i="15"/>
  <c r="C63" i="15"/>
  <c r="C62" i="15"/>
  <c r="C58" i="15"/>
  <c r="C57" i="15"/>
  <c r="B53" i="15"/>
  <c r="C44" i="15"/>
  <c r="C42" i="15"/>
  <c r="C72" i="15"/>
  <c r="C33" i="15"/>
  <c r="R14" i="11" s="1"/>
  <c r="C32" i="15"/>
  <c r="R13" i="11" s="1"/>
  <c r="C31" i="15"/>
  <c r="R12" i="11" s="1"/>
  <c r="C30" i="15"/>
  <c r="R11" i="11" s="1"/>
  <c r="C29" i="15"/>
  <c r="R10" i="11" s="1"/>
  <c r="C28" i="15"/>
  <c r="R9" i="11" s="1"/>
  <c r="C27" i="15"/>
  <c r="R8" i="11" s="1"/>
  <c r="C25" i="15"/>
  <c r="R6" i="11" s="1"/>
  <c r="C6" i="15"/>
  <c r="C62" i="9"/>
  <c r="C20" i="6"/>
  <c r="D14" i="6" s="1"/>
  <c r="C20" i="3"/>
  <c r="D14" i="3" s="1"/>
  <c r="C27" i="1"/>
  <c r="D18" i="3"/>
  <c r="C26" i="1"/>
  <c r="C37" i="1"/>
  <c r="C29" i="10"/>
  <c r="C19" i="1"/>
  <c r="C20" i="1"/>
  <c r="B55" i="10"/>
  <c r="C45" i="9" l="1"/>
  <c r="R22" i="11"/>
  <c r="C59" i="15"/>
  <c r="D31" i="9"/>
  <c r="C48" i="9"/>
  <c r="C30" i="9"/>
  <c r="C76" i="15"/>
  <c r="C43" i="15"/>
  <c r="D30" i="9"/>
  <c r="C46" i="9"/>
  <c r="C31" i="9"/>
  <c r="C32" i="9"/>
  <c r="D20" i="1"/>
  <c r="C45" i="15" l="1"/>
  <c r="C47" i="15" s="1"/>
  <c r="F43" i="15"/>
  <c r="C21" i="8"/>
  <c r="D17" i="6"/>
  <c r="D16" i="6"/>
  <c r="C76" i="10"/>
  <c r="C67" i="7"/>
  <c r="C55" i="7"/>
  <c r="C56" i="7"/>
  <c r="C57" i="7"/>
  <c r="C58" i="7"/>
  <c r="C59" i="7"/>
  <c r="C60" i="7"/>
  <c r="C61" i="7"/>
  <c r="C62" i="7"/>
  <c r="C63" i="7"/>
  <c r="C64" i="7"/>
  <c r="C54" i="7"/>
  <c r="C68" i="6"/>
  <c r="C56" i="6"/>
  <c r="C57" i="6"/>
  <c r="C58" i="6"/>
  <c r="C59" i="6"/>
  <c r="C60" i="6"/>
  <c r="C61" i="6"/>
  <c r="C62" i="6"/>
  <c r="C63" i="6"/>
  <c r="C64" i="6"/>
  <c r="C65" i="6"/>
  <c r="C55" i="6"/>
  <c r="C69" i="5"/>
  <c r="C57" i="5"/>
  <c r="C58" i="5"/>
  <c r="C59" i="5"/>
  <c r="C60" i="5"/>
  <c r="C61" i="5"/>
  <c r="C62" i="5"/>
  <c r="C63" i="5"/>
  <c r="C64" i="5"/>
  <c r="C65" i="5"/>
  <c r="C66" i="5"/>
  <c r="C56" i="5"/>
  <c r="C67" i="3"/>
  <c r="C67" i="4"/>
  <c r="C55" i="4"/>
  <c r="C56" i="4"/>
  <c r="C57" i="4"/>
  <c r="C58" i="4"/>
  <c r="C59" i="4"/>
  <c r="C60" i="4"/>
  <c r="C61" i="4"/>
  <c r="C62" i="4"/>
  <c r="C63" i="4"/>
  <c r="C64" i="4"/>
  <c r="C54" i="4"/>
  <c r="C55" i="2"/>
  <c r="C56" i="2"/>
  <c r="C57" i="2"/>
  <c r="C58" i="2"/>
  <c r="C59" i="2"/>
  <c r="C60" i="2"/>
  <c r="C61" i="2"/>
  <c r="C62" i="2"/>
  <c r="C63" i="2"/>
  <c r="C64" i="2"/>
  <c r="C54" i="2"/>
  <c r="C55" i="3"/>
  <c r="C56" i="3"/>
  <c r="C57" i="3"/>
  <c r="C58" i="3"/>
  <c r="C59" i="3"/>
  <c r="C60" i="3"/>
  <c r="C61" i="3"/>
  <c r="C62" i="3"/>
  <c r="C63" i="3"/>
  <c r="C64"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6" i="7"/>
  <c r="C65" i="7"/>
  <c r="C20" i="7"/>
  <c r="D18" i="7"/>
  <c r="C67" i="6"/>
  <c r="C66" i="6"/>
  <c r="D18" i="6"/>
  <c r="C68" i="5"/>
  <c r="C67" i="5"/>
  <c r="D18" i="5"/>
  <c r="D17" i="4"/>
  <c r="C66" i="4" s="1"/>
  <c r="D16" i="4"/>
  <c r="C65" i="4" s="1"/>
  <c r="D17" i="2"/>
  <c r="C66" i="2" s="1"/>
  <c r="D16" i="2"/>
  <c r="C65" i="2" s="1"/>
  <c r="D17" i="3"/>
  <c r="C66" i="3" s="1"/>
  <c r="D16" i="3"/>
  <c r="C65" i="3" s="1"/>
  <c r="C20" i="4"/>
  <c r="D14" i="4" s="1"/>
  <c r="D18" i="4"/>
  <c r="D4" i="3"/>
  <c r="C67"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3" i="9" l="1"/>
  <c r="J64" i="9"/>
  <c r="J65" i="9"/>
  <c r="J66" i="9"/>
  <c r="J67" i="9"/>
  <c r="C63" i="9"/>
  <c r="C64" i="9"/>
  <c r="C65" i="9"/>
  <c r="B63" i="9"/>
  <c r="I63" i="9" s="1"/>
  <c r="B64" i="9"/>
  <c r="I64" i="9" s="1"/>
  <c r="B65" i="9"/>
  <c r="I65"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9" i="9"/>
  <c r="B79" i="9"/>
  <c r="J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8" i="9"/>
  <c r="B68" i="9"/>
  <c r="J68" i="9"/>
  <c r="I68" i="9"/>
  <c r="C67" i="9"/>
  <c r="B67" i="9"/>
  <c r="I67" i="9" s="1"/>
  <c r="C66" i="9"/>
  <c r="B66" i="9"/>
  <c r="I66" i="9" s="1"/>
  <c r="B62" i="9"/>
  <c r="I62" i="9" s="1"/>
  <c r="J62" i="9"/>
  <c r="C60" i="9"/>
  <c r="B60" i="9"/>
  <c r="J60" i="9"/>
  <c r="I60" i="9"/>
  <c r="B59" i="9"/>
  <c r="I59" i="9"/>
  <c r="C58" i="9"/>
  <c r="B58" i="9"/>
  <c r="I58" i="9"/>
  <c r="B57" i="9"/>
  <c r="I57" i="9"/>
  <c r="J81" i="9"/>
  <c r="C81" i="9"/>
  <c r="J59" i="9"/>
  <c r="C59" i="9"/>
  <c r="J58"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7" i="9"/>
  <c r="B14" i="12"/>
  <c r="O4" i="11"/>
  <c r="O4" i="12" s="1"/>
  <c r="C44" i="1"/>
  <c r="C46" i="3"/>
  <c r="J7" i="9"/>
  <c r="H12" i="9"/>
  <c r="D41" i="9"/>
  <c r="L14" i="11" s="1"/>
  <c r="L14" i="12" s="1"/>
  <c r="C33" i="9"/>
  <c r="K21" i="11"/>
  <c r="K20" i="12" s="1"/>
  <c r="J57"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<sst xmlns="http://schemas.openxmlformats.org/spreadsheetml/2006/main" count="1366" uniqueCount="589">
  <si>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</si>
  <si>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</si>
  <si>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</si>
  <si>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</si>
  <si>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</si>
  <si>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</si>
  <si>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</si>
  <si>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</si>
  <si>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</si>
  <si>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</si>
  <si>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</si>
  <si>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</si>
  <si>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</si>
  <si>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</si>
  <si>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</si>
  <si>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</si>
  <si>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</si>
  <si>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</si>
  <si>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</si>
  <si>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</si>
  <si>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</si>
  <si>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</si>
  <si>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</si>
  <si>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</si>
  <si>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</si>
  <si>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</si>
  <si>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</si>
  <si>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</si>
  <si>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</si>
  <si>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</si>
  <si>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</si>
  <si>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</si>
  <si>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</si>
  <si>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</si>
  <si>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</si>
  <si>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</si>
  <si>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</si>
  <si>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</si>
  <si>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</si>
  <si>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</si>
  <si>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</si>
  <si>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</si>
  <si>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</si>
  <si>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</si>
  <si>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</si>
  <si>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</si>
  <si>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</si>
  <si>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</si>
  <si>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</si>
  <si>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</si>
  <si>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</si>
  <si>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</si>
  <si>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</si>
  <si>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</si>
  <si>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</si>
  <si>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</si>
  <si>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</si>
  <si>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</si>
  <si>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</si>
  <si>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</si>
  <si>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</si>
  <si>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</si>
  <si>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</si>
  <si>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</si>
  <si>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</si>
  <si>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</si>
  <si>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</si>
  <si>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</si>
  <si>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</si>
  <si>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</si>
  <si>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</si>
  <si>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</si>
  <si>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</si>
  <si>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</si>
  <si>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</si>
  <si>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</si>
  <si>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</si>
  <si>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</si>
  <si>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</si>
  <si>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</si>
  <si>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</si>
  <si>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</si>
  <si>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</si>
  <si>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</si>
  <si>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</si>
  <si>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</si>
  <si>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</si>
  <si>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</si>
  <si>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</si>
  <si>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</si>
  <si>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</si>
  <si>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</si>
  <si>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</si>
  <si>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</si>
  <si>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</si>
  <si>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</si>
  <si>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</si>
  <si>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</si>
  <si>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</si>
  <si>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</si>
  <si>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</si>
  <si>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</si>
  <si>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</si>
  <si>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</si>
  <si>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</si>
  <si>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</si>
  <si>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</si>
  <si>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</si>
  <si>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</si>
  <si>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</si>
  <si>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</si>
  <si>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</si>
  <si>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</si>
  <si>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</si>
  <si>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</si>
  <si>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</si>
  <si>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</si>
  <si>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</si>
  <si>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</si>
  <si>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</si>
  <si>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</si>
  <si>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</si>
  <si>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</si>
  <si>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</si>
  <si>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</si>
  <si>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</si>
  <si>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</si>
  <si>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</si>
  <si>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</si>
  <si>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</si>
  <si>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</si>
  <si>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</si>
  <si>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</si>
  <si>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</si>
  <si>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</si>
  <si>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</si>
  <si>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</si>
  <si>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</si>
  <si>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</si>
  <si>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</si>
  <si>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</si>
  <si>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</si>
  <si>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</si>
  <si>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</si>
  <si>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</si>
  <si>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</si>
  <si>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</si>
  <si>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</si>
  <si>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</si>
  <si>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</si>
  <si>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</si>
  <si>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</si>
  <si>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</si>
  <si>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</si>
  <si>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</si>
  <si>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</si>
  <si>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</si>
  <si>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</si>
  <si>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</si>
  <si>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</si>
  <si>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</si>
  <si>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</si>
  <si>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</si>
  <si>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</si>
  <si>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</si>
  <si>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</si>
  <si>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</si>
  <si>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</si>
  <si>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</si>
  <si>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</si>
  <si>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</si>
  <si>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</si>
  <si>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</si>
  <si>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</si>
  <si>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</si>
  <si>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</si>
  <si>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</si>
  <si>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</si>
  <si>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</si>
  <si>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</si>
  <si>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</si>
  <si>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</si>
  <si>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</si>
  <si>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</si>
  <si>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</si>
  <si>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</si>
  <si>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</si>
  <si>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</si>
  <si>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</si>
  <si>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</si>
  <si>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</si>
  <si>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</si>
  <si>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</si>
  <si>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</si>
  <si>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</si>
  <si>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</si>
  <si>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</si>
  <si>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</si>
  <si>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</si>
  <si>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</si>
  <si>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</si>
  <si>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</si>
  <si>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</si>
  <si>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</si>
  <si>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</si>
  <si>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</si>
  <si>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</si>
  <si>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</si>
  <si>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</si>
  <si>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</si>
  <si>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</si>
  <si>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</si>
  <si>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</si>
  <si>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</si>
  <si>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</si>
  <si>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</si>
  <si>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</si>
  <si>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</si>
  <si>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</si>
  <si>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</si>
  <si>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</si>
  <si>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</si>
  <si>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</si>
  <si>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</si>
  <si>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</si>
  <si>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</si>
  <si>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</si>
  <si>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</si>
  <si>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</si>
  <si>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</si>
  <si>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</si>
  <si>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</si>
  <si>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</si>
  <si>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</si>
  <si>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</si>
  <si>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</si>
  <si>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</si>
  <si>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</si>
  <si>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</si>
  <si>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</si>
  <si>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</si>
  <si>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</si>
  <si>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</si>
  <si>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</si>
  <si>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</si>
  <si>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</si>
  <si>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</si>
  <si>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</si>
  <si>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</si>
  <si>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</si>
  <si>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</si>
  <si>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</si>
  <si>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</si>
  <si>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</si>
  <si>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</si>
  <si>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</si>
  <si>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</si>
  <si>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</si>
  <si>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</si>
  <si>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</si>
  <si>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</si>
  <si>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</si>
  <si>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</si>
  <si>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</si>
  <si>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</si>
  <si>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</si>
  <si>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</si>
  <si>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</si>
  <si>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</si>
  <si>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</si>
  <si>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</si>
  <si>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</si>
  <si>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</si>
  <si>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</si>
  <si>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</si>
  <si>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</si>
  <si>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</si>
  <si>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</si>
  <si>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</si>
  <si>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</si>
  <si>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</si>
  <si>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</si>
  <si>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</si>
  <si>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</si>
  <si>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</si>
  <si>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</si>
  <si>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</si>
  <si>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</si>
  <si>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</si>
  <si>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</si>
  <si>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</si>
  <si>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</si>
  <si>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</si>
  <si>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</si>
  <si>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</si>
  <si>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</si>
  <si>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</si>
  <si>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</si>
  <si>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</si>
  <si>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</si>
  <si>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</si>
  <si>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</si>
  <si>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</si>
  <si>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</si>
  <si>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</si>
  <si>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</si>
  <si>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</si>
  <si>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</si>
  <si>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</si>
  <si>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</si>
  <si>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</si>
  <si>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</si>
  <si>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</si>
  <si>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</si>
  <si>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</si>
  <si>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</si>
  <si>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</si>
  <si>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</si>
  <si>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</si>
  <si>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</si>
  <si>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</si>
  <si>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</si>
  <si>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</si>
  <si>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</si>
  <si>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</si>
  <si>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</si>
  <si>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</si>
  <si>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</si>
  <si>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</si>
  <si>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</si>
  <si>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</si>
  <si>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</si>
  <si>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</si>
  <si>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</si>
  <si>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</si>
  <si>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</si>
  <si>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</si>
  <si>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</si>
  <si>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</si>
  <si>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</si>
  <si>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</si>
  <si>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</si>
  <si>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</si>
  <si>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</si>
  <si>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</si>
  <si>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</si>
  <si>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</si>
  <si>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</si>
  <si>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</si>
  <si>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</si>
  <si>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</si>
  <si>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</si>
  <si>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</si>
  <si>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</si>
  <si>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</si>
  <si>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</si>
  <si>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</si>
  <si>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</si>
  <si>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</si>
  <si>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</si>
  <si>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</si>
  <si>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</si>
  <si>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</si>
  <si>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</si>
  <si>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</si>
  <si>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</si>
  <si>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</si>
  <si>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</si>
  <si>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</si>
  <si>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</si>
  <si>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</si>
  <si>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</si>
  <si>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</si>
  <si>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</si>
  <si>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</si>
  <si>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</si>
  <si>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</si>
  <si>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</si>
  <si>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</si>
  <si>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</si>
  <si>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</si>
  <si>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</si>
  <si>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</si>
  <si>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</si>
  <si>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</si>
  <si>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</si>
  <si>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</si>
  <si>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</si>
  <si>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</si>
  <si>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</si>
  <si>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</si>
  <si>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</si>
  <si>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</si>
  <si>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</si>
  <si>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</si>
  <si>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</si>
  <si>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</si>
  <si>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</si>
  <si>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</si>
  <si>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</si>
  <si>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</si>
  <si>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</si>
  <si>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</si>
  <si>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</si>
  <si>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</si>
  <si>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</si>
  <si>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</si>
  <si>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</si>
  <si>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</si>
  <si>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</si>
  <si>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</si>
  <si>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</si>
  <si>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</si>
  <si>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</si>
  <si>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</si>
  <si>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</si>
  <si>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</si>
  <si>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</si>
  <si>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</si>
  <si>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</si>
  <si>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</si>
  <si>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</si>
  <si>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</si>
  <si>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</si>
  <si>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</si>
  <si>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</si>
  <si>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</si>
  <si>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</si>
  <si>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</si>
  <si>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</si>
  <si>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</si>
  <si>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</si>
  <si>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</si>
  <si>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</si>
  <si>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</si>
  <si>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</si>
  <si>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</si>
  <si>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</si>
  <si>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</si>
  <si>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</si>
  <si>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</si>
  <si>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</si>
  <si>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</si>
  <si>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</si>
  <si>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</si>
  <si>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</si>
  <si>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</si>
  <si>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</si>
  <si>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</si>
  <si>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</si>
  <si>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</si>
  <si>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</si>
  <si>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</si>
  <si>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</si>
  <si>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</si>
  <si>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</si>
  <si>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</si>
  <si>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</si>
  <si>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</si>
  <si>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</si>
  <si>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</si>
  <si>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</si>
  <si>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</si>
  <si>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</si>
  <si>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</si>
  <si>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</si>
  <si>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</si>
  <si>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</si>
  <si>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</si>
  <si>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</si>
  <si>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</si>
  <si>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</si>
  <si>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</si>
  <si>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</si>
  <si>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</si>
  <si>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</si>
  <si>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</si>
  <si>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</si>
  <si>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</si>
  <si>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</si>
  <si>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</si>
  <si>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</si>
  <si>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</si>
  <si>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</si>
  <si>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</si>
  <si>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</si>
  <si>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</si>
  <si>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</si>
  <si>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</si>
  <si>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</si>
  <si>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</si>
  <si>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</si>
  <si>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</si>
  <si>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</si>
  <si>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</si>
  <si>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</si>
  <si>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</si>
  <si>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</si>
  <si>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</si>
  <si>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</si>
  <si>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</si>
  <si>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</si>
  <si>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</si>
  <si>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</si>
  <si>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</si>
  <si>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</si>
  <si>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</si>
  <si>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</si>
  <si>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</si>
  <si>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</si>
  <si>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</si>
  <si>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</si>
  <si>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</si>
  <si>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</si>
  <si>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</si>
  <si>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</si>
  <si>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</si>
  <si>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</si>
  <si>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</si>
  <si>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</si>
  <si>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</si>
  <si>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</si>
  <si>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</si>
  <si>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</si>
  <si>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</si>
  <si>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</si>
  <si>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</si>
  <si>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</si>
  <si>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</si>
  <si>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</si>
  <si>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</si>
  <si>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</si>
  <si>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</si>
  <si>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</si>
  <si>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</si>
  <si>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</si>
  <si>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</si>
  <si>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</si>
  <si>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</si>
  <si>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</si>
  <si>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</si>
  <si>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</si>
  <si>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</si>
  <si>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</si>
  <si>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</si>
  <si>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</si>
  <si>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</si>
  <si>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</si>
  <si>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</si>
  <si>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</si>
  <si>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</si>
  <si>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This is a mistake, the labels in the Expenditure column are incorrect</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</si>
  <si>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</si>
  <si>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</si>
  <si>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</si>
  <si>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</si>
  <si>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</si>
  <si>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</si>
  <si>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</si>
  <si>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</si>
  <si>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</si>
  <si>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</si>
  <si>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annual government budget</t>
  </si>
  <si>
    <t>Total local taxes collected</t>
  </si>
  <si>
    <t>Difference (net transfer from federal government to local government)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</si>
  <si>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</si>
  <si>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</si>
  <si>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</si>
  <si>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</si>
  <si>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</si>
  <si>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</si>
  <si>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</si>
  <si>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</si>
  <si>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</si>
  <si>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</si>
  <si>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</si>
  <si>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</si>
  <si>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</si>
  <si>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</si>
  <si>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</si>
  <si>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</si>
  <si>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</si>
  <si>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</si>
  <si>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</si>
  <si>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</si>
  <si>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</si>
  <si>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</si>
  <si>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</si>
  <si>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Nosy Tanikley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</si>
</sst>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38"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sz val="10"/>
      <name val="Calibri"/>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0">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10" borderId="76" xfId="0" applyNumberFormat="1" applyFont="1" applyFill="1" applyBorder="1"/>
    <xf numFmtId="9" fontId="5" fillId="10" borderId="65" xfId="0" applyNumberFormat="1" applyFont="1" applyFill="1" applyBorder="1"/>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1" fontId="8" fillId="8" borderId="15" xfId="0" applyNumberFormat="1" applyFont="1" applyFill="1" applyBorder="1" applyAlignment="1">
      <alignment horizontal="center" vertical="center"/>
    </xf>
    <xf numFmtId="43" fontId="4" fillId="8" borderId="6" xfId="0" applyNumberFormat="1" applyFont="1" applyFill="1" applyBorder="1" applyAlignment="1">
      <alignment vertical="center"/>
    </xf>
    <xf numFmtId="0" fontId="4" fillId="8" borderId="47" xfId="0" applyFont="1" applyFill="1" applyBorder="1" applyAlignment="1">
      <alignment wrapText="1"/>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164" fontId="37" fillId="0" borderId="0" xfId="0" applyNumberFormat="1" applyFont="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0.77035157604271343</c:v>
                </c:pt>
                <c:pt idx="1">
                  <c:v>0.53337985669133214</c:v>
                </c:pt>
                <c:pt idx="2">
                  <c:v>2.166605178155903</c:v>
                </c:pt>
                <c:pt idx="3">
                  <c:v>0.2837364924366953</c:v>
                </c:pt>
                <c:pt idx="4">
                  <c:v>0.21184715325127609</c:v>
                </c:pt>
                <c:pt idx="5">
                  <c:v>6.451054004632694E-7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0.44663001481560294</c:v>
                </c:pt>
                <c:pt idx="1">
                  <c:v>0.14784082259182779</c:v>
                </c:pt>
                <c:pt idx="2">
                  <c:v>9.7717892543602775E-2</c:v>
                </c:pt>
                <c:pt idx="3">
                  <c:v>0.28251745759637087</c:v>
                </c:pt>
                <c:pt idx="4">
                  <c:v>1.2933611093476187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1.0362941784549924</c:v>
                </c:pt>
                <c:pt idx="1">
                  <c:v>1.2317731184400309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56.709941459616587</c:v>
                </c:pt>
                <c:pt idx="1">
                  <c:v>67.407289252949681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472</v>
      </c>
    </row>
    <row r="3" spans="1:2" s="137" customFormat="1" ht="16" x14ac:dyDescent="0.2">
      <c r="B3" s="136" t="s">
        <v>473</v>
      </c>
    </row>
    <row r="4" spans="1:2" s="137" customFormat="1" ht="16" x14ac:dyDescent="0.2">
      <c r="B4" s="137" t="s">
        <v>474</v>
      </c>
    </row>
    <row r="5" spans="1:2" s="137" customFormat="1" ht="16" x14ac:dyDescent="0.2"/>
    <row r="6" spans="1:2" s="137" customFormat="1" ht="16" x14ac:dyDescent="0.2">
      <c r="B6" s="136" t="s">
        <v>475</v>
      </c>
    </row>
    <row r="7" spans="1:2" s="137" customFormat="1" ht="16" x14ac:dyDescent="0.2">
      <c r="B7" s="137" t="s">
        <v>476</v>
      </c>
    </row>
    <row r="8" spans="1:2" s="137" customFormat="1" ht="16" x14ac:dyDescent="0.2"/>
    <row r="9" spans="1:2" s="137" customFormat="1" ht="16" x14ac:dyDescent="0.2">
      <c r="B9" s="137" t="s">
        <v>477</v>
      </c>
    </row>
    <row r="10" spans="1:2" s="137" customFormat="1" ht="16" x14ac:dyDescent="0.2"/>
    <row r="11" spans="1:2" s="137" customFormat="1" ht="16" x14ac:dyDescent="0.2"/>
    <row r="12" spans="1:2" s="137" customFormat="1" ht="16" x14ac:dyDescent="0.2"/>
    <row r="13" spans="1:2" s="137" customFormat="1" ht="16" x14ac:dyDescent="0.2">
      <c r="A13" s="455" t="s">
        <v>528</v>
      </c>
    </row>
    <row r="14" spans="1:2" s="137" customFormat="1" ht="16" x14ac:dyDescent="0.2">
      <c r="B14" s="455" t="s">
        <v>529</v>
      </c>
    </row>
    <row r="15" spans="1:2" s="137" customFormat="1" ht="16" x14ac:dyDescent="0.2">
      <c r="B15" s="455" t="s">
        <v>530</v>
      </c>
    </row>
    <row r="16" spans="1:2" s="137" customFormat="1" ht="16" x14ac:dyDescent="0.2">
      <c r="B16" s="455" t="s">
        <v>531</v>
      </c>
    </row>
    <row r="17" spans="2:2" s="137" customFormat="1" ht="16" x14ac:dyDescent="0.2">
      <c r="B17" s="455" t="s">
        <v>532</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20" zoomScaleNormal="120" workbookViewId="0">
      <selection activeCell="C9" sqref="C9"/>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462</v>
      </c>
      <c r="C1" s="127" t="s">
        <v>518</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478</v>
      </c>
      <c r="C3" s="131">
        <v>1E-3</v>
      </c>
      <c r="D3" s="181" t="s">
        <v>7</v>
      </c>
      <c r="E3" s="128">
        <v>32850</v>
      </c>
      <c r="F3" s="128">
        <v>32850</v>
      </c>
      <c r="G3" s="128">
        <v>1</v>
      </c>
      <c r="H3" s="195" t="s">
        <v>470</v>
      </c>
    </row>
    <row r="4" spans="1:8" ht="14.25" customHeight="1" x14ac:dyDescent="0.2">
      <c r="A4" s="102"/>
      <c r="B4" s="187" t="s">
        <v>9</v>
      </c>
      <c r="C4" s="132">
        <v>18.690000000000001</v>
      </c>
      <c r="D4" s="181" t="s">
        <v>10</v>
      </c>
      <c r="E4" s="128">
        <v>1</v>
      </c>
      <c r="F4" s="128">
        <v>8</v>
      </c>
      <c r="G4" s="128">
        <v>1</v>
      </c>
      <c r="H4" s="196"/>
    </row>
    <row r="5" spans="1:8" ht="14.25" customHeight="1" x14ac:dyDescent="0.2">
      <c r="A5" s="102"/>
      <c r="B5" s="187" t="s">
        <v>11</v>
      </c>
      <c r="C5" s="132">
        <v>17.7</v>
      </c>
      <c r="D5" s="181" t="s">
        <v>12</v>
      </c>
      <c r="E5" s="128">
        <v>0</v>
      </c>
      <c r="F5" s="128">
        <v>9</v>
      </c>
      <c r="G5" s="128">
        <v>1</v>
      </c>
      <c r="H5" s="196"/>
    </row>
    <row r="6" spans="1:8" ht="14.25" customHeight="1" x14ac:dyDescent="0.2">
      <c r="A6" s="102"/>
      <c r="B6" s="187" t="s">
        <v>550</v>
      </c>
      <c r="C6" s="132">
        <v>74.169390000000007</v>
      </c>
      <c r="D6" s="181" t="s">
        <v>13</v>
      </c>
      <c r="E6" s="128">
        <v>0</v>
      </c>
      <c r="F6" s="128">
        <v>150</v>
      </c>
      <c r="G6" s="128">
        <v>1</v>
      </c>
      <c r="H6" s="196"/>
    </row>
    <row r="7" spans="1:8" ht="14.25" customHeight="1" x14ac:dyDescent="0.2">
      <c r="A7" s="102"/>
      <c r="B7" s="188" t="s">
        <v>14</v>
      </c>
      <c r="C7" s="193">
        <v>37187</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518</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11.593072888000268</v>
      </c>
      <c r="D12" s="181" t="s">
        <v>20</v>
      </c>
      <c r="E12" s="128">
        <v>0</v>
      </c>
      <c r="F12" s="128">
        <v>236</v>
      </c>
      <c r="G12" s="128">
        <v>0.1</v>
      </c>
      <c r="H12" s="8" t="s">
        <v>21</v>
      </c>
    </row>
    <row r="13" spans="1:8" ht="14.25" customHeight="1" x14ac:dyDescent="0.2">
      <c r="A13" s="102"/>
      <c r="B13" s="190" t="s">
        <v>22</v>
      </c>
      <c r="C13" s="134">
        <v>25.118751859256182</v>
      </c>
      <c r="D13" s="181" t="s">
        <v>23</v>
      </c>
      <c r="E13" s="128">
        <v>0</v>
      </c>
      <c r="F13" s="128">
        <v>694</v>
      </c>
      <c r="G13" s="128">
        <v>0.1</v>
      </c>
      <c r="H13" s="8"/>
    </row>
    <row r="14" spans="1:8" ht="14.25" customHeight="1" x14ac:dyDescent="0.2">
      <c r="A14" s="102"/>
      <c r="B14" s="190" t="s">
        <v>24</v>
      </c>
      <c r="C14" s="134">
        <v>4.0697997012142393</v>
      </c>
      <c r="D14" s="181" t="s">
        <v>25</v>
      </c>
      <c r="E14" s="128">
        <v>0</v>
      </c>
      <c r="F14" s="128">
        <v>536</v>
      </c>
      <c r="G14" s="128">
        <v>0.1</v>
      </c>
      <c r="H14" s="8"/>
    </row>
    <row r="15" spans="1:8" ht="14.25" customHeight="1" x14ac:dyDescent="0.2">
      <c r="A15" s="102"/>
      <c r="B15" s="190" t="s">
        <v>549</v>
      </c>
      <c r="C15" s="134">
        <v>6.698717000280813</v>
      </c>
      <c r="D15" s="181" t="s">
        <v>26</v>
      </c>
      <c r="E15" s="128">
        <v>0</v>
      </c>
      <c r="F15" s="128">
        <v>225</v>
      </c>
      <c r="G15" s="128">
        <v>0.1</v>
      </c>
      <c r="H15" s="8"/>
    </row>
    <row r="16" spans="1:8" ht="14.25" customHeight="1" x14ac:dyDescent="0.2">
      <c r="A16" s="102"/>
      <c r="B16" s="191" t="s">
        <v>548</v>
      </c>
      <c r="C16" s="134">
        <v>1.5434253820346635</v>
      </c>
      <c r="D16" s="189" t="s">
        <v>27</v>
      </c>
      <c r="E16" s="128">
        <v>0</v>
      </c>
      <c r="F16" s="128">
        <v>962</v>
      </c>
      <c r="G16" s="128">
        <v>0.1</v>
      </c>
      <c r="H16" s="9"/>
    </row>
    <row r="17" spans="1:8" ht="14.25" customHeight="1" x14ac:dyDescent="0.2">
      <c r="A17" s="102"/>
      <c r="B17" s="191" t="s">
        <v>541</v>
      </c>
      <c r="C17" s="461">
        <v>1.4784649192042862</v>
      </c>
      <c r="D17" s="189" t="s">
        <v>17</v>
      </c>
      <c r="E17" s="128">
        <v>0</v>
      </c>
      <c r="F17" s="128">
        <v>1145</v>
      </c>
      <c r="G17" s="128">
        <v>0.1</v>
      </c>
      <c r="H17" s="1" t="s">
        <v>18</v>
      </c>
    </row>
    <row r="18" spans="1:8" ht="14.25" customHeight="1" x14ac:dyDescent="0.2"/>
    <row r="19" spans="1:8" ht="14.25" customHeight="1" x14ac:dyDescent="0.2">
      <c r="B19" s="458" t="s">
        <v>539</v>
      </c>
      <c r="C19" s="459">
        <f>C17*(C3+C7)</f>
        <v>54979.676428914703</v>
      </c>
    </row>
    <row r="20" spans="1:8" ht="14.25" customHeight="1" x14ac:dyDescent="0.2">
      <c r="B20" s="11"/>
      <c r="C20" s="460">
        <f>NatParkPA!C6</f>
        <v>211964.46021993327</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471</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1085435.2124132421</v>
      </c>
      <c r="D26" s="416" t="s">
        <v>33</v>
      </c>
      <c r="E26" s="413"/>
      <c r="F26" s="413"/>
      <c r="G26" s="413"/>
      <c r="H26" s="414"/>
    </row>
    <row r="27" spans="1:8" ht="14.25" customHeight="1" x14ac:dyDescent="0.2">
      <c r="B27" s="410" t="s">
        <v>34</v>
      </c>
      <c r="C27" s="415">
        <f>($C$7+$C$4*$C$3)*SUM($C$15:$C$16)</f>
        <v>306500.70281680673</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410" t="s">
        <v>38</v>
      </c>
      <c r="C29" s="415">
        <v>0</v>
      </c>
      <c r="D29" s="412" t="s">
        <v>39</v>
      </c>
      <c r="E29" s="413"/>
      <c r="F29" s="413"/>
      <c r="G29" s="413"/>
      <c r="H29" s="414"/>
    </row>
    <row r="30" spans="1:8" ht="15.75" customHeight="1" x14ac:dyDescent="0.2">
      <c r="B30" s="410" t="s">
        <v>40</v>
      </c>
      <c r="C30" s="415">
        <v>0</v>
      </c>
      <c r="D30" s="412" t="s">
        <v>39</v>
      </c>
      <c r="E30" s="413"/>
      <c r="F30" s="413"/>
      <c r="G30" s="413"/>
      <c r="H30" s="414"/>
    </row>
    <row r="31" spans="1:8" ht="15.75" customHeight="1" x14ac:dyDescent="0.2">
      <c r="B31" s="410" t="s">
        <v>41</v>
      </c>
      <c r="C31" s="415">
        <v>0</v>
      </c>
      <c r="D31" s="412" t="s">
        <v>39</v>
      </c>
      <c r="E31" s="413"/>
      <c r="F31" s="413"/>
      <c r="G31" s="413"/>
      <c r="H31" s="414"/>
    </row>
    <row r="32" spans="1:8" ht="15.75" customHeight="1" x14ac:dyDescent="0.2">
      <c r="B32" s="410"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431111.81816059822</v>
      </c>
      <c r="D36" s="416" t="s">
        <v>49</v>
      </c>
      <c r="E36" s="413"/>
      <c r="F36" s="413"/>
      <c r="G36" s="413"/>
      <c r="H36" s="414"/>
    </row>
    <row r="37" spans="2:8" ht="14.25" customHeight="1" x14ac:dyDescent="0.2">
      <c r="B37" s="410" t="s">
        <v>50</v>
      </c>
      <c r="C37" s="415">
        <f>C5*C3*$C$6</f>
        <v>1.3127982030000001</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211964.46021993327</v>
      </c>
      <c r="D39" s="416" t="s">
        <v>534</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573</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2035013.5064087831</v>
      </c>
      <c r="D44" s="416" t="s">
        <v>62</v>
      </c>
      <c r="E44" s="413"/>
      <c r="F44" s="413"/>
      <c r="G44" s="413"/>
      <c r="H44" s="414"/>
    </row>
    <row r="45" spans="2:8" ht="14.25" customHeight="1" x14ac:dyDescent="0.2">
      <c r="B45" s="410" t="s">
        <v>63</v>
      </c>
      <c r="C45" s="415">
        <f>$C$3*($C$17+$C$4*SUM($C$12:$C$16)+$C$5*$C$6)+$C$7*($C$17+SUM($C$12:$C$16))</f>
        <v>1878028.7226177647</v>
      </c>
      <c r="D45" s="416" t="s">
        <v>64</v>
      </c>
      <c r="E45" s="413"/>
      <c r="F45" s="413"/>
      <c r="G45" s="413"/>
      <c r="H45" s="414"/>
    </row>
    <row r="46" spans="2:8" ht="14.25" customHeight="1" x14ac:dyDescent="0.2">
      <c r="B46" s="410" t="s">
        <v>65</v>
      </c>
      <c r="C46" s="415">
        <f>C45-C44</f>
        <v>-156984.78379101842</v>
      </c>
      <c r="D46" s="416" t="s">
        <v>66</v>
      </c>
      <c r="E46" s="413"/>
      <c r="F46" s="413"/>
      <c r="G46" s="413"/>
      <c r="H46" s="414"/>
    </row>
    <row r="47" spans="2:8" ht="14.25" customHeight="1" thickBot="1" x14ac:dyDescent="0.25">
      <c r="B47" s="419" t="s">
        <v>67</v>
      </c>
      <c r="C47" s="420">
        <f>C46/C45</f>
        <v>-8.3590193217172398E-2</v>
      </c>
      <c r="D47" s="421" t="s">
        <v>68</v>
      </c>
      <c r="E47" s="422"/>
      <c r="F47" s="422"/>
      <c r="G47" s="422"/>
      <c r="H47" s="423"/>
    </row>
    <row r="48" spans="2:8" ht="14.25" customHeight="1" x14ac:dyDescent="0.2"/>
    <row r="49" spans="3:3" ht="14.25" customHeight="1" x14ac:dyDescent="0.2"/>
    <row r="50" spans="3:3" ht="14.25" customHeight="1" x14ac:dyDescent="0.2">
      <c r="C50" s="42" t="s">
        <v>535</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8"/>
  <sheetViews>
    <sheetView topLeftCell="B1" zoomScale="112" workbookViewId="0">
      <selection activeCell="C4" sqref="C4:C18"/>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518</v>
      </c>
      <c r="D1" s="42"/>
      <c r="H1" s="8"/>
    </row>
    <row r="2" spans="1:8" ht="54" customHeight="1" x14ac:dyDescent="0.2">
      <c r="A2" s="225"/>
      <c r="B2" s="261" t="s">
        <v>464</v>
      </c>
      <c r="C2" s="262"/>
      <c r="D2" s="263"/>
      <c r="F2" s="115"/>
      <c r="G2" s="115"/>
      <c r="H2" s="124"/>
    </row>
    <row r="3" spans="1:8" ht="14.25" customHeight="1" x14ac:dyDescent="0.2">
      <c r="A3" s="258"/>
      <c r="B3" s="264" t="s">
        <v>0</v>
      </c>
      <c r="C3" s="265" t="s">
        <v>468</v>
      </c>
      <c r="D3" s="266" t="s">
        <v>510</v>
      </c>
      <c r="E3" s="42" t="s">
        <v>465</v>
      </c>
      <c r="F3" s="125"/>
      <c r="G3" s="125"/>
      <c r="H3" s="125"/>
    </row>
    <row r="4" spans="1:8" ht="33.75" customHeight="1" x14ac:dyDescent="0.2">
      <c r="A4" s="487" t="s">
        <v>511</v>
      </c>
      <c r="B4" s="117" t="s">
        <v>71</v>
      </c>
      <c r="C4" s="119">
        <v>0.21199999999999999</v>
      </c>
      <c r="D4" s="123">
        <f t="shared" ref="D4:D15" si="0">C4/$C$20*(1-$C$18)</f>
        <v>0.16006000000000001</v>
      </c>
      <c r="E4" s="37" t="s">
        <v>72</v>
      </c>
      <c r="F4" s="102"/>
      <c r="G4" s="102"/>
      <c r="H4" s="115"/>
    </row>
    <row r="5" spans="1:8" ht="33.75" customHeight="1" x14ac:dyDescent="0.2">
      <c r="A5" s="488"/>
      <c r="B5" s="117" t="s">
        <v>73</v>
      </c>
      <c r="C5" s="119">
        <v>8.0000000000000002E-3</v>
      </c>
      <c r="D5" s="123">
        <f t="shared" si="0"/>
        <v>6.0400000000000002E-3</v>
      </c>
      <c r="F5" s="102"/>
      <c r="G5" s="102"/>
      <c r="H5" s="126"/>
    </row>
    <row r="6" spans="1:8" ht="33.75" customHeight="1" x14ac:dyDescent="0.2">
      <c r="A6" s="488"/>
      <c r="B6" s="117" t="s">
        <v>74</v>
      </c>
      <c r="C6" s="119">
        <v>2.2000000000000002E-2</v>
      </c>
      <c r="D6" s="123">
        <f t="shared" si="0"/>
        <v>1.6610000000000003E-2</v>
      </c>
      <c r="F6" s="102"/>
      <c r="G6" s="102"/>
      <c r="H6" s="126"/>
    </row>
    <row r="7" spans="1:8" ht="33.75" customHeight="1" x14ac:dyDescent="0.2">
      <c r="A7" s="488"/>
      <c r="B7" s="117" t="s">
        <v>75</v>
      </c>
      <c r="C7" s="119">
        <v>1E-3</v>
      </c>
      <c r="D7" s="123">
        <f t="shared" si="0"/>
        <v>7.5500000000000003E-4</v>
      </c>
      <c r="F7" s="102"/>
      <c r="G7" s="102"/>
      <c r="H7" s="126"/>
    </row>
    <row r="8" spans="1:8" ht="33.75" customHeight="1" x14ac:dyDescent="0.2">
      <c r="A8" s="488"/>
      <c r="B8" s="117" t="s">
        <v>76</v>
      </c>
      <c r="C8" s="119">
        <v>0.10100000000000001</v>
      </c>
      <c r="D8" s="161">
        <f t="shared" si="0"/>
        <v>7.6255000000000003E-2</v>
      </c>
      <c r="F8" s="102"/>
      <c r="G8" s="102"/>
      <c r="H8" s="126"/>
    </row>
    <row r="9" spans="1:8" ht="33.75" customHeight="1" x14ac:dyDescent="0.2">
      <c r="A9" s="488"/>
      <c r="B9" s="117" t="s">
        <v>499</v>
      </c>
      <c r="C9" s="119">
        <v>0</v>
      </c>
      <c r="D9" s="161">
        <f t="shared" si="0"/>
        <v>0</v>
      </c>
      <c r="F9" s="102"/>
      <c r="G9" s="102"/>
      <c r="H9" s="126"/>
    </row>
    <row r="10" spans="1:8" ht="33.75" customHeight="1" x14ac:dyDescent="0.2">
      <c r="A10" s="488"/>
      <c r="B10" s="118" t="s">
        <v>77</v>
      </c>
      <c r="C10" s="120">
        <v>0</v>
      </c>
      <c r="D10" s="161">
        <f t="shared" si="0"/>
        <v>0</v>
      </c>
      <c r="F10" s="102"/>
      <c r="G10" s="102"/>
      <c r="H10" s="126"/>
    </row>
    <row r="11" spans="1:8" ht="33.75" customHeight="1" x14ac:dyDescent="0.2">
      <c r="A11" s="488"/>
      <c r="B11" s="117" t="s">
        <v>78</v>
      </c>
      <c r="C11" s="119">
        <v>0.20499999999999999</v>
      </c>
      <c r="D11" s="161">
        <f t="shared" si="0"/>
        <v>0.154775</v>
      </c>
      <c r="E11" s="37" t="s">
        <v>79</v>
      </c>
      <c r="F11" s="102"/>
      <c r="G11" s="102"/>
      <c r="H11" s="115"/>
    </row>
    <row r="12" spans="1:8" ht="33.75" customHeight="1" x14ac:dyDescent="0.2">
      <c r="A12" s="488"/>
      <c r="B12" s="117" t="s">
        <v>80</v>
      </c>
      <c r="C12" s="119">
        <v>0.33600000000000002</v>
      </c>
      <c r="D12" s="161">
        <f t="shared" si="0"/>
        <v>0.25368000000000002</v>
      </c>
      <c r="F12" s="102"/>
      <c r="G12" s="102"/>
      <c r="H12" s="126"/>
    </row>
    <row r="13" spans="1:8" ht="33.75" customHeight="1" x14ac:dyDescent="0.2">
      <c r="A13" s="488"/>
      <c r="B13" s="117" t="s">
        <v>81</v>
      </c>
      <c r="C13" s="119">
        <v>8.4000000000000005E-2</v>
      </c>
      <c r="D13" s="123">
        <f t="shared" si="0"/>
        <v>6.3420000000000004E-2</v>
      </c>
      <c r="F13" s="102"/>
      <c r="G13" s="102"/>
      <c r="H13" s="126"/>
    </row>
    <row r="14" spans="1:8" ht="33.75" customHeight="1" x14ac:dyDescent="0.2">
      <c r="A14" s="488"/>
      <c r="B14" s="469" t="s">
        <v>554</v>
      </c>
      <c r="C14" s="470">
        <v>2.4E-2</v>
      </c>
      <c r="D14" s="471">
        <f t="shared" si="0"/>
        <v>1.8120000000000001E-2</v>
      </c>
      <c r="F14" s="102"/>
      <c r="G14" s="102"/>
      <c r="H14" s="126"/>
    </row>
    <row r="15" spans="1:8" ht="18" customHeight="1" x14ac:dyDescent="0.2">
      <c r="A15" s="489"/>
      <c r="B15" s="117" t="s">
        <v>82</v>
      </c>
      <c r="C15" s="119">
        <v>6.9999999999999993E-3</v>
      </c>
      <c r="D15" s="123">
        <f t="shared" si="0"/>
        <v>5.2849999999999998E-3</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387</v>
      </c>
      <c r="C18" s="122">
        <v>0.245</v>
      </c>
      <c r="D18" s="229">
        <f>C18</f>
        <v>0.245</v>
      </c>
      <c r="F18" s="115"/>
      <c r="G18" s="115"/>
      <c r="H18" s="124"/>
    </row>
    <row r="19" spans="1:8" ht="18" customHeight="1" x14ac:dyDescent="0.2">
      <c r="A19" s="19"/>
      <c r="B19" s="11"/>
      <c r="C19" s="12"/>
      <c r="D19" s="8"/>
    </row>
    <row r="20" spans="1:8" ht="18" customHeight="1" x14ac:dyDescent="0.2">
      <c r="A20" s="19"/>
      <c r="B20" s="11" t="s">
        <v>463</v>
      </c>
      <c r="C20" s="162">
        <f>SUM(C4:C15)</f>
        <v>1</v>
      </c>
      <c r="D20" s="112">
        <f>SUM(D4:D15)</f>
        <v>0.755</v>
      </c>
    </row>
    <row r="21" spans="1:8" ht="18" customHeight="1" x14ac:dyDescent="0.2">
      <c r="A21" s="19"/>
      <c r="B21" s="11" t="s">
        <v>469</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521</v>
      </c>
      <c r="C24" s="12"/>
      <c r="D24" s="8"/>
    </row>
    <row r="25" spans="1:8" ht="33.75" customHeight="1" x14ac:dyDescent="0.2">
      <c r="A25" s="19"/>
      <c r="B25" s="392" t="s">
        <v>28</v>
      </c>
      <c r="C25" s="393" t="s">
        <v>30</v>
      </c>
      <c r="D25" s="348"/>
    </row>
    <row r="26" spans="1:8" ht="16.5" customHeight="1" x14ac:dyDescent="0.2">
      <c r="A26" s="19"/>
      <c r="B26" s="394" t="s">
        <v>30</v>
      </c>
      <c r="C26" s="395">
        <f>C45*$D$8</f>
        <v>315038.22722980758</v>
      </c>
      <c r="D26" s="361" t="s">
        <v>85</v>
      </c>
    </row>
    <row r="27" spans="1:8" ht="14.25" customHeight="1" x14ac:dyDescent="0.2">
      <c r="B27" s="362" t="s">
        <v>32</v>
      </c>
      <c r="C27" s="396">
        <v>0</v>
      </c>
      <c r="D27" s="364" t="s">
        <v>86</v>
      </c>
    </row>
    <row r="28" spans="1:8" ht="16.5" customHeight="1" x14ac:dyDescent="0.2">
      <c r="A28" s="19"/>
      <c r="B28" s="362" t="s">
        <v>34</v>
      </c>
      <c r="C28" s="397">
        <f>SUM($D$11:$D$12)*C45</f>
        <v>1687481.9894190682</v>
      </c>
      <c r="D28" s="361" t="s">
        <v>87</v>
      </c>
    </row>
    <row r="29" spans="1:8" ht="16.5" customHeight="1" x14ac:dyDescent="0.2">
      <c r="A29" s="19"/>
      <c r="B29" s="362" t="s">
        <v>36</v>
      </c>
      <c r="C29" s="397">
        <f>$D$10*$C$45</f>
        <v>0</v>
      </c>
      <c r="D29" s="361" t="s">
        <v>88</v>
      </c>
    </row>
    <row r="30" spans="1:8" ht="16.5" customHeight="1" x14ac:dyDescent="0.2">
      <c r="A30" s="19"/>
      <c r="B30" s="362" t="s">
        <v>38</v>
      </c>
      <c r="C30" s="398">
        <f>$D4*$C$45*C17</f>
        <v>661268.35814573464</v>
      </c>
      <c r="D30" s="366" t="s">
        <v>89</v>
      </c>
    </row>
    <row r="31" spans="1:8" ht="16.5" customHeight="1" x14ac:dyDescent="0.2">
      <c r="A31" s="19"/>
      <c r="B31" s="362" t="s">
        <v>40</v>
      </c>
      <c r="C31" s="398">
        <f>$D5*$C$45*C17</f>
        <v>24953.52294889565</v>
      </c>
      <c r="D31" s="366" t="s">
        <v>90</v>
      </c>
    </row>
    <row r="32" spans="1:8" ht="16.5" customHeight="1" x14ac:dyDescent="0.2">
      <c r="A32" s="19"/>
      <c r="B32" s="362" t="s">
        <v>41</v>
      </c>
      <c r="C32" s="398">
        <f>$D6*$C$45*C17</f>
        <v>68622.188109463052</v>
      </c>
      <c r="D32" s="366" t="s">
        <v>91</v>
      </c>
    </row>
    <row r="33" spans="1:8" ht="16.5" customHeight="1" x14ac:dyDescent="0.2">
      <c r="A33" s="19"/>
      <c r="B33" s="362" t="s">
        <v>42</v>
      </c>
      <c r="C33" s="398">
        <f>$D7*$C$45*C17</f>
        <v>3119.1903686119563</v>
      </c>
      <c r="D33" s="366" t="s">
        <v>92</v>
      </c>
    </row>
    <row r="34" spans="1:8" ht="16.5" customHeight="1" x14ac:dyDescent="0.2">
      <c r="A34" s="19"/>
      <c r="B34" s="362" t="s">
        <v>43</v>
      </c>
      <c r="C34" s="398">
        <f>D18*C$45*C16</f>
        <v>1012187.6030595088</v>
      </c>
      <c r="D34" s="366" t="s">
        <v>93</v>
      </c>
    </row>
    <row r="35" spans="1:8" ht="16.5" customHeight="1" x14ac:dyDescent="0.2">
      <c r="A35" s="19"/>
      <c r="B35" s="362" t="s">
        <v>45</v>
      </c>
      <c r="C35" s="398">
        <v>0</v>
      </c>
      <c r="D35" s="366" t="s">
        <v>94</v>
      </c>
      <c r="G35" s="109">
        <f>Restaurants!C27</f>
        <v>32701.55585475402</v>
      </c>
    </row>
    <row r="36" spans="1:8" ht="16.5" customHeight="1" x14ac:dyDescent="0.2">
      <c r="A36" s="19"/>
      <c r="B36" s="362" t="s">
        <v>47</v>
      </c>
      <c r="C36" s="398">
        <v>0</v>
      </c>
      <c r="D36" s="366" t="s">
        <v>94</v>
      </c>
      <c r="G36" s="110">
        <f>+Lodges!C27</f>
        <v>4.3043414255200578E-2</v>
      </c>
    </row>
    <row r="37" spans="1:8" ht="16.5" customHeight="1" x14ac:dyDescent="0.2">
      <c r="A37" s="19"/>
      <c r="B37" s="362" t="s">
        <v>48</v>
      </c>
      <c r="C37" s="398">
        <v>0</v>
      </c>
      <c r="D37" s="366" t="s">
        <v>95</v>
      </c>
      <c r="G37" s="110">
        <f>+SUM(Households!C30:D30)</f>
        <v>2091771.9626975711</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4384.1934268495752</v>
      </c>
    </row>
    <row r="40" spans="1:8" ht="16.5" customHeight="1" x14ac:dyDescent="0.2">
      <c r="A40" s="19"/>
      <c r="B40" s="362" t="s">
        <v>54</v>
      </c>
      <c r="C40" s="398">
        <v>0</v>
      </c>
      <c r="D40" s="366" t="s">
        <v>98</v>
      </c>
    </row>
    <row r="41" spans="1:8" ht="16.5" customHeight="1" x14ac:dyDescent="0.2">
      <c r="A41" s="19"/>
      <c r="B41" s="329" t="s">
        <v>569</v>
      </c>
      <c r="C41" s="481">
        <f>$D$14*$C$45</f>
        <v>74860.568846686947</v>
      </c>
      <c r="D41" s="346" t="s">
        <v>570</v>
      </c>
    </row>
    <row r="42" spans="1:8" ht="16.5" customHeight="1" x14ac:dyDescent="0.2">
      <c r="A42" s="19"/>
      <c r="B42" s="329" t="s">
        <v>57</v>
      </c>
      <c r="C42" s="481">
        <f>$D$15*$C$45</f>
        <v>21834.332580283692</v>
      </c>
      <c r="D42" s="354" t="s">
        <v>571</v>
      </c>
    </row>
    <row r="43" spans="1:8" ht="16.5" customHeight="1" x14ac:dyDescent="0.2">
      <c r="A43" s="19"/>
      <c r="B43" s="399" t="s">
        <v>59</v>
      </c>
      <c r="C43" s="400">
        <f>$C$45*$D$13+C45*SUM(D4:D7)*(1-C17)+C45*C18*(1-C16)</f>
        <v>262011.99096340433</v>
      </c>
      <c r="D43" s="366" t="s">
        <v>99</v>
      </c>
      <c r="G43" s="108">
        <f>(Restaurants!C27+Lodges!C27+SUM(Households!C30:D30)+NatParkPA!C27+ Tourism!C26 + Tourists!C25 + ComRevSh!C25 )/(1-0)</f>
        <v>2128857.7550225891</v>
      </c>
    </row>
    <row r="44" spans="1:8" ht="16.5" customHeight="1" x14ac:dyDescent="0.2">
      <c r="A44" s="19"/>
      <c r="B44" s="362" t="s">
        <v>61</v>
      </c>
      <c r="C44" s="400">
        <f>SUM(C26:C43)</f>
        <v>4131377.9716714649</v>
      </c>
      <c r="D44" s="366" t="s">
        <v>100</v>
      </c>
    </row>
    <row r="45" spans="1:8" ht="16.5" customHeight="1" x14ac:dyDescent="0.2">
      <c r="A45" s="19"/>
      <c r="B45" s="362" t="s">
        <v>63</v>
      </c>
      <c r="C45" s="401">
        <f>(Restaurants!C27+Lodges!C27+SUM(Households!C30:D30)+NatParkPA!C27+Tourism!C26+Tourists!C25+ComRevSh!C25)/(1-SUM(D8:D12))</f>
        <v>4131377.9716714649</v>
      </c>
      <c r="D45" s="366" t="s">
        <v>101</v>
      </c>
      <c r="F45" s="127" t="s">
        <v>466</v>
      </c>
      <c r="G45" s="127"/>
      <c r="H45" s="127"/>
    </row>
    <row r="46" spans="1:8" ht="16.5" customHeight="1" x14ac:dyDescent="0.2">
      <c r="A46" s="19"/>
      <c r="B46" s="362" t="s">
        <v>65</v>
      </c>
      <c r="C46" s="398">
        <f>C45-C44</f>
        <v>0</v>
      </c>
      <c r="D46" s="366" t="s">
        <v>102</v>
      </c>
      <c r="F46" s="127"/>
      <c r="G46" s="160">
        <f>(1-SUM(D8:D12))</f>
        <v>0.51529000000000003</v>
      </c>
    </row>
    <row r="47" spans="1:8" ht="16.5" customHeight="1" x14ac:dyDescent="0.2">
      <c r="A47" s="19"/>
      <c r="B47" s="362" t="s">
        <v>67</v>
      </c>
      <c r="C47" s="402">
        <f>C46/C45</f>
        <v>0</v>
      </c>
      <c r="D47" s="366" t="s">
        <v>103</v>
      </c>
      <c r="G47" s="108">
        <f>(Restaurants!C27+Lodges!C27+SUM(Households!C30:D30)+NatParkPA!C27+ Tourism!C26 + Tourists!C25 + ComRevSh!C25 )/0.6605</f>
        <v>3223100.3104051314</v>
      </c>
    </row>
    <row r="48" spans="1:8" ht="33.75" customHeight="1" x14ac:dyDescent="0.2">
      <c r="A48" s="19"/>
      <c r="B48" s="403" t="s">
        <v>104</v>
      </c>
      <c r="C48" s="404">
        <f>C34/C45</f>
        <v>0.245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467</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3" si="1">C4*100</f>
        <v>21.2</v>
      </c>
      <c r="D54" s="177" t="s">
        <v>396</v>
      </c>
      <c r="E54" s="178">
        <v>0</v>
      </c>
      <c r="F54" s="178">
        <v>100</v>
      </c>
      <c r="G54" s="179">
        <v>0.01</v>
      </c>
      <c r="H54" s="8"/>
    </row>
    <row r="55" spans="1:8" ht="28" customHeight="1" x14ac:dyDescent="0.2">
      <c r="A55" s="19"/>
      <c r="B55" s="175" t="s">
        <v>73</v>
      </c>
      <c r="C55" s="176">
        <f t="shared" si="1"/>
        <v>0.8</v>
      </c>
      <c r="D55" s="180" t="s">
        <v>397</v>
      </c>
      <c r="E55" s="181">
        <v>0</v>
      </c>
      <c r="F55" s="181">
        <v>100</v>
      </c>
      <c r="G55" s="182">
        <v>0.01</v>
      </c>
      <c r="H55" s="8"/>
    </row>
    <row r="56" spans="1:8" ht="20" customHeight="1" x14ac:dyDescent="0.2">
      <c r="A56" s="19"/>
      <c r="B56" s="175" t="s">
        <v>74</v>
      </c>
      <c r="C56" s="176">
        <f t="shared" si="1"/>
        <v>2.2000000000000002</v>
      </c>
      <c r="D56" s="180" t="s">
        <v>398</v>
      </c>
      <c r="E56" s="181">
        <v>0</v>
      </c>
      <c r="F56" s="181">
        <v>100</v>
      </c>
      <c r="G56" s="182">
        <v>0.01</v>
      </c>
      <c r="H56" s="8"/>
    </row>
    <row r="57" spans="1:8" ht="20" customHeight="1" x14ac:dyDescent="0.2">
      <c r="A57" s="19"/>
      <c r="B57" s="175" t="s">
        <v>75</v>
      </c>
      <c r="C57" s="176">
        <f t="shared" si="1"/>
        <v>0.1</v>
      </c>
      <c r="D57" s="180" t="s">
        <v>399</v>
      </c>
      <c r="E57" s="181">
        <v>0</v>
      </c>
      <c r="F57" s="181">
        <v>100</v>
      </c>
      <c r="G57" s="182">
        <v>0.01</v>
      </c>
      <c r="H57" s="8"/>
    </row>
    <row r="58" spans="1:8" ht="20" customHeight="1" x14ac:dyDescent="0.2">
      <c r="A58" s="19"/>
      <c r="B58" s="175" t="s">
        <v>107</v>
      </c>
      <c r="C58" s="176">
        <f t="shared" si="1"/>
        <v>10.100000000000001</v>
      </c>
      <c r="D58" s="180" t="s">
        <v>425</v>
      </c>
      <c r="E58" s="181">
        <v>0</v>
      </c>
      <c r="F58" s="181">
        <v>100</v>
      </c>
      <c r="G58" s="182">
        <v>0.01</v>
      </c>
      <c r="H58" s="8"/>
    </row>
    <row r="59" spans="1:8" ht="20" customHeight="1" x14ac:dyDescent="0.2">
      <c r="A59" s="19"/>
      <c r="B59" s="183" t="s">
        <v>496</v>
      </c>
      <c r="C59" s="176">
        <f t="shared" si="1"/>
        <v>0</v>
      </c>
      <c r="D59" s="180" t="s">
        <v>400</v>
      </c>
      <c r="E59" s="181">
        <v>0</v>
      </c>
      <c r="F59" s="181">
        <v>100</v>
      </c>
      <c r="G59" s="182">
        <v>0.01</v>
      </c>
      <c r="H59" s="8"/>
    </row>
    <row r="60" spans="1:8" ht="20" customHeight="1" x14ac:dyDescent="0.2">
      <c r="A60" s="19"/>
      <c r="B60" s="183" t="s">
        <v>108</v>
      </c>
      <c r="C60" s="176">
        <f t="shared" si="1"/>
        <v>0</v>
      </c>
      <c r="D60" s="180" t="s">
        <v>401</v>
      </c>
      <c r="E60" s="181">
        <v>0</v>
      </c>
      <c r="F60" s="181">
        <v>100</v>
      </c>
      <c r="G60" s="182">
        <v>0.01</v>
      </c>
      <c r="H60" s="8"/>
    </row>
    <row r="61" spans="1:8" ht="20" customHeight="1" x14ac:dyDescent="0.2">
      <c r="A61" s="19"/>
      <c r="B61" s="175" t="s">
        <v>78</v>
      </c>
      <c r="C61" s="176">
        <f t="shared" si="1"/>
        <v>20.5</v>
      </c>
      <c r="D61" s="180" t="s">
        <v>402</v>
      </c>
      <c r="E61" s="181">
        <v>0</v>
      </c>
      <c r="F61" s="181">
        <v>100</v>
      </c>
      <c r="G61" s="182">
        <v>0.01</v>
      </c>
      <c r="H61" s="8"/>
    </row>
    <row r="62" spans="1:8" ht="20" customHeight="1" x14ac:dyDescent="0.2">
      <c r="A62" s="19"/>
      <c r="B62" s="175" t="s">
        <v>109</v>
      </c>
      <c r="C62" s="176">
        <f t="shared" si="1"/>
        <v>33.6</v>
      </c>
      <c r="D62" s="180" t="s">
        <v>403</v>
      </c>
      <c r="E62" s="181">
        <v>0</v>
      </c>
      <c r="F62" s="181">
        <v>100</v>
      </c>
      <c r="G62" s="182">
        <v>0.01</v>
      </c>
      <c r="H62" s="8"/>
    </row>
    <row r="63" spans="1:8" ht="28" customHeight="1" x14ac:dyDescent="0.2">
      <c r="A63" s="19"/>
      <c r="B63" s="175" t="s">
        <v>110</v>
      </c>
      <c r="C63" s="176">
        <f t="shared" si="1"/>
        <v>8.4</v>
      </c>
      <c r="D63" s="180" t="s">
        <v>404</v>
      </c>
      <c r="E63" s="181">
        <v>0</v>
      </c>
      <c r="F63" s="181">
        <v>100</v>
      </c>
      <c r="G63" s="182">
        <v>0.01</v>
      </c>
      <c r="H63" s="8"/>
    </row>
    <row r="64" spans="1:8" ht="20" customHeight="1" x14ac:dyDescent="0.2">
      <c r="A64" s="19"/>
      <c r="B64" s="175" t="s">
        <v>82</v>
      </c>
      <c r="C64" s="176">
        <f t="shared" ref="C64" si="2">C15*100</f>
        <v>0.7</v>
      </c>
      <c r="D64" s="180" t="s">
        <v>456</v>
      </c>
      <c r="E64" s="181">
        <v>0</v>
      </c>
      <c r="F64" s="181">
        <v>100</v>
      </c>
      <c r="G64" s="182">
        <v>0.01</v>
      </c>
      <c r="H64" s="8"/>
    </row>
    <row r="65" spans="1:8" ht="20" customHeight="1" x14ac:dyDescent="0.2">
      <c r="A65" s="19"/>
      <c r="B65" s="175" t="s">
        <v>83</v>
      </c>
      <c r="C65" s="176">
        <f t="shared" ref="C65:C66" si="3">D16*100</f>
        <v>100</v>
      </c>
      <c r="D65" s="180" t="s">
        <v>105</v>
      </c>
      <c r="E65" s="181">
        <v>0</v>
      </c>
      <c r="F65" s="181">
        <v>100</v>
      </c>
      <c r="G65" s="182">
        <v>0.01</v>
      </c>
      <c r="H65" s="8"/>
    </row>
    <row r="66" spans="1:8" ht="20" customHeight="1" x14ac:dyDescent="0.2">
      <c r="A66" s="19"/>
      <c r="B66" s="175" t="s">
        <v>84</v>
      </c>
      <c r="C66" s="176">
        <f t="shared" si="3"/>
        <v>100</v>
      </c>
      <c r="D66" s="180" t="s">
        <v>106</v>
      </c>
      <c r="E66" s="181">
        <v>0</v>
      </c>
      <c r="F66" s="181">
        <v>100</v>
      </c>
      <c r="G66" s="182">
        <v>0.01</v>
      </c>
      <c r="H66" s="8"/>
    </row>
    <row r="67" spans="1:8" ht="20" customHeight="1" x14ac:dyDescent="0.2">
      <c r="A67" s="19"/>
      <c r="B67" s="175" t="s">
        <v>387</v>
      </c>
      <c r="C67" s="176">
        <f>C18*100</f>
        <v>24.5</v>
      </c>
      <c r="D67" s="184" t="s">
        <v>390</v>
      </c>
      <c r="E67" s="185">
        <v>0</v>
      </c>
      <c r="F67" s="185">
        <v>100</v>
      </c>
      <c r="G67" s="186">
        <v>0.01</v>
      </c>
      <c r="H67" s="8"/>
    </row>
    <row r="68" spans="1:8" ht="33.75" customHeight="1" x14ac:dyDescent="0.2">
      <c r="A68" s="19"/>
      <c r="H68" s="8"/>
    </row>
    <row r="69" spans="1:8" ht="33.75" customHeight="1" x14ac:dyDescent="0.2">
      <c r="A69" s="19"/>
      <c r="C69" s="15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8"/>
  <sheetViews>
    <sheetView zoomScale="125" workbookViewId="0">
      <selection activeCell="C4" sqref="C4:C18"/>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507</v>
      </c>
      <c r="C2" s="256" t="s">
        <v>509</v>
      </c>
      <c r="D2" s="257"/>
      <c r="H2" s="8"/>
    </row>
    <row r="3" spans="1:8" ht="14.25" customHeight="1" x14ac:dyDescent="0.2">
      <c r="A3" s="258"/>
      <c r="B3" s="259" t="s">
        <v>0</v>
      </c>
      <c r="C3" s="260" t="s">
        <v>1</v>
      </c>
      <c r="D3" s="266" t="s">
        <v>510</v>
      </c>
      <c r="E3" s="10"/>
      <c r="F3" s="10"/>
      <c r="G3" s="10"/>
      <c r="H3" s="10" t="s">
        <v>6</v>
      </c>
    </row>
    <row r="4" spans="1:8" ht="29.25" customHeight="1" x14ac:dyDescent="0.2">
      <c r="A4" s="487" t="s">
        <v>511</v>
      </c>
      <c r="B4" s="213" t="s">
        <v>71</v>
      </c>
      <c r="C4" s="210">
        <v>0.12533333333333332</v>
      </c>
      <c r="D4" s="214">
        <f t="shared" ref="D4:D15" si="0">C4/$C$20*(1-$C$18)</f>
        <v>0.10185422222222221</v>
      </c>
      <c r="E4" s="29"/>
      <c r="F4" s="29"/>
      <c r="G4" s="30"/>
      <c r="H4" s="31" t="s">
        <v>72</v>
      </c>
    </row>
    <row r="5" spans="1:8" ht="36" customHeight="1" x14ac:dyDescent="0.2">
      <c r="A5" s="488"/>
      <c r="B5" s="215" t="s">
        <v>73</v>
      </c>
      <c r="C5" s="211">
        <v>5.333333333333333E-2</v>
      </c>
      <c r="D5" s="214">
        <f t="shared" si="0"/>
        <v>4.3342222222222219E-2</v>
      </c>
      <c r="G5" s="16"/>
      <c r="H5" s="11"/>
    </row>
    <row r="6" spans="1:8" ht="33.75" customHeight="1" x14ac:dyDescent="0.2">
      <c r="A6" s="488"/>
      <c r="B6" s="215" t="s">
        <v>74</v>
      </c>
      <c r="C6" s="211">
        <v>2.4E-2</v>
      </c>
      <c r="D6" s="214">
        <f t="shared" si="0"/>
        <v>1.9504000000000001E-2</v>
      </c>
      <c r="G6" s="16"/>
      <c r="H6" s="11"/>
    </row>
    <row r="7" spans="1:8" ht="33.75" customHeight="1" x14ac:dyDescent="0.2">
      <c r="A7" s="488"/>
      <c r="B7" s="215" t="s">
        <v>75</v>
      </c>
      <c r="C7" s="211">
        <v>0.14800000000000002</v>
      </c>
      <c r="D7" s="214">
        <f t="shared" si="0"/>
        <v>0.12027466666666668</v>
      </c>
      <c r="G7" s="16"/>
      <c r="H7" s="11"/>
    </row>
    <row r="8" spans="1:8" ht="33.75" customHeight="1" x14ac:dyDescent="0.2">
      <c r="A8" s="488"/>
      <c r="B8" s="216" t="s">
        <v>107</v>
      </c>
      <c r="C8" s="211">
        <v>3.0666666666666668E-2</v>
      </c>
      <c r="D8" s="214">
        <f t="shared" si="0"/>
        <v>2.4921777777777779E-2</v>
      </c>
      <c r="G8" s="16"/>
      <c r="H8" s="11"/>
    </row>
    <row r="9" spans="1:8" ht="33.75" customHeight="1" x14ac:dyDescent="0.2">
      <c r="A9" s="488"/>
      <c r="B9" s="216" t="s">
        <v>499</v>
      </c>
      <c r="C9" s="211">
        <v>0</v>
      </c>
      <c r="D9" s="214">
        <f t="shared" si="0"/>
        <v>0</v>
      </c>
      <c r="G9" s="16"/>
      <c r="H9" s="11"/>
    </row>
    <row r="10" spans="1:8" ht="18" customHeight="1" x14ac:dyDescent="0.2">
      <c r="A10" s="488"/>
      <c r="B10" s="216" t="s">
        <v>108</v>
      </c>
      <c r="C10" s="211">
        <v>0</v>
      </c>
      <c r="D10" s="214">
        <f t="shared" si="0"/>
        <v>0</v>
      </c>
      <c r="G10" s="16"/>
      <c r="H10" s="11"/>
    </row>
    <row r="11" spans="1:8" ht="27" customHeight="1" x14ac:dyDescent="0.2">
      <c r="A11" s="488"/>
      <c r="B11" s="216" t="s">
        <v>78</v>
      </c>
      <c r="C11" s="211">
        <v>0.10333333333333333</v>
      </c>
      <c r="D11" s="214">
        <f t="shared" si="0"/>
        <v>8.3975555555555553E-2</v>
      </c>
      <c r="G11" s="16"/>
      <c r="H11" s="11"/>
    </row>
    <row r="12" spans="1:8" ht="18" customHeight="1" x14ac:dyDescent="0.2">
      <c r="A12" s="488"/>
      <c r="B12" s="216" t="s">
        <v>109</v>
      </c>
      <c r="C12" s="211">
        <v>0.16600000000000001</v>
      </c>
      <c r="D12" s="214">
        <f t="shared" si="0"/>
        <v>0.13490266666666667</v>
      </c>
      <c r="G12" s="16"/>
      <c r="H12" s="11"/>
    </row>
    <row r="13" spans="1:8" ht="41.25" customHeight="1" x14ac:dyDescent="0.2">
      <c r="A13" s="488"/>
      <c r="B13" s="216" t="s">
        <v>110</v>
      </c>
      <c r="C13" s="211">
        <v>0.28400000000000003</v>
      </c>
      <c r="D13" s="214">
        <f t="shared" si="0"/>
        <v>0.23079733333333335</v>
      </c>
      <c r="G13" s="16"/>
      <c r="H13" s="32"/>
    </row>
    <row r="14" spans="1:8" ht="16.5" customHeight="1" x14ac:dyDescent="0.2">
      <c r="A14" s="488"/>
      <c r="B14" s="472" t="s">
        <v>555</v>
      </c>
      <c r="C14" s="473">
        <v>3.0666666666666668E-2</v>
      </c>
      <c r="D14" s="474">
        <f t="shared" si="0"/>
        <v>2.4921777777777779E-2</v>
      </c>
      <c r="G14" s="16"/>
      <c r="H14" s="11"/>
    </row>
    <row r="15" spans="1:8" ht="16.5" customHeight="1" x14ac:dyDescent="0.2">
      <c r="A15" s="489"/>
      <c r="B15" s="217" t="s">
        <v>125</v>
      </c>
      <c r="C15" s="211">
        <v>3.4666666666666665E-2</v>
      </c>
      <c r="D15" s="214">
        <f t="shared" si="0"/>
        <v>2.8172444444444441E-2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1</v>
      </c>
      <c r="D17" s="223">
        <f>C17</f>
        <v>1</v>
      </c>
      <c r="E17" s="6"/>
      <c r="F17" s="6"/>
      <c r="G17" s="17"/>
      <c r="H17" s="18"/>
    </row>
    <row r="18" spans="1:8" ht="27" customHeight="1" x14ac:dyDescent="0.2">
      <c r="A18" s="232"/>
      <c r="B18" s="221" t="s">
        <v>387</v>
      </c>
      <c r="C18" s="122">
        <v>0.18733333333333335</v>
      </c>
      <c r="D18" s="224">
        <f>C18</f>
        <v>0.18733333333333335</v>
      </c>
      <c r="H18" s="8"/>
    </row>
    <row r="19" spans="1:8" ht="16.5" customHeight="1" x14ac:dyDescent="0.2">
      <c r="A19" s="116"/>
      <c r="B19" s="126"/>
      <c r="C19" s="127" t="s">
        <v>518</v>
      </c>
      <c r="D19" s="8"/>
    </row>
    <row r="20" spans="1:8" ht="16.5" customHeight="1" x14ac:dyDescent="0.2">
      <c r="A20" s="19"/>
      <c r="B20" s="11" t="s">
        <v>389</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521</v>
      </c>
      <c r="C24" s="12"/>
      <c r="D24" s="8"/>
    </row>
    <row r="25" spans="1:8" ht="16.5" customHeight="1" x14ac:dyDescent="0.2">
      <c r="A25" s="19"/>
      <c r="B25" s="389" t="s">
        <v>112</v>
      </c>
      <c r="C25" s="390" t="s">
        <v>34</v>
      </c>
      <c r="D25" s="391"/>
    </row>
    <row r="26" spans="1:8" ht="16.5" customHeight="1" x14ac:dyDescent="0.2">
      <c r="A26" s="19"/>
      <c r="B26" s="331" t="s">
        <v>30</v>
      </c>
      <c r="C26" s="385">
        <f>$D$8*$C$45</f>
        <v>131419.40523625398</v>
      </c>
      <c r="D26" s="381" t="s">
        <v>128</v>
      </c>
    </row>
    <row r="27" spans="1:8" ht="14.25" customHeight="1" x14ac:dyDescent="0.2">
      <c r="B27" s="331" t="s">
        <v>32</v>
      </c>
      <c r="C27" s="383">
        <v>0</v>
      </c>
      <c r="D27" s="332" t="s">
        <v>129</v>
      </c>
    </row>
    <row r="28" spans="1:8" ht="16.5" customHeight="1" x14ac:dyDescent="0.2">
      <c r="A28" s="19"/>
      <c r="B28" s="331" t="s">
        <v>34</v>
      </c>
      <c r="C28" s="385">
        <f>SUM($D$11:$D$12)*$C$45</f>
        <v>1154205.2112053609</v>
      </c>
      <c r="D28" s="381" t="s">
        <v>130</v>
      </c>
    </row>
    <row r="29" spans="1:8" ht="16.5" customHeight="1" x14ac:dyDescent="0.2">
      <c r="A29" s="19"/>
      <c r="B29" s="331" t="s">
        <v>36</v>
      </c>
      <c r="C29" s="385">
        <f>$D$10*$C$45</f>
        <v>0</v>
      </c>
      <c r="D29" s="381" t="s">
        <v>384</v>
      </c>
    </row>
    <row r="30" spans="1:8" ht="16.5" customHeight="1" x14ac:dyDescent="0.2">
      <c r="A30" s="19"/>
      <c r="B30" s="331" t="s">
        <v>38</v>
      </c>
      <c r="C30" s="385">
        <f>D4*$C$45*C17</f>
        <v>537105.39531338564</v>
      </c>
      <c r="D30" s="382" t="s">
        <v>89</v>
      </c>
    </row>
    <row r="31" spans="1:8" ht="16.5" customHeight="1" x14ac:dyDescent="0.2">
      <c r="A31" s="19"/>
      <c r="B31" s="331" t="s">
        <v>40</v>
      </c>
      <c r="C31" s="385">
        <f>D5*$C$45*C17</f>
        <v>228555.48736739816</v>
      </c>
      <c r="D31" s="382" t="s">
        <v>90</v>
      </c>
    </row>
    <row r="32" spans="1:8" ht="16.5" customHeight="1" x14ac:dyDescent="0.2">
      <c r="A32" s="19"/>
      <c r="B32" s="331" t="s">
        <v>41</v>
      </c>
      <c r="C32" s="385">
        <f>D6*$C$45*C17</f>
        <v>102849.96931532919</v>
      </c>
      <c r="D32" s="382" t="s">
        <v>91</v>
      </c>
    </row>
    <row r="33" spans="1:8" ht="16.5" customHeight="1" x14ac:dyDescent="0.2">
      <c r="A33" s="19"/>
      <c r="B33" s="331" t="s">
        <v>42</v>
      </c>
      <c r="C33" s="385">
        <f>D7*$C$45*C17</f>
        <v>634241.47744453012</v>
      </c>
      <c r="D33" s="382" t="s">
        <v>92</v>
      </c>
    </row>
    <row r="34" spans="1:8" ht="16.5" customHeight="1" x14ac:dyDescent="0.2">
      <c r="A34" s="19"/>
      <c r="B34" s="331" t="s">
        <v>43</v>
      </c>
      <c r="C34" s="385">
        <f>$C$45*D18*C16</f>
        <v>987860.31506725133</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569</v>
      </c>
      <c r="C41" s="481">
        <f>$D$14*$C$45</f>
        <v>131419.40523625398</v>
      </c>
      <c r="D41" s="346" t="s">
        <v>570</v>
      </c>
    </row>
    <row r="42" spans="1:8" ht="16.5" customHeight="1" x14ac:dyDescent="0.2">
      <c r="A42" s="19"/>
      <c r="B42" s="329" t="s">
        <v>57</v>
      </c>
      <c r="C42" s="481">
        <f>$D$15*$C$45</f>
        <v>148561.06678880882</v>
      </c>
      <c r="D42" s="354" t="s">
        <v>571</v>
      </c>
    </row>
    <row r="43" spans="1:8" ht="16.5" customHeight="1" x14ac:dyDescent="0.2">
      <c r="A43" s="19"/>
      <c r="B43" s="384" t="s">
        <v>59</v>
      </c>
      <c r="C43" s="385">
        <f>$D$13*$C$45 + C45*SUM(D4:D7)*(1-C17) + C45*C18*(1-C16)</f>
        <v>1217057.9702313954</v>
      </c>
      <c r="D43" s="382" t="s">
        <v>136</v>
      </c>
    </row>
    <row r="44" spans="1:8" ht="16.5" customHeight="1" x14ac:dyDescent="0.2">
      <c r="A44" s="19"/>
      <c r="B44" s="331" t="s">
        <v>61</v>
      </c>
      <c r="C44" s="385">
        <f>SUM($C$26:$C$43)</f>
        <v>5273275.7032059673</v>
      </c>
      <c r="D44" s="382" t="s">
        <v>62</v>
      </c>
    </row>
    <row r="45" spans="1:8" ht="33" customHeight="1" x14ac:dyDescent="0.2">
      <c r="A45" s="19"/>
      <c r="B45" s="331" t="s">
        <v>63</v>
      </c>
      <c r="C45" s="383">
        <f>SUM(Tourists!C27, Tourism!C28, Lodges!C29,Restaurants!C29,SUM(Households!C32:D32) + NatParkPA!C29  + ComRevSh!C27)/(1-SUM(D8:D12))</f>
        <v>5273275.7032059673</v>
      </c>
      <c r="D45" s="382" t="s">
        <v>137</v>
      </c>
      <c r="E45" s="127" t="s">
        <v>385</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506</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12.533333333333333</v>
      </c>
      <c r="D54" s="200" t="s">
        <v>415</v>
      </c>
      <c r="E54" s="200">
        <v>0</v>
      </c>
      <c r="F54" s="200">
        <v>100</v>
      </c>
      <c r="G54" s="201">
        <v>0.01</v>
      </c>
      <c r="H54" s="8"/>
    </row>
    <row r="55" spans="1:8" ht="27" customHeight="1" x14ac:dyDescent="0.2">
      <c r="A55" s="19"/>
      <c r="B55" s="198" t="s">
        <v>73</v>
      </c>
      <c r="C55" s="199">
        <f t="shared" si="1"/>
        <v>5.333333333333333</v>
      </c>
      <c r="D55" s="181" t="s">
        <v>416</v>
      </c>
      <c r="E55" s="181">
        <v>0</v>
      </c>
      <c r="F55" s="181">
        <v>100</v>
      </c>
      <c r="G55" s="202">
        <v>0.01</v>
      </c>
      <c r="H55" s="8"/>
    </row>
    <row r="56" spans="1:8" ht="27" customHeight="1" x14ac:dyDescent="0.2">
      <c r="A56" s="19"/>
      <c r="B56" s="198" t="s">
        <v>74</v>
      </c>
      <c r="C56" s="199">
        <f t="shared" si="1"/>
        <v>2.4</v>
      </c>
      <c r="D56" s="200" t="s">
        <v>417</v>
      </c>
      <c r="E56" s="181">
        <v>0</v>
      </c>
      <c r="F56" s="181">
        <v>100</v>
      </c>
      <c r="G56" s="202">
        <v>0.01</v>
      </c>
      <c r="H56" s="8"/>
    </row>
    <row r="57" spans="1:8" ht="27" customHeight="1" x14ac:dyDescent="0.2">
      <c r="A57" s="19"/>
      <c r="B57" s="198" t="s">
        <v>75</v>
      </c>
      <c r="C57" s="199">
        <f t="shared" si="1"/>
        <v>14.800000000000002</v>
      </c>
      <c r="D57" s="181" t="s">
        <v>418</v>
      </c>
      <c r="E57" s="181">
        <v>0</v>
      </c>
      <c r="F57" s="181">
        <v>100</v>
      </c>
      <c r="G57" s="202">
        <v>0.01</v>
      </c>
      <c r="H57" s="8"/>
    </row>
    <row r="58" spans="1:8" ht="27" customHeight="1" x14ac:dyDescent="0.2">
      <c r="A58" s="19"/>
      <c r="B58" s="198" t="s">
        <v>107</v>
      </c>
      <c r="C58" s="199">
        <f t="shared" si="1"/>
        <v>3.0666666666666669</v>
      </c>
      <c r="D58" s="181" t="s">
        <v>419</v>
      </c>
      <c r="E58" s="181">
        <v>0</v>
      </c>
      <c r="F58" s="181">
        <v>100</v>
      </c>
      <c r="G58" s="203">
        <v>0.01</v>
      </c>
      <c r="H58" s="8"/>
    </row>
    <row r="59" spans="1:8" ht="27" customHeight="1" x14ac:dyDescent="0.2">
      <c r="A59" s="19"/>
      <c r="B59" s="204" t="s">
        <v>496</v>
      </c>
      <c r="C59" s="199">
        <f t="shared" si="1"/>
        <v>0</v>
      </c>
      <c r="D59" s="181" t="s">
        <v>420</v>
      </c>
      <c r="E59" s="181">
        <v>0</v>
      </c>
      <c r="F59" s="181">
        <v>100</v>
      </c>
      <c r="G59" s="181">
        <v>0.01</v>
      </c>
      <c r="H59" s="8"/>
    </row>
    <row r="60" spans="1:8" ht="27" customHeight="1" x14ac:dyDescent="0.2">
      <c r="A60" s="19"/>
      <c r="B60" s="198" t="s">
        <v>108</v>
      </c>
      <c r="C60" s="199">
        <f t="shared" si="1"/>
        <v>0</v>
      </c>
      <c r="D60" s="181" t="s">
        <v>421</v>
      </c>
      <c r="E60" s="181">
        <v>0</v>
      </c>
      <c r="F60" s="181">
        <v>100</v>
      </c>
      <c r="G60" s="203">
        <v>0.01</v>
      </c>
      <c r="H60" s="8"/>
    </row>
    <row r="61" spans="1:8" ht="27" customHeight="1" x14ac:dyDescent="0.2">
      <c r="A61" s="19"/>
      <c r="B61" s="198" t="s">
        <v>78</v>
      </c>
      <c r="C61" s="199">
        <f t="shared" si="1"/>
        <v>10.333333333333334</v>
      </c>
      <c r="D61" s="181" t="s">
        <v>422</v>
      </c>
      <c r="E61" s="181">
        <v>0</v>
      </c>
      <c r="F61" s="181">
        <v>100</v>
      </c>
      <c r="G61" s="203">
        <v>0.01</v>
      </c>
      <c r="H61" s="8"/>
    </row>
    <row r="62" spans="1:8" ht="27" customHeight="1" x14ac:dyDescent="0.2">
      <c r="A62" s="19"/>
      <c r="B62" s="198" t="s">
        <v>109</v>
      </c>
      <c r="C62" s="199">
        <f t="shared" si="1"/>
        <v>16.600000000000001</v>
      </c>
      <c r="D62" s="181" t="s">
        <v>423</v>
      </c>
      <c r="E62" s="181">
        <v>0</v>
      </c>
      <c r="F62" s="181">
        <v>100</v>
      </c>
      <c r="G62" s="203">
        <v>0.01</v>
      </c>
      <c r="H62" s="8"/>
    </row>
    <row r="63" spans="1:8" ht="27" customHeight="1" x14ac:dyDescent="0.2">
      <c r="A63" s="19"/>
      <c r="B63" s="198" t="s">
        <v>110</v>
      </c>
      <c r="C63" s="199">
        <f t="shared" si="1"/>
        <v>28.400000000000002</v>
      </c>
      <c r="D63" s="181" t="s">
        <v>424</v>
      </c>
      <c r="E63" s="181">
        <v>0</v>
      </c>
      <c r="F63" s="181">
        <v>100</v>
      </c>
      <c r="G63" s="203">
        <v>0.01</v>
      </c>
      <c r="H63" s="8"/>
    </row>
    <row r="64" spans="1:8" ht="27" customHeight="1" x14ac:dyDescent="0.2">
      <c r="A64" s="19"/>
      <c r="B64" s="205" t="s">
        <v>125</v>
      </c>
      <c r="C64" s="199">
        <f t="shared" ref="C64" si="2">C15*100</f>
        <v>3.4666666666666663</v>
      </c>
      <c r="D64" s="181" t="s">
        <v>458</v>
      </c>
      <c r="E64" s="181">
        <v>0</v>
      </c>
      <c r="F64" s="181">
        <v>100</v>
      </c>
      <c r="G64" s="203">
        <v>0.01</v>
      </c>
      <c r="H64" s="8"/>
    </row>
    <row r="65" spans="1:8" ht="27" customHeight="1" x14ac:dyDescent="0.2">
      <c r="A65" s="19"/>
      <c r="B65" s="205" t="s">
        <v>83</v>
      </c>
      <c r="C65" s="199">
        <f t="shared" ref="C65:C66" si="3">D16*100</f>
        <v>100</v>
      </c>
      <c r="D65" s="181" t="s">
        <v>504</v>
      </c>
      <c r="E65" s="181">
        <v>0</v>
      </c>
      <c r="F65" s="181">
        <v>100</v>
      </c>
      <c r="G65" s="203">
        <v>0.01</v>
      </c>
      <c r="H65" s="8"/>
    </row>
    <row r="66" spans="1:8" ht="27" customHeight="1" x14ac:dyDescent="0.2">
      <c r="A66" s="19"/>
      <c r="B66" s="205" t="s">
        <v>84</v>
      </c>
      <c r="C66" s="199">
        <f t="shared" si="3"/>
        <v>100</v>
      </c>
      <c r="D66" s="189" t="s">
        <v>126</v>
      </c>
      <c r="E66" s="189">
        <v>0</v>
      </c>
      <c r="F66" s="189">
        <v>100</v>
      </c>
      <c r="G66" s="206">
        <v>0.01</v>
      </c>
      <c r="H66" s="8"/>
    </row>
    <row r="67" spans="1:8" ht="27" customHeight="1" x14ac:dyDescent="0.2">
      <c r="A67" s="19"/>
      <c r="B67" s="207" t="s">
        <v>387</v>
      </c>
      <c r="C67" s="208">
        <f>C18*100</f>
        <v>18.733333333333334</v>
      </c>
      <c r="D67" s="181" t="s">
        <v>393</v>
      </c>
      <c r="E67" s="189">
        <v>0</v>
      </c>
      <c r="F67" s="189">
        <v>100</v>
      </c>
      <c r="G67" s="206">
        <v>0.01</v>
      </c>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20"/>
  <sheetViews>
    <sheetView zoomScale="108" workbookViewId="0">
      <selection activeCell="C4" sqref="C4: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509</v>
      </c>
      <c r="D2" s="251"/>
      <c r="H2" s="8"/>
    </row>
    <row r="3" spans="1:8" ht="18.75" customHeight="1" x14ac:dyDescent="0.2">
      <c r="A3" s="252"/>
      <c r="B3" s="253" t="s">
        <v>0</v>
      </c>
      <c r="C3" s="254" t="s">
        <v>1</v>
      </c>
      <c r="D3" s="266" t="s">
        <v>510</v>
      </c>
      <c r="E3" s="10"/>
      <c r="F3" s="10"/>
      <c r="G3" s="10"/>
      <c r="H3" s="10" t="s">
        <v>6</v>
      </c>
    </row>
    <row r="4" spans="1:8" ht="40.5" customHeight="1" x14ac:dyDescent="0.2">
      <c r="A4" s="487" t="s">
        <v>511</v>
      </c>
      <c r="B4" s="171" t="s">
        <v>71</v>
      </c>
      <c r="C4" s="242">
        <v>0.33</v>
      </c>
      <c r="D4" s="214">
        <f t="shared" ref="D4:D15" si="0">IF($C$20&lt;&gt;0,C4/$C$20*(1-$C$18),0)</f>
        <v>0.23232</v>
      </c>
      <c r="H4" s="11" t="s">
        <v>72</v>
      </c>
    </row>
    <row r="5" spans="1:8" ht="32.25" customHeight="1" x14ac:dyDescent="0.2">
      <c r="A5" s="488"/>
      <c r="B5" s="171" t="s">
        <v>73</v>
      </c>
      <c r="C5" s="241">
        <v>2.7999999999999997E-2</v>
      </c>
      <c r="D5" s="214">
        <f t="shared" si="0"/>
        <v>1.9711999999999997E-2</v>
      </c>
      <c r="H5" s="11"/>
    </row>
    <row r="6" spans="1:8" ht="33" customHeight="1" x14ac:dyDescent="0.2">
      <c r="A6" s="488"/>
      <c r="B6" s="171" t="s">
        <v>74</v>
      </c>
      <c r="C6" s="241">
        <v>0</v>
      </c>
      <c r="D6" s="214">
        <f t="shared" si="0"/>
        <v>0</v>
      </c>
      <c r="H6" s="11"/>
    </row>
    <row r="7" spans="1:8" ht="33" customHeight="1" x14ac:dyDescent="0.2">
      <c r="A7" s="488"/>
      <c r="B7" s="171" t="s">
        <v>75</v>
      </c>
      <c r="C7" s="241">
        <v>0</v>
      </c>
      <c r="D7" s="214">
        <f t="shared" si="0"/>
        <v>0</v>
      </c>
      <c r="H7" s="11"/>
    </row>
    <row r="8" spans="1:8" ht="33" customHeight="1" x14ac:dyDescent="0.2">
      <c r="A8" s="488"/>
      <c r="B8" s="172" t="s">
        <v>140</v>
      </c>
      <c r="C8" s="241">
        <v>1.7000000000000001E-2</v>
      </c>
      <c r="D8" s="214">
        <f t="shared" si="0"/>
        <v>1.1967999999999999E-2</v>
      </c>
      <c r="H8" s="11"/>
    </row>
    <row r="9" spans="1:8" ht="33" customHeight="1" x14ac:dyDescent="0.2">
      <c r="A9" s="488"/>
      <c r="B9" s="172" t="s">
        <v>500</v>
      </c>
      <c r="C9" s="241">
        <v>0</v>
      </c>
      <c r="D9" s="214">
        <f t="shared" si="0"/>
        <v>0</v>
      </c>
      <c r="H9" s="11"/>
    </row>
    <row r="10" spans="1:8" ht="53.25" customHeight="1" x14ac:dyDescent="0.2">
      <c r="A10" s="488"/>
      <c r="B10" s="172" t="s">
        <v>141</v>
      </c>
      <c r="C10" s="241">
        <v>0.14800000000000002</v>
      </c>
      <c r="D10" s="214">
        <f t="shared" si="0"/>
        <v>0.10419200000000001</v>
      </c>
      <c r="H10" s="11"/>
    </row>
    <row r="11" spans="1:8" ht="30" customHeight="1" x14ac:dyDescent="0.2">
      <c r="A11" s="488"/>
      <c r="B11" s="172" t="s">
        <v>142</v>
      </c>
      <c r="C11" s="241">
        <v>0.20699999999999999</v>
      </c>
      <c r="D11" s="214">
        <f t="shared" si="0"/>
        <v>0.145728</v>
      </c>
      <c r="H11" s="490"/>
    </row>
    <row r="12" spans="1:8" ht="30" customHeight="1" x14ac:dyDescent="0.2">
      <c r="A12" s="488"/>
      <c r="B12" s="172" t="s">
        <v>143</v>
      </c>
      <c r="C12" s="241">
        <v>0.21600000000000003</v>
      </c>
      <c r="D12" s="214">
        <f t="shared" si="0"/>
        <v>0.152064</v>
      </c>
      <c r="H12" s="491"/>
    </row>
    <row r="13" spans="1:8" ht="56.25" customHeight="1" x14ac:dyDescent="0.2">
      <c r="A13" s="488"/>
      <c r="B13" s="172" t="s">
        <v>144</v>
      </c>
      <c r="C13" s="241">
        <v>4.1999999999999996E-2</v>
      </c>
      <c r="D13" s="214">
        <f t="shared" si="0"/>
        <v>2.9567999999999994E-2</v>
      </c>
      <c r="E13" s="127" t="s">
        <v>494</v>
      </c>
      <c r="H13" s="156"/>
    </row>
    <row r="14" spans="1:8" ht="15.75" customHeight="1" x14ac:dyDescent="0.2">
      <c r="A14" s="488"/>
      <c r="B14" s="173" t="s">
        <v>572</v>
      </c>
      <c r="C14" s="241">
        <v>1.2E-2</v>
      </c>
      <c r="D14" s="214">
        <f t="shared" si="0"/>
        <v>8.4479999999999989E-3</v>
      </c>
      <c r="E14" s="127"/>
      <c r="H14" s="156"/>
    </row>
    <row r="15" spans="1:8" ht="18.75" customHeight="1" x14ac:dyDescent="0.2">
      <c r="A15" s="489"/>
      <c r="B15" s="173" t="s">
        <v>145</v>
      </c>
      <c r="C15" s="241">
        <v>0</v>
      </c>
      <c r="D15" s="214">
        <f t="shared" si="0"/>
        <v>0</v>
      </c>
      <c r="F15" s="114"/>
      <c r="G15" s="114"/>
      <c r="H15" s="11"/>
    </row>
    <row r="16" spans="1:8" ht="18.75" customHeight="1" x14ac:dyDescent="0.2">
      <c r="A16" s="234"/>
      <c r="B16" s="165" t="s">
        <v>146</v>
      </c>
      <c r="C16" s="113">
        <v>1</v>
      </c>
      <c r="D16" s="243">
        <v>1</v>
      </c>
      <c r="E16" s="127" t="s">
        <v>495</v>
      </c>
      <c r="H16" s="11"/>
    </row>
    <row r="17" spans="1:8" ht="18.75" customHeight="1" x14ac:dyDescent="0.2">
      <c r="A17" s="234"/>
      <c r="B17" s="165" t="s">
        <v>147</v>
      </c>
      <c r="C17" s="113">
        <v>1</v>
      </c>
      <c r="D17" s="243">
        <v>1</v>
      </c>
      <c r="E17" s="127" t="s">
        <v>495</v>
      </c>
      <c r="H17" s="11"/>
    </row>
    <row r="18" spans="1:8" ht="27" customHeight="1" x14ac:dyDescent="0.2">
      <c r="A18" s="237"/>
      <c r="B18" s="238" t="s">
        <v>387</v>
      </c>
      <c r="C18" s="218">
        <v>0.29600000000000004</v>
      </c>
      <c r="D18" s="224">
        <f>C18</f>
        <v>0.29600000000000004</v>
      </c>
      <c r="H18" s="8"/>
    </row>
    <row r="19" spans="1:8" ht="16.5" customHeight="1" x14ac:dyDescent="0.2">
      <c r="A19" s="19"/>
      <c r="B19" s="11"/>
      <c r="C19" s="127" t="s">
        <v>518</v>
      </c>
      <c r="D19" s="8"/>
    </row>
    <row r="20" spans="1:8" ht="16.5" customHeight="1" x14ac:dyDescent="0.2">
      <c r="A20" s="19"/>
      <c r="B20" s="11" t="s">
        <v>389</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521</v>
      </c>
      <c r="C26" s="12"/>
      <c r="D26" s="8"/>
    </row>
    <row r="27" spans="1:8" ht="16.5" customHeight="1" x14ac:dyDescent="0.2">
      <c r="A27" s="19"/>
      <c r="B27" s="378" t="s">
        <v>112</v>
      </c>
      <c r="C27" s="379" t="s">
        <v>148</v>
      </c>
      <c r="D27" s="380"/>
    </row>
    <row r="28" spans="1:8" ht="16.5" customHeight="1" x14ac:dyDescent="0.2">
      <c r="A28" s="19"/>
      <c r="B28" s="331" t="s">
        <v>30</v>
      </c>
      <c r="C28" s="365">
        <f>$C$47*$D$8</f>
        <v>16368.638808292653</v>
      </c>
      <c r="D28" s="381" t="s">
        <v>149</v>
      </c>
    </row>
    <row r="29" spans="1:8" ht="14.25" customHeight="1" x14ac:dyDescent="0.2">
      <c r="B29" s="331" t="s">
        <v>32</v>
      </c>
      <c r="C29" s="363">
        <v>0</v>
      </c>
      <c r="D29" s="332" t="s">
        <v>150</v>
      </c>
    </row>
    <row r="30" spans="1:8" ht="16.5" customHeight="1" x14ac:dyDescent="0.2">
      <c r="A30" s="19"/>
      <c r="B30" s="331" t="s">
        <v>34</v>
      </c>
      <c r="C30" s="365">
        <f>$C$47*$D$12</f>
        <v>207977.99897595373</v>
      </c>
      <c r="D30" s="381" t="s">
        <v>151</v>
      </c>
    </row>
    <row r="31" spans="1:8" ht="16.5" customHeight="1" x14ac:dyDescent="0.2">
      <c r="A31" s="19"/>
      <c r="B31" s="331" t="s">
        <v>36</v>
      </c>
      <c r="C31" s="365">
        <f>$C$47*D10</f>
        <v>142503.44374278313</v>
      </c>
      <c r="D31" s="381" t="s">
        <v>152</v>
      </c>
    </row>
    <row r="32" spans="1:8" ht="16.5" customHeight="1" x14ac:dyDescent="0.2">
      <c r="A32" s="19"/>
      <c r="B32" s="331" t="s">
        <v>38</v>
      </c>
      <c r="C32" s="365">
        <f>D4*$C$47*C17</f>
        <v>317744.16510215151</v>
      </c>
      <c r="D32" s="382" t="s">
        <v>89</v>
      </c>
    </row>
    <row r="33" spans="1:7" ht="16.5" customHeight="1" x14ac:dyDescent="0.2">
      <c r="A33" s="19"/>
      <c r="B33" s="331" t="s">
        <v>40</v>
      </c>
      <c r="C33" s="365">
        <f>D5*$C$47*C17</f>
        <v>26960.110978364366</v>
      </c>
      <c r="D33" s="382" t="s">
        <v>90</v>
      </c>
    </row>
    <row r="34" spans="1:7" ht="16.5" customHeight="1" x14ac:dyDescent="0.2">
      <c r="A34" s="19"/>
      <c r="B34" s="331" t="s">
        <v>41</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404839.32881472481</v>
      </c>
      <c r="D36" s="382" t="s">
        <v>93</v>
      </c>
      <c r="G36" s="110">
        <f>SUM(Lodges!C30,Restaurants!C30,SUM(Households!C33:D33),NatParkPA!C30,Tourism!C29,ComRevSh!C28)/(1-C10-C8-C11-C12)</f>
        <v>1945480.8365029835</v>
      </c>
    </row>
    <row r="37" spans="1:7" ht="16.5" customHeight="1" x14ac:dyDescent="0.2">
      <c r="A37" s="19"/>
      <c r="B37" s="331" t="s">
        <v>45</v>
      </c>
      <c r="C37" s="383">
        <v>0</v>
      </c>
      <c r="D37" s="382" t="s">
        <v>153</v>
      </c>
      <c r="G37" s="110">
        <f>SUM(Lodges!C30,Restaurants!C30,SUM(Households!C33:D33),NatParkPA!C30,Tourism!C29,ComRevSh!C28)</f>
        <v>801538.10463922913</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569</v>
      </c>
      <c r="C43" s="480">
        <f>$D$14*$C$47</f>
        <v>11554.333276441872</v>
      </c>
      <c r="D43" s="346" t="s">
        <v>570</v>
      </c>
      <c r="G43" s="110"/>
    </row>
    <row r="44" spans="1:7" ht="16.5" customHeight="1" x14ac:dyDescent="0.2">
      <c r="A44" s="19"/>
      <c r="B44" s="329" t="s">
        <v>57</v>
      </c>
      <c r="C44" s="480">
        <f>$D$15*$C$47</f>
        <v>0</v>
      </c>
      <c r="D44" s="354" t="s">
        <v>571</v>
      </c>
      <c r="G44" s="110"/>
    </row>
    <row r="45" spans="1:7" ht="16.5" customHeight="1" x14ac:dyDescent="0.2">
      <c r="A45" s="19"/>
      <c r="B45" s="384" t="s">
        <v>59</v>
      </c>
      <c r="C45" s="365">
        <f>$C$47*$D$13 + C47*SUM(D4:D7)*(1-D17) + C47*D18*(1-D16)</f>
        <v>40440.166467546551</v>
      </c>
      <c r="D45" s="382" t="s">
        <v>158</v>
      </c>
      <c r="G45" s="110"/>
    </row>
    <row r="46" spans="1:7" ht="16.5" customHeight="1" x14ac:dyDescent="0.2">
      <c r="A46" s="19"/>
      <c r="B46" s="331" t="s">
        <v>61</v>
      </c>
      <c r="C46" s="385">
        <f>SUM(C28:C45)</f>
        <v>1168388.1861662585</v>
      </c>
      <c r="D46" s="382" t="s">
        <v>62</v>
      </c>
      <c r="G46" s="110"/>
    </row>
    <row r="47" spans="1:7" ht="47.25" customHeight="1" x14ac:dyDescent="0.2">
      <c r="A47" s="19"/>
      <c r="B47" s="331" t="s">
        <v>63</v>
      </c>
      <c r="C47" s="383">
        <f>SUM(Lodges!C30,Restaurants!C30,SUM(Households!C33:D33),NatParkPA!C30,Tourism!C29,ComRevSh!C28)/(1-SUM(D8:D12))</f>
        <v>1367700.4351848809</v>
      </c>
      <c r="D47" s="382" t="s">
        <v>159</v>
      </c>
      <c r="F47" s="127" t="s">
        <v>385</v>
      </c>
    </row>
    <row r="48" spans="1:7" ht="16.5" customHeight="1" x14ac:dyDescent="0.2">
      <c r="A48" s="19"/>
      <c r="B48" s="331" t="s">
        <v>65</v>
      </c>
      <c r="C48" s="383">
        <f>C47-C46</f>
        <v>199312.24901862233</v>
      </c>
      <c r="D48" s="382" t="s">
        <v>102</v>
      </c>
    </row>
    <row r="49" spans="1:8" ht="16.5" customHeight="1" x14ac:dyDescent="0.2">
      <c r="A49" s="19"/>
      <c r="B49" s="386" t="s">
        <v>67</v>
      </c>
      <c r="C49" s="387">
        <f>C48/C47</f>
        <v>0.145728</v>
      </c>
      <c r="D49" s="388" t="s">
        <v>103</v>
      </c>
    </row>
    <row r="50" spans="1:8" ht="15.75" customHeight="1" x14ac:dyDescent="0.2">
      <c r="A50" s="19"/>
      <c r="C50" s="28"/>
      <c r="H50" s="8"/>
    </row>
    <row r="51" spans="1:8" ht="15.75" customHeight="1" x14ac:dyDescent="0.2">
      <c r="A51" s="19"/>
      <c r="C51" s="28"/>
      <c r="H51" s="8"/>
    </row>
    <row r="52" spans="1:8" ht="15.75" customHeight="1" x14ac:dyDescent="0.2">
      <c r="A52" s="19"/>
      <c r="C52" s="28"/>
      <c r="H52" s="8"/>
    </row>
    <row r="53" spans="1:8" ht="15.75" customHeight="1" x14ac:dyDescent="0.2">
      <c r="A53" s="19"/>
      <c r="C53" s="28"/>
      <c r="H53" s="8"/>
    </row>
    <row r="54" spans="1:8" ht="15.75" customHeight="1" x14ac:dyDescent="0.2">
      <c r="A54" s="19"/>
      <c r="B54" s="23" t="s">
        <v>506</v>
      </c>
      <c r="H54" s="8"/>
    </row>
    <row r="55" spans="1:8" ht="15.75" customHeight="1" x14ac:dyDescent="0.2">
      <c r="A55" s="19"/>
      <c r="B55" s="33" t="s">
        <v>0</v>
      </c>
      <c r="C55" s="34" t="s">
        <v>1</v>
      </c>
      <c r="D55" s="35" t="s">
        <v>2</v>
      </c>
      <c r="E55" s="35" t="s">
        <v>3</v>
      </c>
      <c r="F55" s="35" t="s">
        <v>4</v>
      </c>
      <c r="G55" s="35" t="s">
        <v>5</v>
      </c>
      <c r="H55" s="8"/>
    </row>
    <row r="56" spans="1:8" ht="15.75" customHeight="1" x14ac:dyDescent="0.2">
      <c r="A56" s="19"/>
      <c r="B56" s="198" t="s">
        <v>71</v>
      </c>
      <c r="C56" s="199">
        <f t="shared" ref="C56:C65" si="1">C4*100</f>
        <v>33</v>
      </c>
      <c r="D56" s="181" t="s">
        <v>426</v>
      </c>
      <c r="E56" s="181">
        <v>0</v>
      </c>
      <c r="F56" s="181">
        <v>100</v>
      </c>
      <c r="G56" s="181">
        <v>0.01</v>
      </c>
      <c r="H56" s="8"/>
    </row>
    <row r="57" spans="1:8" ht="15.75" customHeight="1" x14ac:dyDescent="0.2">
      <c r="A57" s="19"/>
      <c r="B57" s="198" t="s">
        <v>73</v>
      </c>
      <c r="C57" s="199">
        <f t="shared" si="1"/>
        <v>2.8</v>
      </c>
      <c r="D57" s="181" t="s">
        <v>427</v>
      </c>
      <c r="E57" s="181">
        <v>0</v>
      </c>
      <c r="F57" s="181">
        <v>100</v>
      </c>
      <c r="G57" s="181">
        <v>0.01</v>
      </c>
      <c r="H57" s="8"/>
    </row>
    <row r="58" spans="1:8" ht="15.75" customHeight="1" x14ac:dyDescent="0.2">
      <c r="A58" s="19"/>
      <c r="B58" s="198" t="s">
        <v>74</v>
      </c>
      <c r="C58" s="199">
        <f t="shared" si="1"/>
        <v>0</v>
      </c>
      <c r="D58" s="181" t="s">
        <v>428</v>
      </c>
      <c r="E58" s="181">
        <v>0</v>
      </c>
      <c r="F58" s="181">
        <v>100</v>
      </c>
      <c r="G58" s="181">
        <v>0.01</v>
      </c>
      <c r="H58" s="8"/>
    </row>
    <row r="59" spans="1:8" ht="15.75" customHeight="1" x14ac:dyDescent="0.2">
      <c r="A59" s="19"/>
      <c r="B59" s="198" t="s">
        <v>75</v>
      </c>
      <c r="C59" s="199">
        <f t="shared" si="1"/>
        <v>0</v>
      </c>
      <c r="D59" s="181" t="s">
        <v>429</v>
      </c>
      <c r="E59" s="181">
        <v>0</v>
      </c>
      <c r="F59" s="181">
        <v>100</v>
      </c>
      <c r="G59" s="181">
        <v>0.01</v>
      </c>
      <c r="H59" s="8"/>
    </row>
    <row r="60" spans="1:8" ht="15.75" customHeight="1" x14ac:dyDescent="0.2">
      <c r="A60" s="19"/>
      <c r="B60" s="198" t="s">
        <v>140</v>
      </c>
      <c r="C60" s="199">
        <f t="shared" si="1"/>
        <v>1.7000000000000002</v>
      </c>
      <c r="D60" s="181" t="s">
        <v>430</v>
      </c>
      <c r="E60" s="181">
        <v>0</v>
      </c>
      <c r="F60" s="181">
        <v>100</v>
      </c>
      <c r="G60" s="181">
        <v>0.01</v>
      </c>
      <c r="H60" s="8"/>
    </row>
    <row r="61" spans="1:8" ht="15.75" customHeight="1" x14ac:dyDescent="0.2">
      <c r="A61" s="19"/>
      <c r="B61" s="204" t="s">
        <v>496</v>
      </c>
      <c r="C61" s="199">
        <f t="shared" si="1"/>
        <v>0</v>
      </c>
      <c r="D61" s="181" t="s">
        <v>431</v>
      </c>
      <c r="E61" s="181">
        <v>0</v>
      </c>
      <c r="F61" s="181">
        <v>100</v>
      </c>
      <c r="G61" s="181">
        <v>0.01</v>
      </c>
      <c r="H61" s="8"/>
    </row>
    <row r="62" spans="1:8" ht="15.75" customHeight="1" x14ac:dyDescent="0.2">
      <c r="A62" s="19"/>
      <c r="B62" s="198" t="s">
        <v>141</v>
      </c>
      <c r="C62" s="199">
        <f t="shared" si="1"/>
        <v>14.800000000000002</v>
      </c>
      <c r="D62" s="181" t="s">
        <v>432</v>
      </c>
      <c r="E62" s="181">
        <v>0</v>
      </c>
      <c r="F62" s="181">
        <v>100</v>
      </c>
      <c r="G62" s="181">
        <v>0.01</v>
      </c>
      <c r="H62" s="8"/>
    </row>
    <row r="63" spans="1:8" ht="15.75" customHeight="1" x14ac:dyDescent="0.2">
      <c r="A63" s="19"/>
      <c r="B63" s="198" t="s">
        <v>142</v>
      </c>
      <c r="C63" s="199">
        <f t="shared" si="1"/>
        <v>20.7</v>
      </c>
      <c r="D63" s="181" t="s">
        <v>433</v>
      </c>
      <c r="E63" s="181">
        <v>0</v>
      </c>
      <c r="F63" s="181">
        <v>100</v>
      </c>
      <c r="G63" s="181">
        <v>0.01</v>
      </c>
      <c r="H63" s="8"/>
    </row>
    <row r="64" spans="1:8" ht="15.75" customHeight="1" x14ac:dyDescent="0.2">
      <c r="A64" s="19"/>
      <c r="B64" s="198" t="s">
        <v>143</v>
      </c>
      <c r="C64" s="199">
        <f t="shared" si="1"/>
        <v>21.6</v>
      </c>
      <c r="D64" s="181" t="s">
        <v>434</v>
      </c>
      <c r="E64" s="181">
        <v>0</v>
      </c>
      <c r="F64" s="181">
        <v>100</v>
      </c>
      <c r="G64" s="181">
        <v>0.01</v>
      </c>
      <c r="H64" s="8"/>
    </row>
    <row r="65" spans="1:8" ht="15.75" customHeight="1" x14ac:dyDescent="0.2">
      <c r="A65" s="19"/>
      <c r="B65" s="198" t="s">
        <v>144</v>
      </c>
      <c r="C65" s="199">
        <f t="shared" si="1"/>
        <v>4.1999999999999993</v>
      </c>
      <c r="D65" s="181" t="s">
        <v>435</v>
      </c>
      <c r="E65" s="181">
        <v>0</v>
      </c>
      <c r="F65" s="181">
        <v>100</v>
      </c>
      <c r="G65" s="181">
        <v>0.01</v>
      </c>
      <c r="H65" s="8"/>
    </row>
    <row r="66" spans="1:8" ht="15.75" customHeight="1" x14ac:dyDescent="0.2">
      <c r="A66" s="19"/>
      <c r="B66" s="205" t="s">
        <v>145</v>
      </c>
      <c r="C66" s="199">
        <f>C15*100</f>
        <v>0</v>
      </c>
      <c r="D66" s="181" t="s">
        <v>459</v>
      </c>
      <c r="E66" s="181">
        <v>0</v>
      </c>
      <c r="F66" s="181">
        <v>100</v>
      </c>
      <c r="G66" s="181">
        <v>0.01</v>
      </c>
      <c r="H66" s="8"/>
    </row>
    <row r="67" spans="1:8" ht="15.75" customHeight="1" x14ac:dyDescent="0.2">
      <c r="A67" s="19"/>
      <c r="B67" s="205" t="s">
        <v>146</v>
      </c>
      <c r="C67" s="199">
        <f t="shared" ref="C67:C68" si="2">D16*100</f>
        <v>100</v>
      </c>
      <c r="D67" s="181" t="s">
        <v>503</v>
      </c>
      <c r="E67" s="181">
        <v>0</v>
      </c>
      <c r="F67" s="181">
        <v>100</v>
      </c>
      <c r="G67" s="181">
        <v>0.01</v>
      </c>
      <c r="H67" s="8"/>
    </row>
    <row r="68" spans="1:8" ht="15.75" customHeight="1" x14ac:dyDescent="0.2">
      <c r="A68" s="19"/>
      <c r="B68" s="205" t="s">
        <v>147</v>
      </c>
      <c r="C68" s="199">
        <f t="shared" si="2"/>
        <v>100</v>
      </c>
      <c r="D68" s="181" t="s">
        <v>160</v>
      </c>
      <c r="E68" s="181">
        <v>0</v>
      </c>
      <c r="F68" s="181">
        <v>100</v>
      </c>
      <c r="G68" s="181">
        <v>0.01</v>
      </c>
      <c r="H68" s="8"/>
    </row>
    <row r="69" spans="1:8" ht="15.75" customHeight="1" x14ac:dyDescent="0.2">
      <c r="A69" s="19"/>
      <c r="B69" s="207" t="s">
        <v>387</v>
      </c>
      <c r="C69" s="208">
        <f>C18*100</f>
        <v>29.600000000000005</v>
      </c>
      <c r="D69" s="181" t="s">
        <v>392</v>
      </c>
      <c r="E69" s="189">
        <v>0</v>
      </c>
      <c r="F69" s="189">
        <v>100</v>
      </c>
      <c r="G69" s="206">
        <v>0.01</v>
      </c>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c r="A268" s="19"/>
      <c r="C268" s="28"/>
      <c r="H268" s="8"/>
    </row>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0" workbookViewId="0">
      <selection activeCell="C4" sqref="C4:C18"/>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510</v>
      </c>
      <c r="E3" s="10"/>
      <c r="F3" s="10"/>
      <c r="G3" s="10"/>
      <c r="H3" s="10" t="s">
        <v>6</v>
      </c>
    </row>
    <row r="4" spans="1:8" ht="30.75" customHeight="1" x14ac:dyDescent="0.2">
      <c r="A4" s="487" t="s">
        <v>511</v>
      </c>
      <c r="B4" s="174" t="s">
        <v>71</v>
      </c>
      <c r="C4" s="210">
        <v>5.4000000000000006E-2</v>
      </c>
      <c r="D4" s="244">
        <f t="shared" ref="D4:D15" si="0">C4/$C$20*(1-$C$18)</f>
        <v>4.2228000000000009E-2</v>
      </c>
      <c r="E4" s="1"/>
      <c r="F4" s="1"/>
      <c r="G4" s="1"/>
      <c r="H4" s="37" t="s">
        <v>72</v>
      </c>
    </row>
    <row r="5" spans="1:8" ht="30.75" customHeight="1" x14ac:dyDescent="0.2">
      <c r="A5" s="488"/>
      <c r="B5" s="171" t="s">
        <v>73</v>
      </c>
      <c r="C5" s="211">
        <v>1.9E-2</v>
      </c>
      <c r="D5" s="244">
        <f t="shared" si="0"/>
        <v>1.4858000000000003E-2</v>
      </c>
      <c r="E5" s="1"/>
      <c r="F5" s="1"/>
      <c r="G5" s="1"/>
      <c r="H5" s="11"/>
    </row>
    <row r="6" spans="1:8" ht="30.75" customHeight="1" x14ac:dyDescent="0.2">
      <c r="A6" s="488"/>
      <c r="B6" s="171" t="s">
        <v>74</v>
      </c>
      <c r="C6" s="211">
        <v>0.14099999999999999</v>
      </c>
      <c r="D6" s="244">
        <f t="shared" si="0"/>
        <v>0.11026200000000001</v>
      </c>
      <c r="E6" s="1"/>
      <c r="F6" s="1"/>
      <c r="G6" s="1"/>
      <c r="H6" s="11"/>
    </row>
    <row r="7" spans="1:8" ht="30.75" customHeight="1" x14ac:dyDescent="0.2">
      <c r="A7" s="488"/>
      <c r="B7" s="171" t="s">
        <v>75</v>
      </c>
      <c r="C7" s="211">
        <v>1.8000000000000002E-2</v>
      </c>
      <c r="D7" s="244">
        <f t="shared" si="0"/>
        <v>1.4076000000000005E-2</v>
      </c>
      <c r="E7" s="1"/>
      <c r="F7" s="1"/>
      <c r="G7" s="1"/>
      <c r="H7" s="11"/>
    </row>
    <row r="8" spans="1:8" ht="39" customHeight="1" x14ac:dyDescent="0.2">
      <c r="A8" s="488"/>
      <c r="B8" s="172" t="s">
        <v>163</v>
      </c>
      <c r="C8" s="211">
        <v>9.6999999999999989E-2</v>
      </c>
      <c r="D8" s="244">
        <f t="shared" si="0"/>
        <v>7.5854000000000005E-2</v>
      </c>
      <c r="E8" s="1"/>
      <c r="F8" s="1"/>
      <c r="G8" s="1"/>
      <c r="H8" s="37" t="s">
        <v>79</v>
      </c>
    </row>
    <row r="9" spans="1:8" ht="39" customHeight="1" x14ac:dyDescent="0.2">
      <c r="A9" s="488"/>
      <c r="B9" s="172" t="s">
        <v>500</v>
      </c>
      <c r="C9" s="211">
        <v>0</v>
      </c>
      <c r="D9" s="244">
        <f t="shared" si="0"/>
        <v>0</v>
      </c>
      <c r="E9" s="1"/>
      <c r="F9" s="1"/>
      <c r="G9" s="1"/>
      <c r="H9" s="37"/>
    </row>
    <row r="10" spans="1:8" ht="26.25" customHeight="1" x14ac:dyDescent="0.2">
      <c r="A10" s="488"/>
      <c r="B10" s="172" t="s">
        <v>108</v>
      </c>
      <c r="C10" s="211">
        <v>7.2999999999999995E-2</v>
      </c>
      <c r="D10" s="244">
        <f t="shared" si="0"/>
        <v>5.7086000000000012E-2</v>
      </c>
      <c r="E10" s="1"/>
      <c r="F10" s="1"/>
      <c r="G10" s="1"/>
      <c r="H10" s="11"/>
    </row>
    <row r="11" spans="1:8" ht="26.25" customHeight="1" x14ac:dyDescent="0.2">
      <c r="A11" s="488"/>
      <c r="B11" s="172" t="s">
        <v>164</v>
      </c>
      <c r="C11" s="211">
        <v>7.0000000000000007E-2</v>
      </c>
      <c r="D11" s="244">
        <f t="shared" si="0"/>
        <v>5.4740000000000018E-2</v>
      </c>
      <c r="E11" s="1"/>
      <c r="F11" s="1"/>
      <c r="G11" s="1"/>
      <c r="H11" s="11"/>
    </row>
    <row r="12" spans="1:8" ht="26.25" customHeight="1" x14ac:dyDescent="0.2">
      <c r="A12" s="488"/>
      <c r="B12" s="172" t="s">
        <v>109</v>
      </c>
      <c r="C12" s="211">
        <v>0.26899999999999996</v>
      </c>
      <c r="D12" s="244">
        <f t="shared" si="0"/>
        <v>0.21035800000000002</v>
      </c>
      <c r="E12" s="1"/>
      <c r="F12" s="1"/>
      <c r="G12" s="1"/>
      <c r="H12" s="11"/>
    </row>
    <row r="13" spans="1:8" ht="26.25" customHeight="1" x14ac:dyDescent="0.2">
      <c r="A13" s="488"/>
      <c r="B13" s="172" t="s">
        <v>165</v>
      </c>
      <c r="C13" s="211">
        <v>0.20400000000000001</v>
      </c>
      <c r="D13" s="244">
        <f t="shared" si="0"/>
        <v>0.15952800000000003</v>
      </c>
      <c r="E13" s="1"/>
      <c r="F13" s="1"/>
      <c r="G13" s="1"/>
      <c r="H13" s="32">
        <f>SUM(C4:C15)</f>
        <v>0.99999999999999989</v>
      </c>
    </row>
    <row r="14" spans="1:8" ht="26.25" customHeight="1" x14ac:dyDescent="0.2">
      <c r="A14" s="488"/>
      <c r="B14" s="475" t="s">
        <v>557</v>
      </c>
      <c r="C14" s="473">
        <v>3.9E-2</v>
      </c>
      <c r="D14" s="477">
        <f t="shared" si="0"/>
        <v>3.0498000000000008E-2</v>
      </c>
      <c r="E14" s="1"/>
      <c r="F14" s="1"/>
      <c r="G14" s="1"/>
      <c r="H14" s="11"/>
    </row>
    <row r="15" spans="1:8" ht="26.25" customHeight="1" x14ac:dyDescent="0.2">
      <c r="A15" s="489"/>
      <c r="B15" s="172" t="s">
        <v>166</v>
      </c>
      <c r="C15" s="211">
        <v>1.6E-2</v>
      </c>
      <c r="D15" s="244">
        <f t="shared" si="0"/>
        <v>1.2512000000000004E-2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1</v>
      </c>
      <c r="D17" s="274">
        <f>C17</f>
        <v>1</v>
      </c>
      <c r="E17" s="1"/>
      <c r="F17" s="1"/>
      <c r="G17" s="1"/>
      <c r="H17" s="11"/>
    </row>
    <row r="18" spans="1:9" ht="26.25" customHeight="1" x14ac:dyDescent="0.2">
      <c r="A18" s="257"/>
      <c r="B18" s="227" t="s">
        <v>387</v>
      </c>
      <c r="C18" s="111">
        <v>0.218</v>
      </c>
      <c r="D18" s="275">
        <f>C18</f>
        <v>0.218</v>
      </c>
      <c r="I18" s="11"/>
    </row>
    <row r="19" spans="1:9" ht="15.75" customHeight="1" x14ac:dyDescent="0.2">
      <c r="B19" s="11"/>
      <c r="C19" s="127" t="s">
        <v>518</v>
      </c>
    </row>
    <row r="20" spans="1:9" ht="15.75" customHeight="1" x14ac:dyDescent="0.2">
      <c r="B20" s="11" t="s">
        <v>389</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521</v>
      </c>
      <c r="C25" s="37"/>
    </row>
    <row r="26" spans="1:9" ht="15.75" customHeight="1" x14ac:dyDescent="0.2">
      <c r="B26" s="357" t="s">
        <v>168</v>
      </c>
      <c r="C26" s="358" t="s">
        <v>48</v>
      </c>
      <c r="D26" s="359"/>
    </row>
    <row r="27" spans="1:9" ht="15.75" customHeight="1" x14ac:dyDescent="0.2">
      <c r="B27" s="360" t="s">
        <v>30</v>
      </c>
      <c r="C27" s="336">
        <f>$D8*$C$46</f>
        <v>32701.55585475402</v>
      </c>
      <c r="D27" s="361" t="s">
        <v>169</v>
      </c>
    </row>
    <row r="28" spans="1:9" ht="14.25" customHeight="1" x14ac:dyDescent="0.2">
      <c r="B28" s="362" t="s">
        <v>32</v>
      </c>
      <c r="C28" s="363">
        <v>0</v>
      </c>
      <c r="D28" s="364" t="s">
        <v>170</v>
      </c>
    </row>
    <row r="29" spans="1:9" ht="15.75" customHeight="1" x14ac:dyDescent="0.2">
      <c r="B29" s="360" t="s">
        <v>34</v>
      </c>
      <c r="C29" s="336">
        <f>($D11+$D$12)*$C$46</f>
        <v>114286.88077073829</v>
      </c>
      <c r="D29" s="361" t="s">
        <v>171</v>
      </c>
    </row>
    <row r="30" spans="1:9" ht="15.75" customHeight="1" x14ac:dyDescent="0.2">
      <c r="B30" s="360" t="s">
        <v>36</v>
      </c>
      <c r="C30" s="336">
        <f>$D10*$C$46</f>
        <v>24610.449251515915</v>
      </c>
      <c r="D30" s="361" t="s">
        <v>172</v>
      </c>
    </row>
    <row r="31" spans="1:9" ht="15.75" customHeight="1" x14ac:dyDescent="0.2">
      <c r="B31" s="362" t="s">
        <v>38</v>
      </c>
      <c r="C31" s="365">
        <f>D4*$C$46*C17</f>
        <v>18204.989857285746</v>
      </c>
      <c r="D31" s="366" t="s">
        <v>89</v>
      </c>
    </row>
    <row r="32" spans="1:9" ht="15.75" customHeight="1" x14ac:dyDescent="0.2">
      <c r="B32" s="362" t="s">
        <v>40</v>
      </c>
      <c r="C32" s="365">
        <f>D5*$C$46*C17</f>
        <v>6405.4593942301699</v>
      </c>
      <c r="D32" s="366" t="s">
        <v>90</v>
      </c>
    </row>
    <row r="33" spans="2:5" ht="15.75" customHeight="1" x14ac:dyDescent="0.2">
      <c r="B33" s="362" t="s">
        <v>41</v>
      </c>
      <c r="C33" s="365">
        <f>D6*$C$46*C17</f>
        <v>47535.251294023888</v>
      </c>
      <c r="D33" s="366" t="s">
        <v>91</v>
      </c>
    </row>
    <row r="34" spans="2:5" ht="15.75" customHeight="1" x14ac:dyDescent="0.2">
      <c r="B34" s="362" t="s">
        <v>42</v>
      </c>
      <c r="C34" s="365">
        <f>D7*$C$46*C17</f>
        <v>6068.3299524285831</v>
      </c>
      <c r="D34" s="366" t="s">
        <v>92</v>
      </c>
    </row>
    <row r="35" spans="2:5" ht="15.75" customHeight="1" x14ac:dyDescent="0.2">
      <c r="B35" s="360" t="s">
        <v>43</v>
      </c>
      <c r="C35" s="336">
        <f>D18*C46*C16</f>
        <v>93982.376359010406</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569</v>
      </c>
      <c r="C42" s="350">
        <f>$D$14*$C$46</f>
        <v>13148.048230261928</v>
      </c>
      <c r="D42" s="346" t="s">
        <v>570</v>
      </c>
    </row>
    <row r="43" spans="2:5" ht="15.75" customHeight="1" x14ac:dyDescent="0.2">
      <c r="B43" s="329" t="s">
        <v>57</v>
      </c>
      <c r="C43" s="350">
        <f>$D$15*$C$46</f>
        <v>5394.0710688254067</v>
      </c>
      <c r="D43" s="354" t="s">
        <v>571</v>
      </c>
    </row>
    <row r="44" spans="2:5" ht="15.75" customHeight="1" x14ac:dyDescent="0.2">
      <c r="B44" s="370" t="s">
        <v>59</v>
      </c>
      <c r="C44" s="336">
        <f>D13*C46 + C46*SUM(D4:D7)*(1-C17) + C46*D18*(1-C16)</f>
        <v>68774.406127523922</v>
      </c>
      <c r="D44" s="371" t="s">
        <v>178</v>
      </c>
    </row>
    <row r="45" spans="2:5" ht="15.75" customHeight="1" x14ac:dyDescent="0.2">
      <c r="B45" s="360" t="s">
        <v>61</v>
      </c>
      <c r="C45" s="336">
        <f>SUM(C27:C44)</f>
        <v>431111.81816059828</v>
      </c>
      <c r="D45" s="369" t="s">
        <v>179</v>
      </c>
    </row>
    <row r="46" spans="2:5" ht="15.75" customHeight="1" x14ac:dyDescent="0.2">
      <c r="B46" s="360" t="s">
        <v>63</v>
      </c>
      <c r="C46" s="336">
        <f>Tourists!$C$36+SUM(Households!C41:D41) + Ag!C37 + Tourism!C37 + Nonag!C37 + Fishing!C39 + Lodges!C38 + ComRevSh!C36 + NatParkPA!C38</f>
        <v>431111.81816059822</v>
      </c>
      <c r="D46" s="369" t="s">
        <v>180</v>
      </c>
      <c r="E46" s="42" t="s">
        <v>386</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row r="53" spans="2:7" ht="15.75" customHeight="1" x14ac:dyDescent="0.2">
      <c r="B53" s="23" t="s">
        <v>506</v>
      </c>
    </row>
    <row r="54" spans="2:7" ht="15.75" customHeight="1" x14ac:dyDescent="0.2">
      <c r="B54" s="33" t="s">
        <v>0</v>
      </c>
      <c r="C54" s="34" t="s">
        <v>1</v>
      </c>
      <c r="D54" s="35" t="s">
        <v>2</v>
      </c>
      <c r="E54" s="35" t="s">
        <v>3</v>
      </c>
      <c r="F54" s="35" t="s">
        <v>4</v>
      </c>
      <c r="G54" s="35" t="s">
        <v>5</v>
      </c>
    </row>
    <row r="55" spans="2:7" ht="15" customHeight="1" x14ac:dyDescent="0.2">
      <c r="B55" s="198" t="s">
        <v>71</v>
      </c>
      <c r="C55" s="199">
        <f t="shared" ref="C55:C64" si="1">C4*100</f>
        <v>5.4</v>
      </c>
      <c r="D55" s="181" t="s">
        <v>436</v>
      </c>
      <c r="E55" s="181">
        <v>0</v>
      </c>
      <c r="F55" s="181">
        <v>100</v>
      </c>
      <c r="G55" s="181">
        <v>0.01</v>
      </c>
    </row>
    <row r="56" spans="2:7" ht="15" customHeight="1" x14ac:dyDescent="0.2">
      <c r="B56" s="198" t="s">
        <v>73</v>
      </c>
      <c r="C56" s="199">
        <f t="shared" si="1"/>
        <v>1.9</v>
      </c>
      <c r="D56" s="181" t="s">
        <v>437</v>
      </c>
      <c r="E56" s="181">
        <v>0</v>
      </c>
      <c r="F56" s="181">
        <v>100</v>
      </c>
      <c r="G56" s="181">
        <v>0.01</v>
      </c>
    </row>
    <row r="57" spans="2:7" ht="15" customHeight="1" x14ac:dyDescent="0.2">
      <c r="B57" s="198" t="s">
        <v>74</v>
      </c>
      <c r="C57" s="199">
        <f t="shared" si="1"/>
        <v>14.099999999999998</v>
      </c>
      <c r="D57" s="181" t="s">
        <v>438</v>
      </c>
      <c r="E57" s="181">
        <v>0</v>
      </c>
      <c r="F57" s="181">
        <v>100</v>
      </c>
      <c r="G57" s="181">
        <v>0.01</v>
      </c>
    </row>
    <row r="58" spans="2:7" ht="15" customHeight="1" x14ac:dyDescent="0.2">
      <c r="B58" s="198" t="s">
        <v>75</v>
      </c>
      <c r="C58" s="199">
        <f t="shared" si="1"/>
        <v>1.8000000000000003</v>
      </c>
      <c r="D58" s="181" t="s">
        <v>439</v>
      </c>
      <c r="E58" s="181">
        <v>0</v>
      </c>
      <c r="F58" s="181">
        <v>100</v>
      </c>
      <c r="G58" s="181">
        <v>0.01</v>
      </c>
    </row>
    <row r="59" spans="2:7" ht="15" customHeight="1" x14ac:dyDescent="0.2">
      <c r="B59" s="198" t="s">
        <v>163</v>
      </c>
      <c r="C59" s="199">
        <f t="shared" si="1"/>
        <v>9.6999999999999993</v>
      </c>
      <c r="D59" s="181" t="s">
        <v>440</v>
      </c>
      <c r="E59" s="181">
        <v>0</v>
      </c>
      <c r="F59" s="181">
        <v>100</v>
      </c>
      <c r="G59" s="181">
        <v>0.01</v>
      </c>
    </row>
    <row r="60" spans="2:7" ht="15" customHeight="1" x14ac:dyDescent="0.2">
      <c r="B60" s="198" t="s">
        <v>496</v>
      </c>
      <c r="C60" s="199">
        <f t="shared" si="1"/>
        <v>0</v>
      </c>
      <c r="D60" s="181" t="s">
        <v>441</v>
      </c>
      <c r="E60" s="181">
        <v>0</v>
      </c>
      <c r="F60" s="181">
        <v>100</v>
      </c>
      <c r="G60" s="181">
        <v>0.01</v>
      </c>
    </row>
    <row r="61" spans="2:7" ht="15" customHeight="1" x14ac:dyDescent="0.2">
      <c r="B61" s="198" t="s">
        <v>108</v>
      </c>
      <c r="C61" s="199">
        <f t="shared" si="1"/>
        <v>7.3</v>
      </c>
      <c r="D61" s="181" t="s">
        <v>442</v>
      </c>
      <c r="E61" s="181">
        <v>0</v>
      </c>
      <c r="F61" s="181">
        <v>100</v>
      </c>
      <c r="G61" s="181">
        <v>0.01</v>
      </c>
    </row>
    <row r="62" spans="2:7" ht="15" customHeight="1" x14ac:dyDescent="0.2">
      <c r="B62" s="198" t="s">
        <v>164</v>
      </c>
      <c r="C62" s="199">
        <f t="shared" si="1"/>
        <v>7.0000000000000009</v>
      </c>
      <c r="D62" s="181" t="s">
        <v>443</v>
      </c>
      <c r="E62" s="181">
        <v>0</v>
      </c>
      <c r="F62" s="181">
        <v>100</v>
      </c>
      <c r="G62" s="181">
        <v>0.01</v>
      </c>
    </row>
    <row r="63" spans="2:7" ht="15" customHeight="1" x14ac:dyDescent="0.2">
      <c r="B63" s="198" t="s">
        <v>109</v>
      </c>
      <c r="C63" s="199">
        <f t="shared" si="1"/>
        <v>26.899999999999995</v>
      </c>
      <c r="D63" s="181" t="s">
        <v>444</v>
      </c>
      <c r="E63" s="181">
        <v>0</v>
      </c>
      <c r="F63" s="181">
        <v>100</v>
      </c>
      <c r="G63" s="181">
        <v>0.01</v>
      </c>
    </row>
    <row r="64" spans="2:7" ht="15" customHeight="1" x14ac:dyDescent="0.2">
      <c r="B64" s="198" t="s">
        <v>165</v>
      </c>
      <c r="C64" s="199">
        <f t="shared" si="1"/>
        <v>20.400000000000002</v>
      </c>
      <c r="D64" s="181" t="s">
        <v>445</v>
      </c>
      <c r="E64" s="181">
        <v>0</v>
      </c>
      <c r="F64" s="181">
        <v>100</v>
      </c>
      <c r="G64" s="181">
        <v>0.01</v>
      </c>
    </row>
    <row r="65" spans="2:7" ht="15" customHeight="1" x14ac:dyDescent="0.2">
      <c r="B65" s="198" t="s">
        <v>166</v>
      </c>
      <c r="C65" s="199">
        <f t="shared" ref="C65" si="2">C15*100</f>
        <v>1.6</v>
      </c>
      <c r="D65" s="181" t="s">
        <v>460</v>
      </c>
      <c r="E65" s="181">
        <v>0</v>
      </c>
      <c r="F65" s="181">
        <v>100</v>
      </c>
      <c r="G65" s="181">
        <v>0.01</v>
      </c>
    </row>
    <row r="66" spans="2:7" ht="15" customHeight="1" x14ac:dyDescent="0.2">
      <c r="B66" s="205" t="s">
        <v>167</v>
      </c>
      <c r="C66" s="199">
        <f t="shared" ref="C66:C67" si="3">D16*100</f>
        <v>100</v>
      </c>
      <c r="D66" s="181" t="s">
        <v>502</v>
      </c>
      <c r="E66" s="181">
        <v>0</v>
      </c>
      <c r="F66" s="181">
        <v>100</v>
      </c>
      <c r="G66" s="181">
        <v>0.01</v>
      </c>
    </row>
    <row r="67" spans="2:7" ht="15" customHeight="1" x14ac:dyDescent="0.2">
      <c r="B67" s="205" t="s">
        <v>84</v>
      </c>
      <c r="C67" s="199">
        <f t="shared" si="3"/>
        <v>100</v>
      </c>
      <c r="D67" s="181" t="s">
        <v>182</v>
      </c>
      <c r="E67" s="181">
        <v>0</v>
      </c>
      <c r="F67" s="181">
        <v>100</v>
      </c>
      <c r="G67" s="181">
        <v>0.01</v>
      </c>
    </row>
    <row r="68" spans="2:7" ht="15" customHeight="1" x14ac:dyDescent="0.2">
      <c r="B68" s="207" t="s">
        <v>387</v>
      </c>
      <c r="C68" s="208">
        <f>C18*100</f>
        <v>21.8</v>
      </c>
      <c r="D68" s="181" t="s">
        <v>394</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8"/>
  <sheetViews>
    <sheetView topLeftCell="A42" zoomScale="125" workbookViewId="0">
      <selection activeCell="B51" sqref="B51"/>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388</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7" t="s">
        <v>511</v>
      </c>
      <c r="B4" s="171" t="s">
        <v>71</v>
      </c>
      <c r="C4" s="278">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8"/>
      <c r="B5" s="171" t="s">
        <v>73</v>
      </c>
      <c r="C5" s="279">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8"/>
      <c r="B6" s="171" t="s">
        <v>74</v>
      </c>
      <c r="C6" s="279">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8"/>
      <c r="B7" s="171" t="s">
        <v>75</v>
      </c>
      <c r="C7" s="279">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8"/>
      <c r="B8" s="172" t="s">
        <v>186</v>
      </c>
      <c r="C8" s="279">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8"/>
      <c r="B9" s="172" t="s">
        <v>481</v>
      </c>
      <c r="C9" s="279">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8"/>
      <c r="B10" s="172" t="s">
        <v>482</v>
      </c>
      <c r="C10" s="279">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8"/>
      <c r="B11" s="172" t="s">
        <v>188</v>
      </c>
      <c r="C11" s="279">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8"/>
      <c r="B12" s="172" t="s">
        <v>109</v>
      </c>
      <c r="C12" s="279">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8"/>
      <c r="B13" s="172" t="s">
        <v>189</v>
      </c>
      <c r="C13" s="279">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8"/>
      <c r="B14" s="475" t="s">
        <v>558</v>
      </c>
      <c r="C14" s="478">
        <v>6.6404494382022478E-2</v>
      </c>
      <c r="D14" s="479">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9"/>
      <c r="B15" s="172" t="s">
        <v>559</v>
      </c>
      <c r="C15" s="279">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0.81932584269662923</v>
      </c>
      <c r="D16" s="277">
        <f>C16</f>
        <v>0.81932584269662923</v>
      </c>
      <c r="E16" s="37"/>
      <c r="F16" s="462"/>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0.97752808988764062</v>
      </c>
      <c r="D17" s="281">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387</v>
      </c>
      <c r="C18" s="122">
        <v>0.20961797752808992</v>
      </c>
      <c r="D18" s="229">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518</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389</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521</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4.3043414255200578E-2</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0.28435234931861919</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1.1961685543292466E-2</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463" t="s">
        <v>38</v>
      </c>
      <c r="C31" s="464">
        <f>D4*$C$46*C17</f>
        <v>6.6259673852170631E-2</v>
      </c>
      <c r="D31" s="465" t="s">
        <v>89</v>
      </c>
      <c r="E31" s="466" t="s">
        <v>551</v>
      </c>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463" t="s">
        <v>40</v>
      </c>
      <c r="C32" s="464">
        <f>D5*$C$46*C17</f>
        <v>7.6379830436403104E-2</v>
      </c>
      <c r="D32" s="465"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463" t="s">
        <v>41</v>
      </c>
      <c r="C33" s="464">
        <f>D6*$C$46*C17</f>
        <v>9.2403411694771162E-2</v>
      </c>
      <c r="D33" s="465"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463" t="s">
        <v>42</v>
      </c>
      <c r="C34" s="464">
        <f>D7*$C$46*C17</f>
        <v>3.3209612935195254E-2</v>
      </c>
      <c r="D34" s="465"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0.22546708673466112</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569</v>
      </c>
      <c r="C42" s="350">
        <f>$D$14*$C$46</f>
        <v>6.8902106784462458E-2</v>
      </c>
      <c r="D42" s="346" t="s">
        <v>570</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2.1941415392277216E-2</v>
      </c>
      <c r="D43" s="354" t="s">
        <v>571</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0.36285570364297726</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1.2867762905900304</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1.3127982030000001</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2.602191240996965E-2</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1.9821715439969755E-2</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506</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6.5325842696629204</v>
      </c>
      <c r="D54" s="311" t="s">
        <v>446</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7.5303370786516863</v>
      </c>
      <c r="D55" s="311" t="s">
        <v>447</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9.1101123595505626</v>
      </c>
      <c r="D56" s="311" t="s">
        <v>448</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3.2741573033707865</v>
      </c>
      <c r="D57" s="311" t="s">
        <v>449</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4.1483146067415735</v>
      </c>
      <c r="D58" s="311" t="s">
        <v>450</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497</v>
      </c>
      <c r="C59" s="310">
        <f t="shared" si="1"/>
        <v>1.1528089887640451</v>
      </c>
      <c r="D59" s="181" t="s">
        <v>451</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2.5078651685393258</v>
      </c>
      <c r="D60" s="311" t="s">
        <v>452</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12.64943820224719</v>
      </c>
      <c r="D61" s="311" t="s">
        <v>453</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14.755056179775281</v>
      </c>
      <c r="D62" s="311" t="s">
        <v>454</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29.584269662921354</v>
      </c>
      <c r="D63" s="311" t="s">
        <v>455</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190</v>
      </c>
      <c r="C64" s="310">
        <f t="shared" ref="C64" si="2">C15*100</f>
        <v>2.1146067415730339</v>
      </c>
      <c r="D64" s="311" t="s">
        <v>461</v>
      </c>
      <c r="E64" s="311">
        <v>0</v>
      </c>
      <c r="F64" s="311">
        <v>100</v>
      </c>
      <c r="G64" s="311">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5" t="s">
        <v>191</v>
      </c>
      <c r="C65" s="310">
        <f t="shared" ref="C65:C66" si="3">D16*100</f>
        <v>81.932584269662925</v>
      </c>
      <c r="D65" s="311" t="s">
        <v>505</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84</v>
      </c>
      <c r="C66" s="310">
        <f t="shared" si="3"/>
        <v>97.752808988764059</v>
      </c>
      <c r="D66" s="311" t="s">
        <v>204</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7" t="s">
        <v>387</v>
      </c>
      <c r="C67" s="312">
        <f>C18*100</f>
        <v>20.961797752808991</v>
      </c>
      <c r="D67" s="181" t="s">
        <v>395</v>
      </c>
      <c r="E67" s="189">
        <v>0</v>
      </c>
      <c r="F67" s="189">
        <v>100</v>
      </c>
      <c r="G67" s="206">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8"/>
  <sheetViews>
    <sheetView topLeftCell="A6" zoomScale="125" workbookViewId="0">
      <selection activeCell="C4" sqref="C4:C18"/>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533</v>
      </c>
      <c r="C1" s="28"/>
      <c r="H1" s="8"/>
    </row>
    <row r="2" spans="1:8" ht="63.75" customHeight="1" x14ac:dyDescent="0.2">
      <c r="A2" s="248"/>
      <c r="B2" s="249" t="s">
        <v>508</v>
      </c>
      <c r="C2" s="250" t="s">
        <v>509</v>
      </c>
      <c r="D2" s="251"/>
      <c r="H2" s="8"/>
    </row>
    <row r="3" spans="1:8" ht="14.25" customHeight="1" x14ac:dyDescent="0.2">
      <c r="A3" s="267"/>
      <c r="B3" s="259" t="s">
        <v>0</v>
      </c>
      <c r="C3" s="268" t="s">
        <v>1</v>
      </c>
      <c r="D3" s="266" t="s">
        <v>510</v>
      </c>
      <c r="E3" s="10"/>
      <c r="F3" s="10"/>
      <c r="G3" s="10"/>
      <c r="H3" s="10" t="s">
        <v>6</v>
      </c>
    </row>
    <row r="4" spans="1:8" ht="29.25" customHeight="1" x14ac:dyDescent="0.2">
      <c r="A4" s="487" t="s">
        <v>511</v>
      </c>
      <c r="B4" s="174" t="s">
        <v>71</v>
      </c>
      <c r="C4" s="167">
        <v>4.3333333333333328E-2</v>
      </c>
      <c r="D4" s="214">
        <f t="shared" ref="D4:D15" si="0">C4/$C$20*(1-$C$18)</f>
        <v>3.2817777777777779E-2</v>
      </c>
      <c r="E4" s="29"/>
      <c r="F4" s="157"/>
      <c r="G4" s="30"/>
      <c r="H4" s="31" t="s">
        <v>72</v>
      </c>
    </row>
    <row r="5" spans="1:8" ht="36" customHeight="1" x14ac:dyDescent="0.2">
      <c r="A5" s="488"/>
      <c r="B5" s="171" t="s">
        <v>73</v>
      </c>
      <c r="C5" s="167">
        <v>6.1333333333333337E-2</v>
      </c>
      <c r="D5" s="214">
        <f t="shared" si="0"/>
        <v>4.6449777777777784E-2</v>
      </c>
      <c r="F5" s="157"/>
      <c r="G5" s="16"/>
      <c r="H5" s="11"/>
    </row>
    <row r="6" spans="1:8" ht="33.75" customHeight="1" x14ac:dyDescent="0.2">
      <c r="A6" s="488"/>
      <c r="B6" s="171" t="s">
        <v>74</v>
      </c>
      <c r="C6" s="167">
        <v>5.0666666666666665E-2</v>
      </c>
      <c r="D6" s="214">
        <f t="shared" si="0"/>
        <v>3.8371555555555562E-2</v>
      </c>
      <c r="F6" s="157"/>
      <c r="G6" s="16"/>
      <c r="H6" s="11"/>
    </row>
    <row r="7" spans="1:8" ht="33.75" customHeight="1" x14ac:dyDescent="0.2">
      <c r="A7" s="488"/>
      <c r="B7" s="171" t="s">
        <v>75</v>
      </c>
      <c r="C7" s="167">
        <v>1.5333333333333334E-2</v>
      </c>
      <c r="D7" s="214">
        <f t="shared" si="0"/>
        <v>1.1612444444444446E-2</v>
      </c>
      <c r="F7" s="157"/>
      <c r="G7" s="16"/>
      <c r="H7" s="11"/>
    </row>
    <row r="8" spans="1:8" ht="13" customHeight="1" x14ac:dyDescent="0.2">
      <c r="A8" s="488"/>
      <c r="B8" s="172" t="s">
        <v>107</v>
      </c>
      <c r="C8" s="167">
        <v>5.3333333333333332E-3</v>
      </c>
      <c r="D8" s="214">
        <f t="shared" si="0"/>
        <v>4.0391111111111114E-3</v>
      </c>
      <c r="F8" s="157"/>
      <c r="G8" s="16"/>
      <c r="H8" s="11"/>
    </row>
    <row r="9" spans="1:8" ht="13" customHeight="1" x14ac:dyDescent="0.2">
      <c r="A9" s="488"/>
      <c r="B9" s="172" t="s">
        <v>498</v>
      </c>
      <c r="C9" s="167">
        <v>0</v>
      </c>
      <c r="D9" s="214">
        <f t="shared" si="0"/>
        <v>0</v>
      </c>
      <c r="F9" s="157"/>
      <c r="G9" s="16"/>
      <c r="H9" s="11"/>
    </row>
    <row r="10" spans="1:8" ht="13" customHeight="1" x14ac:dyDescent="0.2">
      <c r="A10" s="488"/>
      <c r="B10" s="172" t="s">
        <v>108</v>
      </c>
      <c r="C10" s="167">
        <v>5.3333333333333332E-3</v>
      </c>
      <c r="D10" s="214">
        <f t="shared" si="0"/>
        <v>4.0391111111111114E-3</v>
      </c>
      <c r="F10" s="157"/>
      <c r="G10" s="16"/>
      <c r="H10" s="11"/>
    </row>
    <row r="11" spans="1:8" ht="13" customHeight="1" x14ac:dyDescent="0.2">
      <c r="A11" s="488"/>
      <c r="B11" s="172" t="s">
        <v>78</v>
      </c>
      <c r="C11" s="167">
        <v>0.28466666666666662</v>
      </c>
      <c r="D11" s="214">
        <f t="shared" si="0"/>
        <v>0.21558755555555556</v>
      </c>
      <c r="F11" s="157"/>
      <c r="G11" s="16"/>
      <c r="H11" s="11"/>
    </row>
    <row r="12" spans="1:8" ht="13" customHeight="1" x14ac:dyDescent="0.2">
      <c r="A12" s="488"/>
      <c r="B12" s="172" t="s">
        <v>109</v>
      </c>
      <c r="C12" s="167">
        <v>0.10733333333333332</v>
      </c>
      <c r="D12" s="214">
        <f t="shared" si="0"/>
        <v>8.1287111111111116E-2</v>
      </c>
      <c r="F12" s="157"/>
      <c r="G12" s="16"/>
      <c r="H12" s="11"/>
    </row>
    <row r="13" spans="1:8" ht="41.25" customHeight="1" x14ac:dyDescent="0.2">
      <c r="A13" s="488"/>
      <c r="B13" s="172" t="s">
        <v>110</v>
      </c>
      <c r="C13" s="167">
        <v>0.36266666666666669</v>
      </c>
      <c r="D13" s="214">
        <f t="shared" si="0"/>
        <v>0.2746595555555556</v>
      </c>
      <c r="F13" s="157"/>
      <c r="G13" s="16"/>
      <c r="H13" s="32"/>
    </row>
    <row r="14" spans="1:8" ht="16.5" customHeight="1" x14ac:dyDescent="0.2">
      <c r="A14" s="488"/>
      <c r="B14" s="475" t="s">
        <v>556</v>
      </c>
      <c r="C14" s="476">
        <v>4.0666666666666663E-2</v>
      </c>
      <c r="D14" s="474">
        <f t="shared" si="0"/>
        <v>3.0798222222222223E-2</v>
      </c>
      <c r="G14" s="16"/>
      <c r="H14" s="11"/>
    </row>
    <row r="15" spans="1:8" ht="16.5" customHeight="1" x14ac:dyDescent="0.2">
      <c r="A15" s="489"/>
      <c r="B15" s="172" t="s">
        <v>111</v>
      </c>
      <c r="C15" s="167">
        <v>2.3333333333333334E-2</v>
      </c>
      <c r="D15" s="214">
        <f t="shared" si="0"/>
        <v>1.7671111111111113E-2</v>
      </c>
      <c r="G15" s="16"/>
      <c r="H15" s="11"/>
    </row>
    <row r="16" spans="1:8" ht="16.5" customHeight="1" x14ac:dyDescent="0.2">
      <c r="A16" s="234"/>
      <c r="B16" s="165" t="s">
        <v>83</v>
      </c>
      <c r="C16" s="113">
        <v>0.8773333333333333</v>
      </c>
      <c r="D16" s="235">
        <f>C16</f>
        <v>0.8773333333333333</v>
      </c>
      <c r="E16" s="114"/>
      <c r="G16" s="16"/>
      <c r="H16" s="11"/>
    </row>
    <row r="17" spans="1:8" ht="16.5" customHeight="1" x14ac:dyDescent="0.2">
      <c r="A17" s="234"/>
      <c r="B17" s="239" t="s">
        <v>84</v>
      </c>
      <c r="C17" s="113">
        <v>0.93333333333333324</v>
      </c>
      <c r="D17" s="236">
        <f>C17</f>
        <v>0.93333333333333324</v>
      </c>
      <c r="E17" s="6"/>
      <c r="F17" s="6"/>
      <c r="G17" s="17"/>
      <c r="H17" s="18"/>
    </row>
    <row r="18" spans="1:8" ht="27" customHeight="1" x14ac:dyDescent="0.2">
      <c r="A18" s="237"/>
      <c r="B18" s="227" t="s">
        <v>387</v>
      </c>
      <c r="C18" s="218">
        <v>0.24266666666666667</v>
      </c>
      <c r="D18" s="224">
        <f>C18</f>
        <v>0.24266666666666667</v>
      </c>
      <c r="H18" s="8"/>
    </row>
    <row r="19" spans="1:8" ht="16.5" customHeight="1" x14ac:dyDescent="0.2">
      <c r="A19" s="19"/>
      <c r="B19" s="11"/>
      <c r="C19" s="127" t="s">
        <v>518</v>
      </c>
      <c r="D19" s="8"/>
    </row>
    <row r="20" spans="1:8" ht="16.5" customHeight="1" x14ac:dyDescent="0.2">
      <c r="A20" s="19"/>
      <c r="B20" s="11" t="s">
        <v>389</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521</v>
      </c>
      <c r="C24" s="12"/>
      <c r="D24" s="8"/>
    </row>
    <row r="25" spans="1:8" ht="16.5" customHeight="1" x14ac:dyDescent="0.2">
      <c r="A25" s="19"/>
      <c r="B25" s="389" t="s">
        <v>112</v>
      </c>
      <c r="C25" s="390" t="s">
        <v>32</v>
      </c>
      <c r="D25" s="391"/>
    </row>
    <row r="26" spans="1:8" ht="16.5" customHeight="1" x14ac:dyDescent="0.2">
      <c r="A26" s="19"/>
      <c r="B26" s="331" t="s">
        <v>30</v>
      </c>
      <c r="C26" s="365">
        <f>$D$8*$C$46</f>
        <v>4384.1934268495752</v>
      </c>
      <c r="D26" s="381" t="s">
        <v>113</v>
      </c>
    </row>
    <row r="27" spans="1:8" ht="16.5" customHeight="1" x14ac:dyDescent="0.2">
      <c r="A27" s="19"/>
      <c r="B27" s="331" t="s">
        <v>32</v>
      </c>
      <c r="C27" s="365">
        <v>0</v>
      </c>
      <c r="D27" s="382" t="s">
        <v>114</v>
      </c>
    </row>
    <row r="28" spans="1:8" ht="16.5" customHeight="1" x14ac:dyDescent="0.2">
      <c r="A28" s="19"/>
      <c r="B28" s="331" t="s">
        <v>34</v>
      </c>
      <c r="C28" s="365">
        <f>SUM($D$11:$D$12)*$C$46</f>
        <v>322238.2168734438</v>
      </c>
      <c r="D28" s="381" t="s">
        <v>115</v>
      </c>
    </row>
    <row r="29" spans="1:8" ht="16.5" customHeight="1" x14ac:dyDescent="0.2">
      <c r="A29" s="19"/>
      <c r="B29" s="331" t="s">
        <v>36</v>
      </c>
      <c r="C29" s="365">
        <f>$D$10*$C$46</f>
        <v>4384.1934268495752</v>
      </c>
      <c r="D29" s="381" t="s">
        <v>116</v>
      </c>
    </row>
    <row r="30" spans="1:8" ht="16.5" customHeight="1" x14ac:dyDescent="0.2">
      <c r="A30" s="19"/>
      <c r="B30" s="331" t="s">
        <v>38</v>
      </c>
      <c r="C30" s="365">
        <f>D4*$C$46*C17</f>
        <v>33246.800153609278</v>
      </c>
      <c r="D30" s="382" t="s">
        <v>89</v>
      </c>
    </row>
    <row r="31" spans="1:8" ht="16.5" customHeight="1" x14ac:dyDescent="0.2">
      <c r="A31" s="19"/>
      <c r="B31" s="331" t="s">
        <v>40</v>
      </c>
      <c r="C31" s="365">
        <f>D5*$C$46*C17</f>
        <v>47057.009448185439</v>
      </c>
      <c r="D31" s="382" t="s">
        <v>90</v>
      </c>
    </row>
    <row r="32" spans="1:8" ht="16.5" customHeight="1" x14ac:dyDescent="0.2">
      <c r="A32" s="19"/>
      <c r="B32" s="331" t="s">
        <v>41</v>
      </c>
      <c r="C32" s="365">
        <f>D6*$C$46*C17</f>
        <v>38873.181718066233</v>
      </c>
      <c r="D32" s="382" t="s">
        <v>91</v>
      </c>
    </row>
    <row r="33" spans="1:4" ht="16.5" customHeight="1" x14ac:dyDescent="0.2">
      <c r="A33" s="19"/>
      <c r="B33" s="331" t="s">
        <v>42</v>
      </c>
      <c r="C33" s="365">
        <f>D7*$C$46*C17</f>
        <v>11764.25236204636</v>
      </c>
      <c r="D33" s="382" t="s">
        <v>92</v>
      </c>
    </row>
    <row r="34" spans="1:4" ht="16.5" customHeight="1" x14ac:dyDescent="0.2">
      <c r="A34" s="19"/>
      <c r="B34" s="331" t="s">
        <v>43</v>
      </c>
      <c r="C34" s="365">
        <f>D18*$C$46*C16</f>
        <v>231088.67430712929</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569</v>
      </c>
      <c r="C42" s="350">
        <f>$D$14*$C$46</f>
        <v>33429.474879728012</v>
      </c>
      <c r="D42" s="346" t="s">
        <v>570</v>
      </c>
    </row>
    <row r="43" spans="1:4" ht="16.5" customHeight="1" x14ac:dyDescent="0.2">
      <c r="A43" s="19"/>
      <c r="B43" s="329" t="s">
        <v>57</v>
      </c>
      <c r="C43" s="350">
        <f>$D$15*$C$46</f>
        <v>19180.846242466894</v>
      </c>
      <c r="D43" s="354" t="s">
        <v>571</v>
      </c>
    </row>
    <row r="44" spans="1:4" ht="16.5" customHeight="1" x14ac:dyDescent="0.2">
      <c r="A44" s="19"/>
      <c r="B44" s="384" t="s">
        <v>59</v>
      </c>
      <c r="C44" s="365">
        <f>$D$13*$C$46 + C46*SUM(D4:D7)*(1-C17) + C46*C18*(1-C16)</f>
        <v>339788.36957486771</v>
      </c>
      <c r="D44" s="382" t="s">
        <v>123</v>
      </c>
    </row>
    <row r="45" spans="1:4" ht="16.5" customHeight="1" x14ac:dyDescent="0.2">
      <c r="A45" s="19"/>
      <c r="B45" s="331" t="s">
        <v>61</v>
      </c>
      <c r="C45" s="385">
        <f>SUM($C$26:$C$44)</f>
        <v>1085435.2124132421</v>
      </c>
      <c r="D45" s="382" t="s">
        <v>62</v>
      </c>
    </row>
    <row r="46" spans="1:4" ht="33" customHeight="1" x14ac:dyDescent="0.2">
      <c r="A46" s="19"/>
      <c r="B46" s="331" t="s">
        <v>63</v>
      </c>
      <c r="C46" s="383">
        <f>SUM(Tourists!C26)</f>
        <v>1085435.2124132421</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506</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4.333333333333333</v>
      </c>
      <c r="D54" s="200" t="s">
        <v>405</v>
      </c>
      <c r="E54" s="200">
        <v>0</v>
      </c>
      <c r="F54" s="200">
        <v>100</v>
      </c>
      <c r="G54" s="201">
        <v>0.01</v>
      </c>
      <c r="H54" s="8"/>
    </row>
    <row r="55" spans="1:8" ht="27" customHeight="1" x14ac:dyDescent="0.2">
      <c r="A55" s="19"/>
      <c r="B55" s="198" t="s">
        <v>73</v>
      </c>
      <c r="C55" s="199">
        <f t="shared" si="1"/>
        <v>6.1333333333333337</v>
      </c>
      <c r="D55" s="181" t="s">
        <v>406</v>
      </c>
      <c r="E55" s="181">
        <v>0</v>
      </c>
      <c r="F55" s="181">
        <v>100</v>
      </c>
      <c r="G55" s="202">
        <v>0.01</v>
      </c>
      <c r="H55" s="8"/>
    </row>
    <row r="56" spans="1:8" ht="27" customHeight="1" x14ac:dyDescent="0.2">
      <c r="A56" s="19"/>
      <c r="B56" s="198" t="s">
        <v>74</v>
      </c>
      <c r="C56" s="199">
        <f t="shared" si="1"/>
        <v>5.0666666666666664</v>
      </c>
      <c r="D56" s="200" t="s">
        <v>407</v>
      </c>
      <c r="E56" s="181">
        <v>0</v>
      </c>
      <c r="F56" s="181">
        <v>100</v>
      </c>
      <c r="G56" s="202">
        <v>0.01</v>
      </c>
      <c r="H56" s="8"/>
    </row>
    <row r="57" spans="1:8" ht="27" customHeight="1" x14ac:dyDescent="0.2">
      <c r="A57" s="19"/>
      <c r="B57" s="198" t="s">
        <v>75</v>
      </c>
      <c r="C57" s="199">
        <f t="shared" si="1"/>
        <v>1.5333333333333334</v>
      </c>
      <c r="D57" s="181" t="s">
        <v>408</v>
      </c>
      <c r="E57" s="181">
        <v>0</v>
      </c>
      <c r="F57" s="181">
        <v>100</v>
      </c>
      <c r="G57" s="202">
        <v>0.01</v>
      </c>
      <c r="H57" s="8"/>
    </row>
    <row r="58" spans="1:8" ht="27" customHeight="1" x14ac:dyDescent="0.2">
      <c r="A58" s="19"/>
      <c r="B58" s="198" t="s">
        <v>107</v>
      </c>
      <c r="C58" s="199">
        <f t="shared" si="1"/>
        <v>0.53333333333333333</v>
      </c>
      <c r="D58" s="181" t="s">
        <v>409</v>
      </c>
      <c r="E58" s="181">
        <v>0</v>
      </c>
      <c r="F58" s="181">
        <v>100</v>
      </c>
      <c r="G58" s="203">
        <v>0.01</v>
      </c>
      <c r="H58" s="8"/>
    </row>
    <row r="59" spans="1:8" ht="27" customHeight="1" x14ac:dyDescent="0.2">
      <c r="A59" s="19"/>
      <c r="B59" s="204" t="s">
        <v>496</v>
      </c>
      <c r="C59" s="199">
        <f t="shared" si="1"/>
        <v>0</v>
      </c>
      <c r="D59" s="181" t="s">
        <v>410</v>
      </c>
      <c r="E59" s="181">
        <v>0</v>
      </c>
      <c r="F59" s="181">
        <v>100</v>
      </c>
      <c r="G59" s="181">
        <v>0.01</v>
      </c>
      <c r="H59" s="8"/>
    </row>
    <row r="60" spans="1:8" ht="27" customHeight="1" x14ac:dyDescent="0.2">
      <c r="A60" s="19"/>
      <c r="B60" s="198" t="s">
        <v>108</v>
      </c>
      <c r="C60" s="199">
        <f t="shared" si="1"/>
        <v>0.53333333333333333</v>
      </c>
      <c r="D60" s="181" t="s">
        <v>411</v>
      </c>
      <c r="E60" s="181">
        <v>0</v>
      </c>
      <c r="F60" s="181">
        <v>100</v>
      </c>
      <c r="G60" s="203">
        <v>0.01</v>
      </c>
      <c r="H60" s="8"/>
    </row>
    <row r="61" spans="1:8" ht="27" customHeight="1" x14ac:dyDescent="0.2">
      <c r="A61" s="19"/>
      <c r="B61" s="198" t="s">
        <v>78</v>
      </c>
      <c r="C61" s="199">
        <f t="shared" si="1"/>
        <v>28.466666666666661</v>
      </c>
      <c r="D61" s="181" t="s">
        <v>412</v>
      </c>
      <c r="E61" s="181">
        <v>0</v>
      </c>
      <c r="F61" s="181">
        <v>100</v>
      </c>
      <c r="G61" s="203">
        <v>0.01</v>
      </c>
      <c r="H61" s="8"/>
    </row>
    <row r="62" spans="1:8" ht="27" customHeight="1" x14ac:dyDescent="0.2">
      <c r="A62" s="19"/>
      <c r="B62" s="198" t="s">
        <v>109</v>
      </c>
      <c r="C62" s="199">
        <f t="shared" si="1"/>
        <v>10.733333333333333</v>
      </c>
      <c r="D62" s="181" t="s">
        <v>413</v>
      </c>
      <c r="E62" s="181">
        <v>0</v>
      </c>
      <c r="F62" s="181">
        <v>100</v>
      </c>
      <c r="G62" s="203">
        <v>0.01</v>
      </c>
      <c r="H62" s="8"/>
    </row>
    <row r="63" spans="1:8" ht="27" customHeight="1" x14ac:dyDescent="0.2">
      <c r="A63" s="19"/>
      <c r="B63" s="198" t="s">
        <v>110</v>
      </c>
      <c r="C63" s="199">
        <f t="shared" si="1"/>
        <v>36.266666666666666</v>
      </c>
      <c r="D63" s="181" t="s">
        <v>414</v>
      </c>
      <c r="E63" s="181">
        <v>0</v>
      </c>
      <c r="F63" s="181">
        <v>100</v>
      </c>
      <c r="G63" s="203">
        <v>0.01</v>
      </c>
      <c r="H63" s="8"/>
    </row>
    <row r="64" spans="1:8" ht="27" customHeight="1" x14ac:dyDescent="0.2">
      <c r="A64" s="19"/>
      <c r="B64" s="205" t="s">
        <v>125</v>
      </c>
      <c r="C64" s="199">
        <f t="shared" ref="C64" si="2">C15*100</f>
        <v>2.3333333333333335</v>
      </c>
      <c r="D64" s="181" t="s">
        <v>457</v>
      </c>
      <c r="E64" s="181">
        <v>0</v>
      </c>
      <c r="F64" s="181">
        <v>100</v>
      </c>
      <c r="G64" s="203">
        <v>0.01</v>
      </c>
      <c r="H64" s="8"/>
    </row>
    <row r="65" spans="1:8" ht="27" customHeight="1" x14ac:dyDescent="0.2">
      <c r="A65" s="19"/>
      <c r="B65" s="205" t="s">
        <v>83</v>
      </c>
      <c r="C65" s="199">
        <f t="shared" ref="C65:C66" si="3">D16*100</f>
        <v>87.733333333333334</v>
      </c>
      <c r="D65" s="181" t="s">
        <v>501</v>
      </c>
      <c r="E65" s="181">
        <v>0</v>
      </c>
      <c r="F65" s="181">
        <v>100</v>
      </c>
      <c r="G65" s="203">
        <v>0.01</v>
      </c>
      <c r="H65" s="8"/>
    </row>
    <row r="66" spans="1:8" ht="27" customHeight="1" x14ac:dyDescent="0.2">
      <c r="A66" s="19"/>
      <c r="B66" s="205" t="s">
        <v>84</v>
      </c>
      <c r="C66" s="199">
        <f t="shared" si="3"/>
        <v>93.333333333333329</v>
      </c>
      <c r="D66" s="189" t="s">
        <v>380</v>
      </c>
      <c r="E66" s="189">
        <v>0</v>
      </c>
      <c r="F66" s="189">
        <v>100</v>
      </c>
      <c r="G66" s="206">
        <v>0.01</v>
      </c>
      <c r="H66" s="8"/>
    </row>
    <row r="67" spans="1:8" ht="27" customHeight="1" x14ac:dyDescent="0.2">
      <c r="A67" s="19"/>
      <c r="B67" s="207" t="s">
        <v>387</v>
      </c>
      <c r="C67" s="208">
        <f>C18*100</f>
        <v>24.266666666666666</v>
      </c>
      <c r="D67" s="181" t="s">
        <v>391</v>
      </c>
      <c r="E67" s="189">
        <v>0</v>
      </c>
      <c r="F67" s="189">
        <v>100</v>
      </c>
      <c r="G67" s="206">
        <v>0.01</v>
      </c>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 zoomScale="125" workbookViewId="0">
      <selection activeCell="C11" sqref="C11:C2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5"/>
      <c r="B2" s="1" t="s">
        <v>546</v>
      </c>
    </row>
    <row r="3" spans="1:7" ht="26.25" customHeight="1" x14ac:dyDescent="0.2">
      <c r="A3" s="257"/>
      <c r="B3" s="259" t="s">
        <v>0</v>
      </c>
      <c r="C3" s="260" t="s">
        <v>1</v>
      </c>
      <c r="D3" s="127" t="s">
        <v>518</v>
      </c>
      <c r="E3" s="10"/>
      <c r="F3" s="10"/>
      <c r="G3" s="10"/>
    </row>
    <row r="4" spans="1:7" ht="26.25" customHeight="1" x14ac:dyDescent="0.2">
      <c r="A4" s="257"/>
      <c r="B4" s="259" t="s">
        <v>536</v>
      </c>
      <c r="C4" s="456" t="s">
        <v>588</v>
      </c>
      <c r="D4" s="127" t="s">
        <v>540</v>
      </c>
      <c r="E4" s="10"/>
      <c r="F4" s="10"/>
      <c r="G4" s="10"/>
    </row>
    <row r="5" spans="1:7" ht="26.25" customHeight="1" x14ac:dyDescent="0.2">
      <c r="A5" s="257"/>
      <c r="B5" s="299" t="s">
        <v>224</v>
      </c>
      <c r="C5" s="300">
        <v>351806.76873308094</v>
      </c>
      <c r="E5" s="43"/>
      <c r="F5" s="6"/>
      <c r="G5" s="17"/>
    </row>
    <row r="6" spans="1:7" ht="26.25" customHeight="1" x14ac:dyDescent="0.2">
      <c r="A6" s="297"/>
      <c r="B6" s="301" t="s">
        <v>226</v>
      </c>
      <c r="C6" s="300">
        <v>211964.46021993327</v>
      </c>
      <c r="D6" s="45" t="s">
        <v>542</v>
      </c>
      <c r="E6" s="46"/>
      <c r="F6" s="46"/>
      <c r="G6" s="47"/>
    </row>
    <row r="7" spans="1:7" ht="26.25" customHeight="1" x14ac:dyDescent="0.2">
      <c r="A7" s="297"/>
      <c r="B7" s="301" t="s">
        <v>480</v>
      </c>
      <c r="C7" s="454">
        <v>0.13725082880423262</v>
      </c>
      <c r="D7" s="45" t="s">
        <v>543</v>
      </c>
      <c r="E7" s="148"/>
      <c r="F7" s="148"/>
      <c r="G7" s="148"/>
    </row>
    <row r="8" spans="1:7" ht="26.25" customHeight="1" x14ac:dyDescent="0.2">
      <c r="A8" s="257"/>
      <c r="B8" s="301" t="s">
        <v>227</v>
      </c>
      <c r="C8" s="302">
        <f>C6-C5</f>
        <v>-139842.30851314767</v>
      </c>
      <c r="E8" s="48"/>
      <c r="F8" s="49"/>
      <c r="G8" s="49"/>
    </row>
    <row r="9" spans="1:7" ht="26.25" customHeight="1" x14ac:dyDescent="0.2">
      <c r="A9" s="296" t="s">
        <v>8</v>
      </c>
      <c r="B9" s="298" t="s">
        <v>516</v>
      </c>
      <c r="C9" s="298"/>
    </row>
    <row r="10" spans="1:7" ht="37.5" customHeight="1" x14ac:dyDescent="0.2">
      <c r="A10" s="245"/>
      <c r="B10" s="164" t="s">
        <v>0</v>
      </c>
      <c r="C10" s="168" t="s">
        <v>493</v>
      </c>
      <c r="E10" s="284" t="s">
        <v>520</v>
      </c>
      <c r="F10" s="284"/>
      <c r="G10" s="10"/>
    </row>
    <row r="11" spans="1:7" ht="34.5" customHeight="1" x14ac:dyDescent="0.2">
      <c r="A11" s="487" t="s">
        <v>519</v>
      </c>
      <c r="B11" s="171" t="s">
        <v>71</v>
      </c>
      <c r="C11" s="303">
        <v>0</v>
      </c>
      <c r="D11" s="11"/>
      <c r="E11" s="285"/>
      <c r="F11" s="287"/>
    </row>
    <row r="12" spans="1:7" ht="34.5" customHeight="1" x14ac:dyDescent="0.2">
      <c r="A12" s="488"/>
      <c r="B12" s="171" t="s">
        <v>565</v>
      </c>
      <c r="C12" s="303">
        <v>0.1690168676613017</v>
      </c>
      <c r="D12" s="11"/>
      <c r="E12" s="285"/>
      <c r="F12" s="287"/>
    </row>
    <row r="13" spans="1:7" ht="30.75" customHeight="1" x14ac:dyDescent="0.2">
      <c r="A13" s="488"/>
      <c r="B13" s="171" t="s">
        <v>74</v>
      </c>
      <c r="C13" s="303">
        <v>0</v>
      </c>
      <c r="E13" s="285"/>
      <c r="F13" s="287"/>
    </row>
    <row r="14" spans="1:7" ht="30.75" customHeight="1" x14ac:dyDescent="0.2">
      <c r="A14" s="488"/>
      <c r="B14" s="171" t="s">
        <v>568</v>
      </c>
      <c r="C14" s="303">
        <v>0.12869882780139552</v>
      </c>
      <c r="E14" s="285"/>
      <c r="F14" s="287"/>
    </row>
    <row r="15" spans="1:7" ht="30.75" customHeight="1" x14ac:dyDescent="0.2">
      <c r="A15" s="488"/>
      <c r="B15" s="171" t="s">
        <v>208</v>
      </c>
      <c r="C15" s="303">
        <v>0</v>
      </c>
      <c r="E15" s="285"/>
      <c r="F15" s="287"/>
    </row>
    <row r="16" spans="1:7" ht="27" customHeight="1" x14ac:dyDescent="0.2">
      <c r="A16" s="488"/>
      <c r="B16" s="171" t="s">
        <v>163</v>
      </c>
      <c r="C16" s="303">
        <v>0</v>
      </c>
      <c r="D16" s="11"/>
      <c r="E16" s="285"/>
      <c r="F16" s="287"/>
    </row>
    <row r="17" spans="1:8" ht="26.25" customHeight="1" x14ac:dyDescent="0.2">
      <c r="A17" s="488"/>
      <c r="B17" s="171" t="s">
        <v>209</v>
      </c>
      <c r="C17" s="303">
        <v>0</v>
      </c>
      <c r="D17" s="11"/>
      <c r="E17" s="285"/>
      <c r="F17" s="287"/>
    </row>
    <row r="18" spans="1:8" ht="26.25" customHeight="1" x14ac:dyDescent="0.2">
      <c r="A18" s="488"/>
      <c r="B18" s="171" t="s">
        <v>164</v>
      </c>
      <c r="C18" s="303">
        <v>0.41414803487757218</v>
      </c>
      <c r="E18" s="285"/>
      <c r="F18" s="287"/>
    </row>
    <row r="19" spans="1:8" ht="33" customHeight="1" x14ac:dyDescent="0.2">
      <c r="A19" s="488"/>
      <c r="B19" s="171" t="s">
        <v>109</v>
      </c>
      <c r="C19" s="303">
        <v>0.23652069995521327</v>
      </c>
      <c r="E19" s="285"/>
      <c r="F19" s="287"/>
    </row>
    <row r="20" spans="1:8" ht="20.25" customHeight="1" x14ac:dyDescent="0.2">
      <c r="A20" s="489"/>
      <c r="B20" s="171" t="s">
        <v>210</v>
      </c>
      <c r="C20" s="303">
        <v>5.1615569704517396E-2</v>
      </c>
      <c r="D20" s="114"/>
      <c r="E20" s="285"/>
      <c r="F20" s="287"/>
    </row>
    <row r="21" spans="1:8" ht="20.25" customHeight="1" x14ac:dyDescent="0.2">
      <c r="A21" s="245"/>
      <c r="B21" s="288" t="s">
        <v>211</v>
      </c>
      <c r="C21" s="304">
        <v>1</v>
      </c>
      <c r="D21" s="45" t="s">
        <v>547</v>
      </c>
      <c r="E21" s="305"/>
      <c r="F21" s="287"/>
    </row>
    <row r="22" spans="1:8" ht="20.25" customHeight="1" x14ac:dyDescent="0.2">
      <c r="C22" s="127" t="s">
        <v>518</v>
      </c>
      <c r="H22" s="50"/>
    </row>
    <row r="23" spans="1:8" ht="26.25" customHeight="1" x14ac:dyDescent="0.2">
      <c r="C23" s="51"/>
      <c r="D23" s="50"/>
    </row>
    <row r="24" spans="1:8" ht="15.75" customHeight="1" x14ac:dyDescent="0.2">
      <c r="B24" s="11"/>
      <c r="D24" s="52"/>
    </row>
    <row r="25" spans="1:8" ht="15.75" customHeight="1" x14ac:dyDescent="0.2">
      <c r="B25" s="156" t="s">
        <v>521</v>
      </c>
      <c r="D25" s="52"/>
    </row>
    <row r="26" spans="1:8" ht="15.75" customHeight="1" x14ac:dyDescent="0.2">
      <c r="B26" s="340" t="s">
        <v>168</v>
      </c>
      <c r="C26" s="341" t="s">
        <v>212</v>
      </c>
      <c r="D26" s="342"/>
    </row>
    <row r="27" spans="1:8" ht="15.75" customHeight="1" x14ac:dyDescent="0.2">
      <c r="B27" s="329" t="s">
        <v>30</v>
      </c>
      <c r="C27" s="424">
        <f>C16*C5</f>
        <v>0</v>
      </c>
      <c r="D27" s="344" t="s">
        <v>320</v>
      </c>
    </row>
    <row r="28" spans="1:8" ht="14.25" customHeight="1" x14ac:dyDescent="0.2">
      <c r="B28" s="331" t="s">
        <v>32</v>
      </c>
      <c r="C28" s="425">
        <v>0</v>
      </c>
      <c r="D28" s="346" t="s">
        <v>321</v>
      </c>
    </row>
    <row r="29" spans="1:8" ht="15.75" customHeight="1" x14ac:dyDescent="0.2">
      <c r="B29" s="329" t="s">
        <v>34</v>
      </c>
      <c r="C29" s="424">
        <f>SUM(C18:C19)*C5</f>
        <v>228909.66511716411</v>
      </c>
      <c r="D29" s="344" t="s">
        <v>322</v>
      </c>
    </row>
    <row r="30" spans="1:8" ht="15.75" customHeight="1" x14ac:dyDescent="0.2">
      <c r="B30" s="329" t="s">
        <v>36</v>
      </c>
      <c r="C30" s="424">
        <f>C17*C5</f>
        <v>0</v>
      </c>
      <c r="D30" s="344" t="s">
        <v>323</v>
      </c>
    </row>
    <row r="31" spans="1:8" ht="15.75" customHeight="1" x14ac:dyDescent="0.2">
      <c r="B31" s="331" t="s">
        <v>38</v>
      </c>
      <c r="C31" s="424">
        <f>C11*C5*C21</f>
        <v>0</v>
      </c>
      <c r="D31" s="348" t="s">
        <v>89</v>
      </c>
    </row>
    <row r="32" spans="1:8" ht="15.75" customHeight="1" x14ac:dyDescent="0.2">
      <c r="B32" s="331" t="s">
        <v>40</v>
      </c>
      <c r="C32" s="424">
        <f>C12*C5*C21</f>
        <v>59461.27807330931</v>
      </c>
      <c r="D32" s="348" t="s">
        <v>90</v>
      </c>
    </row>
    <row r="33" spans="2:6" ht="15.75" customHeight="1" x14ac:dyDescent="0.2">
      <c r="B33" s="331" t="s">
        <v>41</v>
      </c>
      <c r="C33" s="424">
        <f>C13*C5*C21</f>
        <v>0</v>
      </c>
      <c r="D33" s="348" t="s">
        <v>91</v>
      </c>
    </row>
    <row r="34" spans="2:6" ht="15.75" customHeight="1" x14ac:dyDescent="0.2">
      <c r="B34" s="331" t="s">
        <v>42</v>
      </c>
      <c r="C34" s="424">
        <f>C14*C5*C21</f>
        <v>45277.118748544162</v>
      </c>
      <c r="D34" s="348" t="s">
        <v>92</v>
      </c>
    </row>
    <row r="35" spans="2:6" ht="15.75" customHeight="1" x14ac:dyDescent="0.2">
      <c r="B35" s="329" t="s">
        <v>43</v>
      </c>
      <c r="C35" s="424">
        <f>C15*C5</f>
        <v>0</v>
      </c>
      <c r="D35" s="348" t="s">
        <v>93</v>
      </c>
    </row>
    <row r="36" spans="2:6" ht="15.75" customHeight="1" x14ac:dyDescent="0.2">
      <c r="B36" s="329" t="s">
        <v>45</v>
      </c>
      <c r="C36" s="426">
        <v>0</v>
      </c>
      <c r="D36" s="348" t="s">
        <v>324</v>
      </c>
    </row>
    <row r="37" spans="2:6" ht="15.75" customHeight="1" x14ac:dyDescent="0.2">
      <c r="B37" s="329" t="s">
        <v>47</v>
      </c>
      <c r="C37" s="426">
        <v>0</v>
      </c>
      <c r="D37" s="348" t="s">
        <v>324</v>
      </c>
    </row>
    <row r="38" spans="2:6" ht="15.75" customHeight="1" x14ac:dyDescent="0.2">
      <c r="B38" s="329" t="s">
        <v>48</v>
      </c>
      <c r="C38" s="424">
        <v>0</v>
      </c>
      <c r="D38" s="348" t="s">
        <v>325</v>
      </c>
    </row>
    <row r="39" spans="2:6" ht="15.75" customHeight="1" x14ac:dyDescent="0.2">
      <c r="B39" s="329" t="s">
        <v>50</v>
      </c>
      <c r="C39" s="424">
        <v>0</v>
      </c>
      <c r="D39" s="348" t="s">
        <v>326</v>
      </c>
    </row>
    <row r="40" spans="2:6" ht="15.75" customHeight="1" x14ac:dyDescent="0.2">
      <c r="B40" s="329" t="s">
        <v>52</v>
      </c>
      <c r="C40" s="424">
        <v>0</v>
      </c>
      <c r="D40" s="348" t="s">
        <v>327</v>
      </c>
    </row>
    <row r="41" spans="2:6" ht="15.75" customHeight="1" x14ac:dyDescent="0.2">
      <c r="B41" s="329" t="s">
        <v>54</v>
      </c>
      <c r="C41" s="424">
        <v>0</v>
      </c>
      <c r="D41" s="348" t="s">
        <v>325</v>
      </c>
    </row>
    <row r="42" spans="2:6" ht="15.75" customHeight="1" x14ac:dyDescent="0.2">
      <c r="B42" s="329" t="s">
        <v>328</v>
      </c>
      <c r="C42" s="424">
        <f>C7*C6</f>
        <v>29092.297842227636</v>
      </c>
      <c r="D42" s="351" t="s">
        <v>544</v>
      </c>
    </row>
    <row r="43" spans="2:6" ht="15.75" customHeight="1" x14ac:dyDescent="0.2">
      <c r="B43" s="329" t="s">
        <v>57</v>
      </c>
      <c r="C43" s="424">
        <f>IF(C8-C42&gt;0,C8-C42,0)</f>
        <v>0</v>
      </c>
      <c r="D43" s="351" t="s">
        <v>329</v>
      </c>
    </row>
    <row r="44" spans="2:6" ht="15.75" customHeight="1" x14ac:dyDescent="0.2">
      <c r="B44" s="333" t="s">
        <v>59</v>
      </c>
      <c r="C44" s="424">
        <f>C20*C5 + C5*SUM(C11:C14)*(1-C21)</f>
        <v>18158.706794063371</v>
      </c>
      <c r="D44" s="352" t="s">
        <v>178</v>
      </c>
    </row>
    <row r="45" spans="2:6" ht="15.75" customHeight="1" x14ac:dyDescent="0.2">
      <c r="B45" s="329" t="s">
        <v>61</v>
      </c>
      <c r="C45" s="424">
        <f>SUM(C27:C44)</f>
        <v>380899.06657530862</v>
      </c>
      <c r="D45" s="351" t="s">
        <v>179</v>
      </c>
      <c r="F45" s="100">
        <f>C45-C5</f>
        <v>29092.297842227679</v>
      </c>
    </row>
    <row r="46" spans="2:6" ht="15.75" customHeight="1" x14ac:dyDescent="0.2">
      <c r="B46" s="329" t="s">
        <v>63</v>
      </c>
      <c r="C46" s="424">
        <f>C6</f>
        <v>211964.46021993327</v>
      </c>
      <c r="D46" s="351" t="s">
        <v>180</v>
      </c>
    </row>
    <row r="47" spans="2:6" ht="15.75" customHeight="1" x14ac:dyDescent="0.2">
      <c r="B47" s="329" t="s">
        <v>222</v>
      </c>
      <c r="C47" s="426">
        <f>MAX(0,(C45-C46))</f>
        <v>168934.60635537535</v>
      </c>
      <c r="D47" s="342"/>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7" t="str">
        <f>C4</f>
        <v>Nosy Tanikley</v>
      </c>
      <c r="C55" s="316">
        <v>999998</v>
      </c>
      <c r="D55" s="186" t="s">
        <v>537</v>
      </c>
      <c r="E55" s="42" t="s">
        <v>538</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211964.46021993327</v>
      </c>
      <c r="D59" s="185" t="s">
        <v>479</v>
      </c>
      <c r="E59" s="317">
        <v>0</v>
      </c>
      <c r="F59" s="185">
        <v>100000000</v>
      </c>
      <c r="G59" s="186">
        <v>1</v>
      </c>
    </row>
    <row r="60" spans="2:8" ht="15.75" customHeight="1" x14ac:dyDescent="0.2">
      <c r="B60" s="315" t="s">
        <v>224</v>
      </c>
      <c r="C60" s="316">
        <f>C5</f>
        <v>351806.76873308094</v>
      </c>
      <c r="D60" s="185" t="s">
        <v>225</v>
      </c>
      <c r="E60" s="317">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0</v>
      </c>
      <c r="D64" s="181" t="s">
        <v>366</v>
      </c>
      <c r="E64" s="181">
        <v>0</v>
      </c>
      <c r="F64" s="181">
        <v>10000000</v>
      </c>
      <c r="G64" s="181">
        <v>1</v>
      </c>
      <c r="H64" s="11"/>
    </row>
    <row r="65" spans="2:8" ht="26.25" customHeight="1" x14ac:dyDescent="0.2">
      <c r="B65" s="198" t="s">
        <v>73</v>
      </c>
      <c r="C65" s="318">
        <f t="shared" si="0"/>
        <v>16.901686766130169</v>
      </c>
      <c r="D65" s="181" t="s">
        <v>367</v>
      </c>
      <c r="E65" s="181">
        <v>0</v>
      </c>
      <c r="F65" s="181">
        <v>10000000</v>
      </c>
      <c r="G65" s="181">
        <v>1</v>
      </c>
      <c r="H65" s="11"/>
    </row>
    <row r="66" spans="2:8" ht="26.25" customHeight="1" x14ac:dyDescent="0.2">
      <c r="B66" s="198" t="s">
        <v>74</v>
      </c>
      <c r="C66" s="318">
        <f t="shared" si="0"/>
        <v>0</v>
      </c>
      <c r="D66" s="181" t="s">
        <v>368</v>
      </c>
      <c r="E66" s="181">
        <v>0</v>
      </c>
      <c r="F66" s="181">
        <v>10000000</v>
      </c>
      <c r="G66" s="181">
        <v>1</v>
      </c>
      <c r="H66" s="11"/>
    </row>
    <row r="67" spans="2:8" ht="26.25" customHeight="1" x14ac:dyDescent="0.2">
      <c r="B67" s="198" t="s">
        <v>75</v>
      </c>
      <c r="C67" s="318">
        <f t="shared" si="0"/>
        <v>12.869882780139552</v>
      </c>
      <c r="D67" s="181" t="s">
        <v>369</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496</v>
      </c>
      <c r="C70" s="319">
        <v>0</v>
      </c>
      <c r="D70" s="181" t="s">
        <v>370</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41.414803487757219</v>
      </c>
      <c r="D72" s="181" t="s">
        <v>231</v>
      </c>
      <c r="E72" s="181">
        <v>0</v>
      </c>
      <c r="F72" s="181">
        <v>10000000</v>
      </c>
      <c r="G72" s="181">
        <v>1</v>
      </c>
    </row>
    <row r="73" spans="2:8" ht="26.25" customHeight="1" x14ac:dyDescent="0.2">
      <c r="B73" s="313" t="s">
        <v>109</v>
      </c>
      <c r="C73" s="318">
        <f>C19*100</f>
        <v>23.652069995521327</v>
      </c>
      <c r="D73" s="181" t="s">
        <v>232</v>
      </c>
      <c r="E73" s="181">
        <v>0</v>
      </c>
      <c r="F73" s="181">
        <v>10000000</v>
      </c>
      <c r="G73" s="181">
        <v>1</v>
      </c>
    </row>
    <row r="74" spans="2:8" ht="26.25" customHeight="1" x14ac:dyDescent="0.2">
      <c r="B74" s="313" t="s">
        <v>527</v>
      </c>
      <c r="C74" s="320">
        <f>C42</f>
        <v>29092.297842227636</v>
      </c>
      <c r="D74" s="181" t="s">
        <v>379</v>
      </c>
      <c r="E74" s="181">
        <v>0</v>
      </c>
      <c r="F74" s="181">
        <v>10000000</v>
      </c>
      <c r="G74" s="181">
        <v>1</v>
      </c>
      <c r="H74" s="45"/>
    </row>
    <row r="75" spans="2:8" ht="26.25" customHeight="1" x14ac:dyDescent="0.2">
      <c r="B75" s="313" t="s">
        <v>210</v>
      </c>
      <c r="C75" s="318">
        <f>C20*100</f>
        <v>5.1615569704517394</v>
      </c>
      <c r="D75" s="181" t="s">
        <v>233</v>
      </c>
      <c r="E75" s="181">
        <v>0</v>
      </c>
      <c r="F75" s="181">
        <v>10000000</v>
      </c>
      <c r="G75" s="181">
        <v>1</v>
      </c>
    </row>
    <row r="76" spans="2:8" ht="26.25" customHeight="1" x14ac:dyDescent="0.2">
      <c r="B76" s="321" t="s">
        <v>382</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1" zoomScale="122" workbookViewId="0">
      <selection activeCell="C19" sqref="C19"/>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29092.297842227636</v>
      </c>
      <c r="D4" s="127" t="s">
        <v>515</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516</v>
      </c>
      <c r="C7" s="294" t="s">
        <v>517</v>
      </c>
    </row>
    <row r="8" spans="1:7" ht="37.5" customHeight="1" x14ac:dyDescent="0.2">
      <c r="A8" s="245"/>
      <c r="B8" s="164" t="s">
        <v>0</v>
      </c>
      <c r="C8" s="168" t="s">
        <v>1</v>
      </c>
      <c r="D8" s="163"/>
      <c r="E8" s="10"/>
      <c r="F8" s="284" t="s">
        <v>512</v>
      </c>
      <c r="G8" s="284"/>
    </row>
    <row r="9" spans="1:7" ht="34.5" customHeight="1" x14ac:dyDescent="0.2">
      <c r="A9" s="487" t="s">
        <v>513</v>
      </c>
      <c r="B9" s="171" t="s">
        <v>483</v>
      </c>
      <c r="C9" s="211">
        <v>0.01</v>
      </c>
      <c r="D9" s="11"/>
      <c r="F9" s="285">
        <v>62254.150565008706</v>
      </c>
      <c r="G9" s="286">
        <f>F9/SUM($F$9:$F$17)</f>
        <v>7.3913043478260859E-2</v>
      </c>
    </row>
    <row r="10" spans="1:7" ht="34.5" customHeight="1" x14ac:dyDescent="0.2">
      <c r="A10" s="488"/>
      <c r="B10" s="171" t="s">
        <v>484</v>
      </c>
      <c r="C10" s="211">
        <v>0.01</v>
      </c>
      <c r="D10" s="490"/>
      <c r="F10" s="285">
        <v>29296.070854121743</v>
      </c>
      <c r="G10" s="286">
        <f t="shared" ref="G10:G18" si="0">F10/SUM($F$9:$F$17)</f>
        <v>3.4782608695652167E-2</v>
      </c>
    </row>
    <row r="11" spans="1:7" ht="30.75" customHeight="1" x14ac:dyDescent="0.2">
      <c r="A11" s="488"/>
      <c r="B11" s="171" t="s">
        <v>485</v>
      </c>
      <c r="C11" s="211">
        <v>0.01</v>
      </c>
      <c r="D11" s="491"/>
      <c r="F11" s="285">
        <v>274650.66425739136</v>
      </c>
      <c r="G11" s="286">
        <f t="shared" si="0"/>
        <v>0.32608695652173914</v>
      </c>
    </row>
    <row r="12" spans="1:7" ht="30.75" customHeight="1" x14ac:dyDescent="0.2">
      <c r="A12" s="488"/>
      <c r="B12" s="171" t="s">
        <v>486</v>
      </c>
      <c r="C12" s="211">
        <v>0.01</v>
      </c>
      <c r="D12" s="491"/>
      <c r="F12" s="285">
        <v>0</v>
      </c>
      <c r="G12" s="286">
        <f t="shared" si="0"/>
        <v>0</v>
      </c>
    </row>
    <row r="13" spans="1:7" ht="30.75" customHeight="1" x14ac:dyDescent="0.2">
      <c r="A13" s="488"/>
      <c r="B13" s="171" t="s">
        <v>487</v>
      </c>
      <c r="C13" s="211">
        <v>0</v>
      </c>
      <c r="D13" s="491"/>
      <c r="F13" s="285">
        <v>0</v>
      </c>
      <c r="G13" s="286">
        <f t="shared" si="0"/>
        <v>0</v>
      </c>
    </row>
    <row r="14" spans="1:7" ht="27" customHeight="1" x14ac:dyDescent="0.2">
      <c r="A14" s="488"/>
      <c r="B14" s="171" t="s">
        <v>488</v>
      </c>
      <c r="C14" s="211">
        <v>0</v>
      </c>
      <c r="D14" s="11"/>
      <c r="F14" s="285">
        <v>91550.221419130437</v>
      </c>
      <c r="G14" s="286">
        <f t="shared" si="0"/>
        <v>0.10869565217391303</v>
      </c>
    </row>
    <row r="15" spans="1:7" ht="26.25" customHeight="1" x14ac:dyDescent="0.2">
      <c r="A15" s="488"/>
      <c r="B15" s="171" t="s">
        <v>489</v>
      </c>
      <c r="C15" s="211">
        <v>0</v>
      </c>
      <c r="D15" s="490"/>
      <c r="F15" s="285">
        <v>0</v>
      </c>
      <c r="G15" s="286">
        <f t="shared" si="0"/>
        <v>0</v>
      </c>
    </row>
    <row r="16" spans="1:7" ht="26.25" customHeight="1" x14ac:dyDescent="0.2">
      <c r="A16" s="488"/>
      <c r="B16" s="171" t="s">
        <v>490</v>
      </c>
      <c r="C16" s="211">
        <v>0.27</v>
      </c>
      <c r="D16" s="491"/>
      <c r="F16" s="285">
        <v>36620.088567652172</v>
      </c>
      <c r="G16" s="286">
        <f t="shared" si="0"/>
        <v>4.3478260869565202E-2</v>
      </c>
    </row>
    <row r="17" spans="1:8" ht="33" customHeight="1" x14ac:dyDescent="0.2">
      <c r="A17" s="488"/>
      <c r="B17" s="171" t="s">
        <v>491</v>
      </c>
      <c r="C17" s="211">
        <v>0.08</v>
      </c>
      <c r="D17" s="491"/>
      <c r="F17" s="285">
        <v>347890.84139269573</v>
      </c>
      <c r="G17" s="286">
        <f t="shared" si="0"/>
        <v>0.41304347826086957</v>
      </c>
    </row>
    <row r="18" spans="1:8" ht="20.25" customHeight="1" x14ac:dyDescent="0.2">
      <c r="A18" s="489"/>
      <c r="B18" s="171" t="s">
        <v>492</v>
      </c>
      <c r="C18" s="211">
        <v>0.61</v>
      </c>
      <c r="D18" s="491"/>
      <c r="F18" s="285">
        <v>0</v>
      </c>
      <c r="G18" s="286">
        <f t="shared" si="0"/>
        <v>0</v>
      </c>
    </row>
    <row r="19" spans="1:8" ht="20.25" customHeight="1" x14ac:dyDescent="0.2">
      <c r="A19" s="245"/>
      <c r="B19" s="288" t="s">
        <v>211</v>
      </c>
      <c r="C19" s="289">
        <v>1</v>
      </c>
      <c r="D19" s="45"/>
    </row>
    <row r="20" spans="1:8" ht="20.25" customHeight="1" x14ac:dyDescent="0.2">
      <c r="C20" s="127" t="s">
        <v>518</v>
      </c>
      <c r="H20" s="50"/>
    </row>
    <row r="21" spans="1:8" ht="26.25" customHeight="1" x14ac:dyDescent="0.2">
      <c r="B21" s="293" t="s">
        <v>514</v>
      </c>
      <c r="C21" s="290">
        <f>SUM(C9:C18)</f>
        <v>1</v>
      </c>
      <c r="D21" s="50"/>
    </row>
    <row r="22" spans="1:8" ht="15.75" customHeight="1" x14ac:dyDescent="0.2">
      <c r="B22" s="11"/>
      <c r="D22" s="52"/>
    </row>
    <row r="23" spans="1:8" ht="15.75" customHeight="1" x14ac:dyDescent="0.2">
      <c r="B23" s="156" t="s">
        <v>521</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10182.304244779674</v>
      </c>
      <c r="D27" s="344" t="s">
        <v>215</v>
      </c>
    </row>
    <row r="28" spans="1:8" ht="15.75" customHeight="1" x14ac:dyDescent="0.2">
      <c r="B28" s="329" t="s">
        <v>36</v>
      </c>
      <c r="C28" s="343">
        <f>C15*C4</f>
        <v>0</v>
      </c>
      <c r="D28" s="344" t="s">
        <v>216</v>
      </c>
    </row>
    <row r="29" spans="1:8" ht="15.75" customHeight="1" x14ac:dyDescent="0.2">
      <c r="B29" s="331" t="s">
        <v>38</v>
      </c>
      <c r="C29" s="347">
        <f>C9*C4</f>
        <v>290.92297842227634</v>
      </c>
      <c r="D29" s="348" t="s">
        <v>89</v>
      </c>
    </row>
    <row r="30" spans="1:8" ht="15.75" customHeight="1" x14ac:dyDescent="0.2">
      <c r="B30" s="331" t="s">
        <v>40</v>
      </c>
      <c r="C30" s="347">
        <f>C10*C4</f>
        <v>290.92297842227634</v>
      </c>
      <c r="D30" s="348" t="s">
        <v>90</v>
      </c>
    </row>
    <row r="31" spans="1:8" ht="15.75" customHeight="1" x14ac:dyDescent="0.2">
      <c r="B31" s="331" t="s">
        <v>41</v>
      </c>
      <c r="C31" s="347">
        <f>C11*C4</f>
        <v>290.92297842227634</v>
      </c>
      <c r="D31" s="348" t="s">
        <v>91</v>
      </c>
    </row>
    <row r="32" spans="1:8" ht="15.75" customHeight="1" x14ac:dyDescent="0.2">
      <c r="B32" s="331" t="s">
        <v>42</v>
      </c>
      <c r="C32" s="347">
        <f>C12*C4</f>
        <v>290.92297842227634</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0.61</v>
      </c>
      <c r="D42" s="352" t="s">
        <v>178</v>
      </c>
    </row>
    <row r="43" spans="2:5" ht="15.75" customHeight="1" x14ac:dyDescent="0.2">
      <c r="B43" s="329" t="s">
        <v>61</v>
      </c>
      <c r="C43" s="343">
        <f>SUM(C25:C42)</f>
        <v>11346.606158468783</v>
      </c>
      <c r="D43" s="351" t="s">
        <v>179</v>
      </c>
      <c r="E43" s="53">
        <f>C4-C45</f>
        <v>17745.691683758851</v>
      </c>
    </row>
    <row r="44" spans="2:5" ht="15.75" customHeight="1" x14ac:dyDescent="0.2">
      <c r="B44" s="329" t="s">
        <v>63</v>
      </c>
      <c r="C44" s="343">
        <f>C5</f>
        <v>0</v>
      </c>
      <c r="D44" s="351" t="s">
        <v>383</v>
      </c>
    </row>
    <row r="45" spans="2:5" ht="15.75" customHeight="1" x14ac:dyDescent="0.2">
      <c r="B45" s="329" t="s">
        <v>222</v>
      </c>
      <c r="C45" s="349">
        <f>-1*(C44-C43)</f>
        <v>11346.606158468783</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506</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1</v>
      </c>
      <c r="D59" s="181" t="s">
        <v>351</v>
      </c>
      <c r="E59" s="181">
        <v>0</v>
      </c>
      <c r="F59" s="181">
        <v>100</v>
      </c>
      <c r="G59" s="181">
        <v>1</v>
      </c>
      <c r="H59" s="11"/>
    </row>
    <row r="60" spans="2:8" ht="26.25" customHeight="1" x14ac:dyDescent="0.2">
      <c r="B60" s="198" t="s">
        <v>73</v>
      </c>
      <c r="C60" s="310">
        <f t="shared" si="1"/>
        <v>1</v>
      </c>
      <c r="D60" s="181" t="s">
        <v>352</v>
      </c>
      <c r="E60" s="181">
        <v>0</v>
      </c>
      <c r="F60" s="181">
        <v>100</v>
      </c>
      <c r="G60" s="181">
        <v>1</v>
      </c>
      <c r="H60" s="490"/>
    </row>
    <row r="61" spans="2:8" ht="26.25" customHeight="1" x14ac:dyDescent="0.2">
      <c r="B61" s="198" t="s">
        <v>74</v>
      </c>
      <c r="C61" s="310">
        <f t="shared" si="1"/>
        <v>1</v>
      </c>
      <c r="D61" s="181" t="s">
        <v>353</v>
      </c>
      <c r="E61" s="181">
        <v>0</v>
      </c>
      <c r="F61" s="181">
        <v>100</v>
      </c>
      <c r="G61" s="181">
        <v>1</v>
      </c>
      <c r="H61" s="490"/>
    </row>
    <row r="62" spans="2:8" ht="26.25" customHeight="1" x14ac:dyDescent="0.2">
      <c r="B62" s="198" t="s">
        <v>75</v>
      </c>
      <c r="C62" s="310">
        <f t="shared" si="1"/>
        <v>1</v>
      </c>
      <c r="D62" s="181" t="s">
        <v>354</v>
      </c>
      <c r="E62" s="181">
        <v>0</v>
      </c>
      <c r="F62" s="181">
        <v>100</v>
      </c>
      <c r="G62" s="181">
        <v>1</v>
      </c>
      <c r="H62" s="490"/>
    </row>
    <row r="63" spans="2:8" ht="26.25" customHeight="1" x14ac:dyDescent="0.2">
      <c r="B63" s="313" t="s">
        <v>208</v>
      </c>
      <c r="C63" s="310">
        <f t="shared" si="1"/>
        <v>0</v>
      </c>
      <c r="D63" s="181" t="s">
        <v>381</v>
      </c>
      <c r="E63" s="181">
        <v>0</v>
      </c>
      <c r="F63" s="181">
        <v>100</v>
      </c>
      <c r="G63" s="181">
        <v>1</v>
      </c>
      <c r="H63" s="491"/>
    </row>
    <row r="64" spans="2:8" ht="26.25" customHeight="1" x14ac:dyDescent="0.2">
      <c r="B64" s="314" t="s">
        <v>356</v>
      </c>
      <c r="C64" s="310">
        <f t="shared" si="1"/>
        <v>0</v>
      </c>
      <c r="D64" s="181" t="s">
        <v>361</v>
      </c>
      <c r="E64" s="181">
        <v>0</v>
      </c>
      <c r="F64" s="181">
        <v>100</v>
      </c>
      <c r="G64" s="181">
        <v>1</v>
      </c>
      <c r="H64" s="11"/>
    </row>
    <row r="65" spans="2:8" ht="26.25" customHeight="1" x14ac:dyDescent="0.2">
      <c r="B65" s="198" t="s">
        <v>496</v>
      </c>
      <c r="C65" s="310">
        <v>0</v>
      </c>
      <c r="D65" s="181" t="s">
        <v>355</v>
      </c>
      <c r="E65" s="181">
        <v>0</v>
      </c>
      <c r="F65" s="181">
        <v>100</v>
      </c>
      <c r="G65" s="181">
        <v>1</v>
      </c>
      <c r="H65" s="11"/>
    </row>
    <row r="66" spans="2:8" ht="26.25" customHeight="1" x14ac:dyDescent="0.2">
      <c r="B66" s="198" t="s">
        <v>357</v>
      </c>
      <c r="C66" s="310">
        <f>C15*100</f>
        <v>0</v>
      </c>
      <c r="D66" s="181" t="s">
        <v>362</v>
      </c>
      <c r="E66" s="181">
        <v>0</v>
      </c>
      <c r="F66" s="181">
        <v>100</v>
      </c>
      <c r="G66" s="181">
        <v>1</v>
      </c>
      <c r="H66" s="11"/>
    </row>
    <row r="67" spans="2:8" ht="26.25" customHeight="1" x14ac:dyDescent="0.2">
      <c r="B67" s="198" t="s">
        <v>358</v>
      </c>
      <c r="C67" s="310">
        <f t="shared" ref="C67:C69" si="2">C16*100</f>
        <v>27</v>
      </c>
      <c r="D67" s="181" t="s">
        <v>363</v>
      </c>
      <c r="E67" s="181">
        <v>0</v>
      </c>
      <c r="F67" s="181">
        <v>100</v>
      </c>
      <c r="G67" s="181">
        <v>1</v>
      </c>
      <c r="H67" s="37"/>
    </row>
    <row r="68" spans="2:8" ht="26.25" customHeight="1" x14ac:dyDescent="0.2">
      <c r="B68" s="198" t="s">
        <v>359</v>
      </c>
      <c r="C68" s="310">
        <f t="shared" si="2"/>
        <v>8</v>
      </c>
      <c r="D68" s="181" t="s">
        <v>364</v>
      </c>
      <c r="E68" s="181">
        <v>0</v>
      </c>
      <c r="F68" s="181">
        <v>100</v>
      </c>
      <c r="G68" s="181">
        <v>1</v>
      </c>
    </row>
    <row r="69" spans="2:8" ht="26.25" customHeight="1" x14ac:dyDescent="0.2">
      <c r="B69" s="198" t="s">
        <v>360</v>
      </c>
      <c r="C69" s="310">
        <f t="shared" si="2"/>
        <v>61</v>
      </c>
      <c r="D69" s="181" t="s">
        <v>365</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ignoredErrors>
    <ignoredError sqref="C21 C27"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85" zoomScaleNormal="65" workbookViewId="0">
      <selection activeCell="C4" sqref="C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560</v>
      </c>
    </row>
    <row r="2" spans="1:7" ht="26.25" customHeight="1" x14ac:dyDescent="0.2">
      <c r="A2" s="295"/>
      <c r="B2" s="1" t="s">
        <v>561</v>
      </c>
    </row>
    <row r="3" spans="1:7" ht="26.25" customHeight="1" x14ac:dyDescent="0.2">
      <c r="A3" s="257"/>
      <c r="B3" s="259" t="s">
        <v>0</v>
      </c>
      <c r="C3" s="260" t="s">
        <v>1</v>
      </c>
      <c r="D3" s="127" t="s">
        <v>518</v>
      </c>
      <c r="E3" s="10"/>
      <c r="F3" s="10"/>
      <c r="G3" s="10"/>
    </row>
    <row r="4" spans="1:7" ht="26.25" customHeight="1" x14ac:dyDescent="0.2">
      <c r="A4" s="257"/>
      <c r="B4" s="299" t="s">
        <v>562</v>
      </c>
      <c r="C4" s="300">
        <v>1350966.6231592661</v>
      </c>
      <c r="E4" s="43"/>
      <c r="F4" s="6"/>
      <c r="G4" s="17"/>
    </row>
    <row r="5" spans="1:7" ht="26.25" customHeight="1" x14ac:dyDescent="0.2">
      <c r="A5" s="297"/>
      <c r="B5" s="301" t="s">
        <v>563</v>
      </c>
      <c r="C5" s="300">
        <v>1149403.4239051074</v>
      </c>
      <c r="D5" s="45"/>
      <c r="E5" s="46"/>
      <c r="F5" s="46"/>
      <c r="G5" s="47"/>
    </row>
    <row r="6" spans="1:7" ht="26.25" customHeight="1" x14ac:dyDescent="0.2">
      <c r="A6" s="257"/>
      <c r="B6" s="301" t="s">
        <v>564</v>
      </c>
      <c r="C6" s="302">
        <f>C5-C4</f>
        <v>-201563.19925415865</v>
      </c>
      <c r="E6" s="48"/>
      <c r="F6" s="49"/>
      <c r="G6" s="49"/>
    </row>
    <row r="7" spans="1:7" ht="26.25" customHeight="1" x14ac:dyDescent="0.2">
      <c r="A7" s="296" t="s">
        <v>8</v>
      </c>
      <c r="B7" s="298" t="s">
        <v>516</v>
      </c>
      <c r="C7" s="298"/>
    </row>
    <row r="8" spans="1:7" ht="37.5" customHeight="1" x14ac:dyDescent="0.2">
      <c r="A8" s="245"/>
      <c r="B8" s="164" t="s">
        <v>0</v>
      </c>
      <c r="C8" s="168" t="s">
        <v>493</v>
      </c>
      <c r="E8" s="284" t="s">
        <v>520</v>
      </c>
      <c r="F8" s="284"/>
      <c r="G8" s="10"/>
    </row>
    <row r="9" spans="1:7" ht="34.5" customHeight="1" x14ac:dyDescent="0.2">
      <c r="A9" s="487" t="s">
        <v>519</v>
      </c>
      <c r="B9" s="171" t="s">
        <v>566</v>
      </c>
      <c r="C9" s="303">
        <v>0.02</v>
      </c>
      <c r="D9" s="11"/>
      <c r="E9" s="285"/>
      <c r="F9" s="287"/>
    </row>
    <row r="10" spans="1:7" ht="34.5" customHeight="1" x14ac:dyDescent="0.2">
      <c r="A10" s="488"/>
      <c r="B10" s="171" t="s">
        <v>565</v>
      </c>
      <c r="C10" s="303">
        <v>0.11</v>
      </c>
      <c r="D10" s="11"/>
      <c r="E10" s="285"/>
      <c r="F10" s="287"/>
    </row>
    <row r="11" spans="1:7" ht="30.75" customHeight="1" x14ac:dyDescent="0.2">
      <c r="A11" s="488"/>
      <c r="B11" s="171" t="s">
        <v>567</v>
      </c>
      <c r="C11" s="303">
        <v>0.01</v>
      </c>
      <c r="E11" s="285"/>
      <c r="F11" s="287"/>
    </row>
    <row r="12" spans="1:7" ht="30.75" customHeight="1" x14ac:dyDescent="0.2">
      <c r="A12" s="488"/>
      <c r="B12" s="171" t="s">
        <v>568</v>
      </c>
      <c r="C12" s="303">
        <v>0.16</v>
      </c>
      <c r="E12" s="285"/>
      <c r="F12" s="287"/>
    </row>
    <row r="13" spans="1:7" ht="30.75" customHeight="1" x14ac:dyDescent="0.2">
      <c r="A13" s="488"/>
      <c r="B13" s="171" t="s">
        <v>208</v>
      </c>
      <c r="C13" s="303">
        <v>0.01</v>
      </c>
      <c r="E13" s="285"/>
      <c r="F13" s="287"/>
    </row>
    <row r="14" spans="1:7" ht="27" customHeight="1" x14ac:dyDescent="0.2">
      <c r="A14" s="488"/>
      <c r="B14" s="171" t="s">
        <v>163</v>
      </c>
      <c r="C14" s="303">
        <v>0</v>
      </c>
      <c r="D14" s="11"/>
      <c r="E14" s="285"/>
      <c r="F14" s="287"/>
    </row>
    <row r="15" spans="1:7" ht="26.25" customHeight="1" x14ac:dyDescent="0.2">
      <c r="A15" s="488"/>
      <c r="B15" s="171" t="s">
        <v>209</v>
      </c>
      <c r="C15" s="303">
        <v>0</v>
      </c>
      <c r="D15" s="11"/>
      <c r="E15" s="285"/>
      <c r="F15" s="287"/>
    </row>
    <row r="16" spans="1:7" ht="26.25" customHeight="1" x14ac:dyDescent="0.2">
      <c r="A16" s="488"/>
      <c r="B16" s="171" t="s">
        <v>164</v>
      </c>
      <c r="C16" s="303">
        <v>0.2</v>
      </c>
      <c r="E16" s="285"/>
      <c r="F16" s="287"/>
    </row>
    <row r="17" spans="1:8" ht="33" customHeight="1" x14ac:dyDescent="0.2">
      <c r="A17" s="488"/>
      <c r="B17" s="171" t="s">
        <v>109</v>
      </c>
      <c r="C17" s="303">
        <v>0.19</v>
      </c>
      <c r="E17" s="285"/>
      <c r="F17" s="287"/>
    </row>
    <row r="18" spans="1:8" ht="20.25" customHeight="1" x14ac:dyDescent="0.2">
      <c r="A18" s="489"/>
      <c r="B18" s="171" t="s">
        <v>210</v>
      </c>
      <c r="C18" s="303">
        <v>0.3</v>
      </c>
      <c r="D18" s="114"/>
      <c r="E18" s="285"/>
      <c r="F18" s="287"/>
    </row>
    <row r="19" spans="1:8" ht="20.25" customHeight="1" x14ac:dyDescent="0.2">
      <c r="A19" s="245"/>
      <c r="B19" s="288" t="s">
        <v>211</v>
      </c>
      <c r="C19" s="304">
        <v>1</v>
      </c>
      <c r="D19" s="45"/>
      <c r="E19" s="305"/>
      <c r="F19" s="287"/>
    </row>
    <row r="20" spans="1:8" ht="20.25" customHeight="1" x14ac:dyDescent="0.2">
      <c r="C20" s="127" t="s">
        <v>518</v>
      </c>
      <c r="H20" s="50"/>
    </row>
    <row r="21" spans="1:8" ht="26.25" customHeight="1" x14ac:dyDescent="0.2">
      <c r="C21" s="51"/>
      <c r="D21" s="50"/>
    </row>
    <row r="22" spans="1:8" ht="15.75" customHeight="1" x14ac:dyDescent="0.2">
      <c r="B22" s="11"/>
      <c r="D22" s="52"/>
    </row>
    <row r="23" spans="1:8" ht="15.75" customHeight="1" thickBot="1" x14ac:dyDescent="0.25">
      <c r="B23" s="156" t="s">
        <v>521</v>
      </c>
      <c r="D23" s="52"/>
    </row>
    <row r="24" spans="1:8" ht="15.75" customHeight="1" x14ac:dyDescent="0.2">
      <c r="B24" s="340" t="s">
        <v>168</v>
      </c>
      <c r="C24" s="341" t="s">
        <v>212</v>
      </c>
      <c r="D24" s="342"/>
    </row>
    <row r="25" spans="1:8" ht="15.75" customHeight="1" x14ac:dyDescent="0.2">
      <c r="B25" s="329" t="s">
        <v>30</v>
      </c>
      <c r="C25" s="424">
        <f>C14*C4</f>
        <v>0</v>
      </c>
      <c r="D25" s="344" t="s">
        <v>320</v>
      </c>
    </row>
    <row r="26" spans="1:8" ht="14.25" customHeight="1" x14ac:dyDescent="0.2">
      <c r="B26" s="331" t="s">
        <v>32</v>
      </c>
      <c r="C26" s="425">
        <v>0</v>
      </c>
      <c r="D26" s="346" t="s">
        <v>321</v>
      </c>
    </row>
    <row r="27" spans="1:8" ht="15.75" customHeight="1" x14ac:dyDescent="0.2">
      <c r="B27" s="329" t="s">
        <v>34</v>
      </c>
      <c r="C27" s="424">
        <f>SUM(C16:C17)*C4</f>
        <v>526876.98303211376</v>
      </c>
      <c r="D27" s="344" t="s">
        <v>322</v>
      </c>
    </row>
    <row r="28" spans="1:8" ht="15.75" customHeight="1" x14ac:dyDescent="0.2">
      <c r="B28" s="329" t="s">
        <v>36</v>
      </c>
      <c r="C28" s="424">
        <f>C15*C4</f>
        <v>0</v>
      </c>
      <c r="D28" s="344" t="s">
        <v>323</v>
      </c>
    </row>
    <row r="29" spans="1:8" ht="15.75" customHeight="1" x14ac:dyDescent="0.2">
      <c r="B29" s="331" t="s">
        <v>38</v>
      </c>
      <c r="C29" s="424">
        <f>C9*C4*C19</f>
        <v>27019.332463185321</v>
      </c>
      <c r="D29" s="348" t="s">
        <v>89</v>
      </c>
    </row>
    <row r="30" spans="1:8" ht="15.75" customHeight="1" x14ac:dyDescent="0.2">
      <c r="B30" s="331" t="s">
        <v>40</v>
      </c>
      <c r="C30" s="424">
        <f>C10*C4*C19</f>
        <v>148606.32854751928</v>
      </c>
      <c r="D30" s="348" t="s">
        <v>90</v>
      </c>
    </row>
    <row r="31" spans="1:8" ht="15.75" customHeight="1" x14ac:dyDescent="0.2">
      <c r="B31" s="331" t="s">
        <v>41</v>
      </c>
      <c r="C31" s="424">
        <f>C11*C4*C19</f>
        <v>13509.666231592661</v>
      </c>
      <c r="D31" s="348" t="s">
        <v>91</v>
      </c>
    </row>
    <row r="32" spans="1:8" ht="15.75" customHeight="1" x14ac:dyDescent="0.2">
      <c r="B32" s="331" t="s">
        <v>42</v>
      </c>
      <c r="C32" s="424">
        <f>C12*C4*C19</f>
        <v>216154.65970548257</v>
      </c>
      <c r="D32" s="348" t="s">
        <v>92</v>
      </c>
    </row>
    <row r="33" spans="2:6" ht="15.75" customHeight="1" x14ac:dyDescent="0.2">
      <c r="B33" s="329" t="s">
        <v>43</v>
      </c>
      <c r="C33" s="424">
        <f>C13*C4</f>
        <v>13509.666231592661</v>
      </c>
      <c r="D33" s="348" t="s">
        <v>93</v>
      </c>
    </row>
    <row r="34" spans="2:6" ht="15.75" customHeight="1" x14ac:dyDescent="0.2">
      <c r="B34" s="329" t="s">
        <v>45</v>
      </c>
      <c r="C34" s="426">
        <v>0</v>
      </c>
      <c r="D34" s="348" t="s">
        <v>324</v>
      </c>
    </row>
    <row r="35" spans="2:6" ht="15.75" customHeight="1" x14ac:dyDescent="0.2">
      <c r="B35" s="329" t="s">
        <v>47</v>
      </c>
      <c r="C35" s="426">
        <v>0</v>
      </c>
      <c r="D35" s="348" t="s">
        <v>324</v>
      </c>
    </row>
    <row r="36" spans="2:6" ht="15.75" customHeight="1" x14ac:dyDescent="0.2">
      <c r="B36" s="329" t="s">
        <v>48</v>
      </c>
      <c r="C36" s="424">
        <v>0</v>
      </c>
      <c r="D36" s="348" t="s">
        <v>325</v>
      </c>
    </row>
    <row r="37" spans="2:6" ht="15.75" customHeight="1" x14ac:dyDescent="0.2">
      <c r="B37" s="329" t="s">
        <v>50</v>
      </c>
      <c r="C37" s="424">
        <v>0</v>
      </c>
      <c r="D37" s="348" t="s">
        <v>326</v>
      </c>
    </row>
    <row r="38" spans="2:6" ht="15.75" customHeight="1" x14ac:dyDescent="0.2">
      <c r="B38" s="329" t="s">
        <v>52</v>
      </c>
      <c r="C38" s="424">
        <v>0</v>
      </c>
      <c r="D38" s="348" t="s">
        <v>327</v>
      </c>
    </row>
    <row r="39" spans="2:6" ht="15.75" customHeight="1" x14ac:dyDescent="0.2">
      <c r="B39" s="329" t="s">
        <v>54</v>
      </c>
      <c r="C39" s="424">
        <v>0</v>
      </c>
      <c r="D39" s="348" t="s">
        <v>325</v>
      </c>
    </row>
    <row r="40" spans="2:6" ht="15.75" customHeight="1" x14ac:dyDescent="0.2">
      <c r="B40" s="329" t="s">
        <v>328</v>
      </c>
      <c r="C40" s="424">
        <v>0</v>
      </c>
      <c r="D40" s="351" t="s">
        <v>544</v>
      </c>
    </row>
    <row r="41" spans="2:6" ht="15.75" customHeight="1" x14ac:dyDescent="0.2">
      <c r="B41" s="329" t="s">
        <v>57</v>
      </c>
      <c r="C41" s="424">
        <v>0</v>
      </c>
      <c r="D41" s="351" t="s">
        <v>329</v>
      </c>
    </row>
    <row r="42" spans="2:6" ht="15.75" customHeight="1" x14ac:dyDescent="0.2">
      <c r="B42" s="333" t="s">
        <v>59</v>
      </c>
      <c r="C42" s="424">
        <f>C18*C4 + C4*SUM(C9:C12)*(1-C19)</f>
        <v>405289.98694777983</v>
      </c>
      <c r="D42" s="352" t="s">
        <v>178</v>
      </c>
    </row>
    <row r="43" spans="2:6" ht="15.75" customHeight="1" x14ac:dyDescent="0.2">
      <c r="B43" s="329" t="s">
        <v>61</v>
      </c>
      <c r="C43" s="424">
        <f>SUM(C25:C42)</f>
        <v>1350966.6231592661</v>
      </c>
      <c r="D43" s="351" t="s">
        <v>179</v>
      </c>
      <c r="F43" s="100">
        <f>C43-C4</f>
        <v>0</v>
      </c>
    </row>
    <row r="44" spans="2:6" ht="15.75" customHeight="1" x14ac:dyDescent="0.2">
      <c r="B44" s="329" t="s">
        <v>63</v>
      </c>
      <c r="C44" s="424">
        <f>C5</f>
        <v>1149403.4239051074</v>
      </c>
      <c r="D44" s="351" t="s">
        <v>180</v>
      </c>
    </row>
    <row r="45" spans="2:6" ht="15.75" customHeight="1" x14ac:dyDescent="0.2">
      <c r="B45" s="329" t="s">
        <v>222</v>
      </c>
      <c r="C45" s="426">
        <f>MAX(0,(C43-C44))</f>
        <v>201563.19925415865</v>
      </c>
      <c r="D45" s="342"/>
    </row>
    <row r="46" spans="2:6" ht="15.75" customHeight="1" x14ac:dyDescent="0.2"/>
    <row r="47" spans="2:6" ht="15.75" customHeight="1" x14ac:dyDescent="0.2">
      <c r="B47" s="62" t="s">
        <v>223</v>
      </c>
      <c r="C47" s="22">
        <f>C45/C43</f>
        <v>0.14919924430316311</v>
      </c>
    </row>
    <row r="48" spans="2:6" ht="15.75" customHeight="1" x14ac:dyDescent="0.2">
      <c r="B48" s="62"/>
      <c r="C48" s="22"/>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144" t="s">
        <v>0</v>
      </c>
      <c r="C52" s="145" t="s">
        <v>1</v>
      </c>
      <c r="D52" s="147" t="s">
        <v>2</v>
      </c>
    </row>
    <row r="53" spans="2:8" ht="15.75" customHeight="1" x14ac:dyDescent="0.2">
      <c r="B53" s="457" t="e">
        <f>#REF!</f>
        <v>#REF!</v>
      </c>
      <c r="C53" s="316">
        <v>999998</v>
      </c>
      <c r="D53" s="186" t="s">
        <v>537</v>
      </c>
      <c r="E53" s="42" t="s">
        <v>538</v>
      </c>
    </row>
    <row r="54" spans="2:8" ht="15.75" customHeight="1" x14ac:dyDescent="0.2"/>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
        <v>226</v>
      </c>
      <c r="C57" s="316">
        <f>C5</f>
        <v>1149403.4239051074</v>
      </c>
      <c r="D57" s="185" t="s">
        <v>479</v>
      </c>
      <c r="E57" s="317">
        <v>0</v>
      </c>
      <c r="F57" s="185">
        <v>100000000</v>
      </c>
      <c r="G57" s="186">
        <v>1</v>
      </c>
    </row>
    <row r="58" spans="2:8" ht="15.75" customHeight="1" x14ac:dyDescent="0.2">
      <c r="B58" s="315" t="s">
        <v>224</v>
      </c>
      <c r="C58" s="316">
        <f>C4</f>
        <v>1350966.6231592661</v>
      </c>
      <c r="D58" s="185" t="s">
        <v>225</v>
      </c>
      <c r="E58" s="317">
        <v>0</v>
      </c>
      <c r="F58" s="185">
        <v>100000000</v>
      </c>
      <c r="G58" s="186">
        <v>1</v>
      </c>
      <c r="H58" s="45"/>
    </row>
    <row r="59" spans="2:8" ht="15.75" customHeight="1" x14ac:dyDescent="0.2">
      <c r="B59" s="140" t="s">
        <v>227</v>
      </c>
      <c r="C59" s="141">
        <f>C57-C58</f>
        <v>-201563.19925415865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2</v>
      </c>
      <c r="D62" s="181" t="s">
        <v>366</v>
      </c>
      <c r="E62" s="181">
        <v>0</v>
      </c>
      <c r="F62" s="181">
        <v>10000000</v>
      </c>
      <c r="G62" s="181">
        <v>1</v>
      </c>
      <c r="H62" s="11"/>
    </row>
    <row r="63" spans="2:8" ht="26.25" customHeight="1" x14ac:dyDescent="0.2">
      <c r="B63" s="198" t="s">
        <v>73</v>
      </c>
      <c r="C63" s="318">
        <f t="shared" si="0"/>
        <v>11</v>
      </c>
      <c r="D63" s="181" t="s">
        <v>367</v>
      </c>
      <c r="E63" s="181">
        <v>0</v>
      </c>
      <c r="F63" s="181">
        <v>10000000</v>
      </c>
      <c r="G63" s="181">
        <v>1</v>
      </c>
      <c r="H63" s="11"/>
    </row>
    <row r="64" spans="2:8" ht="26.25" customHeight="1" x14ac:dyDescent="0.2">
      <c r="B64" s="198" t="s">
        <v>74</v>
      </c>
      <c r="C64" s="318">
        <f t="shared" si="0"/>
        <v>1</v>
      </c>
      <c r="D64" s="181" t="s">
        <v>368</v>
      </c>
      <c r="E64" s="181">
        <v>0</v>
      </c>
      <c r="F64" s="181">
        <v>10000000</v>
      </c>
      <c r="G64" s="181">
        <v>1</v>
      </c>
      <c r="H64" s="11"/>
    </row>
    <row r="65" spans="2:8" ht="26.25" customHeight="1" x14ac:dyDescent="0.2">
      <c r="B65" s="198" t="s">
        <v>75</v>
      </c>
      <c r="C65" s="318">
        <f t="shared" si="0"/>
        <v>16</v>
      </c>
      <c r="D65" s="181" t="s">
        <v>369</v>
      </c>
      <c r="E65" s="181">
        <v>0</v>
      </c>
      <c r="F65" s="181">
        <v>10000000</v>
      </c>
      <c r="G65" s="181">
        <v>1</v>
      </c>
      <c r="H65" s="11"/>
    </row>
    <row r="66" spans="2:8" ht="26.25" customHeight="1" x14ac:dyDescent="0.2">
      <c r="B66" s="313" t="s">
        <v>208</v>
      </c>
      <c r="C66" s="318">
        <f t="shared" si="0"/>
        <v>1</v>
      </c>
      <c r="D66" s="181" t="s">
        <v>228</v>
      </c>
      <c r="E66" s="181">
        <v>0</v>
      </c>
      <c r="F66" s="181">
        <v>10000000</v>
      </c>
      <c r="G66" s="181">
        <v>1</v>
      </c>
    </row>
    <row r="67" spans="2:8" ht="26.25" customHeight="1" x14ac:dyDescent="0.2">
      <c r="B67" s="313" t="s">
        <v>163</v>
      </c>
      <c r="C67" s="318">
        <f t="shared" si="0"/>
        <v>0</v>
      </c>
      <c r="D67" s="181" t="s">
        <v>229</v>
      </c>
      <c r="E67" s="181">
        <v>0</v>
      </c>
      <c r="F67" s="181">
        <v>10000000</v>
      </c>
      <c r="G67" s="181">
        <v>1</v>
      </c>
      <c r="H67" s="11"/>
    </row>
    <row r="68" spans="2:8" ht="26.25" customHeight="1" x14ac:dyDescent="0.2">
      <c r="B68" s="198" t="s">
        <v>496</v>
      </c>
      <c r="C68" s="319">
        <v>0</v>
      </c>
      <c r="D68" s="181" t="s">
        <v>370</v>
      </c>
      <c r="E68" s="181">
        <v>0</v>
      </c>
      <c r="F68" s="181">
        <v>10000000</v>
      </c>
      <c r="G68" s="181">
        <v>1</v>
      </c>
      <c r="H68" s="11"/>
    </row>
    <row r="69" spans="2:8" ht="26.25" customHeight="1" x14ac:dyDescent="0.2">
      <c r="B69" s="313" t="s">
        <v>209</v>
      </c>
      <c r="C69" s="318">
        <f>C15*100</f>
        <v>0</v>
      </c>
      <c r="D69" s="181" t="s">
        <v>230</v>
      </c>
      <c r="E69" s="181">
        <v>0</v>
      </c>
      <c r="F69" s="181">
        <v>10000000</v>
      </c>
      <c r="G69" s="181">
        <v>1</v>
      </c>
      <c r="H69" s="11"/>
    </row>
    <row r="70" spans="2:8" ht="26.25" customHeight="1" x14ac:dyDescent="0.2">
      <c r="B70" s="313" t="s">
        <v>164</v>
      </c>
      <c r="C70" s="318">
        <f>C16*100</f>
        <v>20</v>
      </c>
      <c r="D70" s="181" t="s">
        <v>231</v>
      </c>
      <c r="E70" s="181">
        <v>0</v>
      </c>
      <c r="F70" s="181">
        <v>10000000</v>
      </c>
      <c r="G70" s="181">
        <v>1</v>
      </c>
    </row>
    <row r="71" spans="2:8" ht="26.25" customHeight="1" x14ac:dyDescent="0.2">
      <c r="B71" s="313" t="s">
        <v>109</v>
      </c>
      <c r="C71" s="318">
        <f>C17*100</f>
        <v>19</v>
      </c>
      <c r="D71" s="181" t="s">
        <v>232</v>
      </c>
      <c r="E71" s="181">
        <v>0</v>
      </c>
      <c r="F71" s="181">
        <v>10000000</v>
      </c>
      <c r="G71" s="181">
        <v>1</v>
      </c>
    </row>
    <row r="72" spans="2:8" ht="26.25" customHeight="1" x14ac:dyDescent="0.2">
      <c r="B72" s="313" t="s">
        <v>527</v>
      </c>
      <c r="C72" s="320">
        <f>C40</f>
        <v>0</v>
      </c>
      <c r="D72" s="181" t="s">
        <v>379</v>
      </c>
      <c r="E72" s="181">
        <v>0</v>
      </c>
      <c r="F72" s="181">
        <v>10000000</v>
      </c>
      <c r="G72" s="181">
        <v>1</v>
      </c>
      <c r="H72" s="45"/>
    </row>
    <row r="73" spans="2:8" ht="26.25" customHeight="1" x14ac:dyDescent="0.2">
      <c r="B73" s="313" t="s">
        <v>210</v>
      </c>
      <c r="C73" s="318">
        <f>C18*100</f>
        <v>30</v>
      </c>
      <c r="D73" s="181" t="s">
        <v>233</v>
      </c>
      <c r="E73" s="181">
        <v>0</v>
      </c>
      <c r="F73" s="181">
        <v>10000000</v>
      </c>
      <c r="G73" s="181">
        <v>1</v>
      </c>
    </row>
    <row r="74" spans="2:8" ht="26.25" customHeight="1" x14ac:dyDescent="0.2">
      <c r="B74" s="321" t="s">
        <v>382</v>
      </c>
      <c r="C74" s="322">
        <f>C19*100</f>
        <v>100</v>
      </c>
      <c r="D74" s="323" t="s">
        <v>234</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B1" zoomScale="108" workbookViewId="0">
      <selection activeCell="C2" sqref="C2:D25"/>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3" t="s">
        <v>518</v>
      </c>
      <c r="F1" s="1" t="s">
        <v>238</v>
      </c>
      <c r="H1" s="1">
        <v>590</v>
      </c>
      <c r="I1" s="1" t="s">
        <v>239</v>
      </c>
      <c r="J1" s="1" t="s">
        <v>240</v>
      </c>
    </row>
    <row r="2" spans="1:17" ht="14.25" customHeight="1" x14ac:dyDescent="0.2">
      <c r="A2" s="233"/>
      <c r="B2" s="428" t="s">
        <v>241</v>
      </c>
      <c r="C2" s="431">
        <f>N10</f>
        <v>86612.800000000003</v>
      </c>
      <c r="D2" s="431">
        <f>O10</f>
        <v>21653.200000000001</v>
      </c>
      <c r="E2" s="453"/>
      <c r="F2" s="55">
        <v>10</v>
      </c>
      <c r="G2" s="56">
        <v>6.5</v>
      </c>
      <c r="H2" s="57">
        <v>0.14199999999999999</v>
      </c>
      <c r="I2" s="1" t="s">
        <v>242</v>
      </c>
      <c r="J2" s="1">
        <f>33.6976422882946*12</f>
        <v>404.37170745953523</v>
      </c>
      <c r="K2" s="1">
        <f>129.174295438462*12</f>
        <v>1550.0915452615441</v>
      </c>
      <c r="M2" t="s">
        <v>576</v>
      </c>
    </row>
    <row r="3" spans="1:17" ht="14.25" customHeight="1" x14ac:dyDescent="0.2">
      <c r="A3" s="233"/>
      <c r="B3" s="428" t="s">
        <v>243</v>
      </c>
      <c r="C3" s="431">
        <f>P10</f>
        <v>26908.799999999999</v>
      </c>
      <c r="D3" s="431">
        <f>Q10</f>
        <v>6727.2</v>
      </c>
      <c r="E3" s="163"/>
      <c r="J3" s="486">
        <v>33.697642288294603</v>
      </c>
      <c r="K3" s="486">
        <v>129.174295438462</v>
      </c>
      <c r="M3" t="s">
        <v>577</v>
      </c>
      <c r="N3" t="s">
        <v>578</v>
      </c>
      <c r="O3" t="s">
        <v>579</v>
      </c>
    </row>
    <row r="4" spans="1:17" ht="14.25" customHeight="1" x14ac:dyDescent="0.2">
      <c r="A4" s="233"/>
      <c r="B4" s="428" t="s">
        <v>244</v>
      </c>
      <c r="C4" s="432">
        <f>J2/F2</f>
        <v>40.437170745953523</v>
      </c>
      <c r="D4" s="432">
        <f>K2/G2</f>
        <v>238.47562234792986</v>
      </c>
      <c r="E4" s="163"/>
      <c r="G4" s="127" t="s">
        <v>526</v>
      </c>
      <c r="M4" t="s">
        <v>580</v>
      </c>
      <c r="N4">
        <v>108266</v>
      </c>
      <c r="O4">
        <v>33636</v>
      </c>
    </row>
    <row r="5" spans="1:17" ht="14.25" customHeight="1" x14ac:dyDescent="0.2">
      <c r="A5" s="233"/>
      <c r="B5" s="428" t="s">
        <v>245</v>
      </c>
      <c r="C5" s="432">
        <f>C4*0.09</f>
        <v>3.6393453671358169</v>
      </c>
      <c r="D5" s="432">
        <f>D4*0.065</f>
        <v>15.500915452615441</v>
      </c>
      <c r="E5" s="163"/>
      <c r="F5" s="1" t="s">
        <v>246</v>
      </c>
      <c r="G5" s="1" t="s">
        <v>247</v>
      </c>
      <c r="H5" s="1"/>
      <c r="M5" t="s">
        <v>581</v>
      </c>
      <c r="N5">
        <v>9705</v>
      </c>
      <c r="O5">
        <v>2284</v>
      </c>
    </row>
    <row r="6" spans="1:17" ht="14.25" customHeight="1" x14ac:dyDescent="0.2">
      <c r="A6" s="495"/>
      <c r="B6" s="445" t="s">
        <v>248</v>
      </c>
      <c r="C6" s="433">
        <v>0.22500000000000001</v>
      </c>
      <c r="D6" s="433">
        <v>0.36</v>
      </c>
      <c r="E6" s="494" t="s">
        <v>249</v>
      </c>
      <c r="F6" s="1" t="s">
        <v>250</v>
      </c>
      <c r="G6" s="446" t="s">
        <v>38</v>
      </c>
      <c r="H6" s="446" t="s">
        <v>41</v>
      </c>
      <c r="I6" s="446" t="s">
        <v>40</v>
      </c>
      <c r="J6" s="446" t="s">
        <v>42</v>
      </c>
      <c r="K6" s="447" t="s">
        <v>251</v>
      </c>
      <c r="M6" t="s">
        <v>582</v>
      </c>
    </row>
    <row r="7" spans="1:17" ht="13.5" customHeight="1" x14ac:dyDescent="0.2">
      <c r="A7" s="496"/>
      <c r="B7" s="445" t="s">
        <v>252</v>
      </c>
      <c r="C7" s="433">
        <v>0.1</v>
      </c>
      <c r="D7" s="433">
        <v>9.5000000000000001E-2</v>
      </c>
      <c r="E7" s="494"/>
      <c r="F7" s="58" t="s">
        <v>45</v>
      </c>
      <c r="G7" s="448">
        <f>$C$6/SUM($C$6:$C$11)*$C$2*$C$4/($C$6/SUM($C$6:$C$11)*$C$2*$C$4+$D$6/SUM($D$6:$D$11)*$D$2*$D$4)</f>
        <v>0.30340724716062845</v>
      </c>
      <c r="H7" s="448">
        <f>$C$7/SUM($C$6:$C$11)*$C$2*$C$4/($C$7/SUM($C$6:$C$11)*$C$2*$C$4+$D$7/SUM($D$6:$D$11)*$D$2*$D$4)</f>
        <v>0.42315670375259412</v>
      </c>
      <c r="I7" s="448">
        <f>$C$8/SUM($C$6:$C$11)*$C$2*$C$4/($C$8/SUM($C$6:$C$11)*$C$2*$C$4+$D$8/SUM($D$6:$D$11)*$D$2*$D$4)</f>
        <v>0.38835984196130197</v>
      </c>
      <c r="J7" s="448">
        <f>$C$9/SUM($C$6:$C$11)*$C$2*$C$4/($C$9/SUM($C$6:$C$11)*$C$2*$C$4+$D$9/SUM($D$6:$D$11)*$D$2*$D$4)</f>
        <v>0.34764991896272396</v>
      </c>
      <c r="K7" s="449">
        <f>$C$10/SUM($C$6:$C$11)*$C$2*$C$4/($C$10/SUM($C$6:$C$11)*$C$2*$C$4+$D$10/SUM($D$6:$D$11)*$D$2*$D$4)</f>
        <v>0.54281567489114779</v>
      </c>
    </row>
    <row r="8" spans="1:17" ht="15.75" customHeight="1" x14ac:dyDescent="0.2">
      <c r="A8" s="496"/>
      <c r="B8" s="445" t="s">
        <v>253</v>
      </c>
      <c r="C8" s="433">
        <v>0.20499999999999999</v>
      </c>
      <c r="D8" s="433">
        <v>0.22500000000000001</v>
      </c>
      <c r="E8" s="494"/>
      <c r="F8" s="58" t="s">
        <v>47</v>
      </c>
      <c r="G8" s="448">
        <f>$D$6/SUM($D$6:$D$11)*$D$2*$D$4/($C$6/SUM($C$6:$C$11)*$C$2*$C$4+$D$6/SUM($D$6:$D$11)*$D$2*$D$4)</f>
        <v>0.69659275283937161</v>
      </c>
      <c r="H8" s="448">
        <f>$D$7/SUM($D$6:$D$11)*$D$2*$D$4/($C$7/SUM($C$6:$C$11)*$C$2*$C$4+$D$7/SUM($D$6:$D$11)*$D$2*$D$4)</f>
        <v>0.57684329624740582</v>
      </c>
      <c r="I8" s="448">
        <f>$D$8/SUM($D$6:$D$11)*$D$2*$D$4/($C$8/SUM($C$6:$C$11)*$C$2*$C$4+$D$8/SUM($D$6:$D$11)*$D$2*$D$4)</f>
        <v>0.61164015803869809</v>
      </c>
      <c r="J8" s="448">
        <f>$D$9/SUM($D$6:$D$11)*$D$2*$D$4/($C$9/SUM($C$6:$C$11)*$C$2*$C$4+$D$9/SUM($D$6:$D$11)*$D$2*$D$4)</f>
        <v>0.6523500810372761</v>
      </c>
      <c r="K8" s="449">
        <f>$D$10/SUM($D$6:$D$11)*$D$2*$D$4/($C$10/SUM($C$6:$C$11)*$C$2*$C$4+$D$10/SUM($D$6:$D$11)*$D$2*$D$4)</f>
        <v>0.45718432510885215</v>
      </c>
      <c r="M8" s="484" t="s">
        <v>583</v>
      </c>
      <c r="N8">
        <v>80</v>
      </c>
    </row>
    <row r="9" spans="1:17" ht="28.5" customHeight="1" x14ac:dyDescent="0.2">
      <c r="A9" s="496"/>
      <c r="B9" s="445" t="s">
        <v>254</v>
      </c>
      <c r="C9" s="433">
        <v>6.5000000000000002E-2</v>
      </c>
      <c r="D9" s="433">
        <v>8.5000000000000006E-2</v>
      </c>
      <c r="E9" s="494"/>
      <c r="F9" s="58"/>
      <c r="G9" s="450">
        <f>G8+G7</f>
        <v>1</v>
      </c>
      <c r="H9" s="450">
        <f t="shared" ref="H9:K9" si="0">H8+H7</f>
        <v>1</v>
      </c>
      <c r="I9" s="450">
        <f t="shared" si="0"/>
        <v>1</v>
      </c>
      <c r="J9" s="450">
        <f t="shared" si="0"/>
        <v>1</v>
      </c>
      <c r="K9" s="450">
        <f t="shared" si="0"/>
        <v>1</v>
      </c>
      <c r="M9" t="s">
        <v>577</v>
      </c>
      <c r="N9" s="485" t="s">
        <v>584</v>
      </c>
      <c r="O9" s="485" t="s">
        <v>585</v>
      </c>
      <c r="P9" s="485" t="s">
        <v>586</v>
      </c>
      <c r="Q9" s="485" t="s">
        <v>587</v>
      </c>
    </row>
    <row r="10" spans="1:17" ht="14.25" customHeight="1" x14ac:dyDescent="0.2">
      <c r="A10" s="496"/>
      <c r="B10" s="445" t="s">
        <v>255</v>
      </c>
      <c r="C10" s="433">
        <v>0.23</v>
      </c>
      <c r="D10" s="433">
        <v>0.13500000000000001</v>
      </c>
      <c r="E10" s="494"/>
      <c r="G10" s="22"/>
      <c r="H10" s="22"/>
      <c r="M10" t="s">
        <v>580</v>
      </c>
      <c r="N10">
        <f>N4*N8/100</f>
        <v>86612.800000000003</v>
      </c>
      <c r="O10">
        <f>N4*(100-N8)/100</f>
        <v>21653.200000000001</v>
      </c>
      <c r="P10">
        <f>O4*N8/100</f>
        <v>26908.799999999999</v>
      </c>
      <c r="Q10">
        <f>O4*(100-N8)/100</f>
        <v>6727.2</v>
      </c>
    </row>
    <row r="11" spans="1:17" ht="14.25" customHeight="1" x14ac:dyDescent="0.2">
      <c r="A11" s="497"/>
      <c r="B11" s="445" t="s">
        <v>256</v>
      </c>
      <c r="C11" s="433">
        <v>8.5000000000000006E-2</v>
      </c>
      <c r="D11" s="433">
        <v>3.5000000000000003E-2</v>
      </c>
      <c r="E11" s="494"/>
      <c r="G11" s="1" t="s">
        <v>257</v>
      </c>
      <c r="H11" s="22"/>
      <c r="M11" t="s">
        <v>581</v>
      </c>
      <c r="N11">
        <f>N5*N8/100</f>
        <v>7764</v>
      </c>
      <c r="O11">
        <f>N5*(100-N8)/100</f>
        <v>1941</v>
      </c>
      <c r="P11">
        <f>O5*N8/100</f>
        <v>1827.2</v>
      </c>
      <c r="Q11">
        <f>O5*(100-N8)/100</f>
        <v>456.8</v>
      </c>
    </row>
    <row r="12" spans="1:17" ht="14.25" customHeight="1" x14ac:dyDescent="0.2">
      <c r="A12" s="14"/>
      <c r="B12" s="54" t="s">
        <v>525</v>
      </c>
      <c r="C12" s="54"/>
      <c r="D12" s="54"/>
      <c r="F12" s="1" t="s">
        <v>258</v>
      </c>
      <c r="G12" s="451">
        <f>$C$6/SUM($C$6:$C$11)*$C$2*$C$4</f>
        <v>865972.23190840974</v>
      </c>
      <c r="H12" s="451">
        <f>$D$6/SUM($D$6:$D$11)*$D$2*$D$4</f>
        <v>1988185.8016007596</v>
      </c>
    </row>
    <row r="13" spans="1:17" ht="14.25" customHeight="1" x14ac:dyDescent="0.2">
      <c r="A13" s="492" t="s">
        <v>523</v>
      </c>
      <c r="B13" s="427" t="s">
        <v>259</v>
      </c>
      <c r="C13" s="433">
        <v>0.215</v>
      </c>
      <c r="D13" s="433">
        <v>0.24</v>
      </c>
      <c r="E13" s="498" t="s">
        <v>249</v>
      </c>
      <c r="F13" s="22" t="s">
        <v>251</v>
      </c>
      <c r="G13" s="451">
        <f>$C$10/SUM($C$6:$C$11)*$C$2*$C$4</f>
        <v>885216.05928415223</v>
      </c>
      <c r="H13" s="451">
        <f>$D$10/SUM($D$6:$D$11)*$D$2*$D$4</f>
        <v>745569.67560028494</v>
      </c>
    </row>
    <row r="14" spans="1:17" ht="14.25" customHeight="1" x14ac:dyDescent="0.2">
      <c r="A14" s="493"/>
      <c r="B14" s="427" t="s">
        <v>260</v>
      </c>
      <c r="C14" s="433">
        <v>0</v>
      </c>
      <c r="D14" s="433">
        <v>0</v>
      </c>
      <c r="E14" s="498"/>
      <c r="F14" s="22" t="s">
        <v>261</v>
      </c>
      <c r="G14" s="452">
        <f t="shared" ref="G14:H14" si="1">C11/SUM(C6:C11)*C2*C4</f>
        <v>327145.06538762146</v>
      </c>
      <c r="H14" s="452">
        <f t="shared" si="1"/>
        <v>193295.84182229609</v>
      </c>
    </row>
    <row r="15" spans="1:17" ht="14.25" customHeight="1" x14ac:dyDescent="0.2">
      <c r="A15" s="493"/>
      <c r="B15" s="427" t="s">
        <v>262</v>
      </c>
      <c r="C15" s="433">
        <v>0</v>
      </c>
      <c r="D15" s="433">
        <v>0</v>
      </c>
      <c r="E15" s="498"/>
      <c r="F15" s="22" t="s">
        <v>181</v>
      </c>
      <c r="G15" s="452">
        <f t="shared" ref="G15:H15" si="2">C2*C4</f>
        <v>3502376.5823851232</v>
      </c>
      <c r="H15" s="452">
        <f t="shared" si="2"/>
        <v>5163760.3458241951</v>
      </c>
    </row>
    <row r="16" spans="1:17" ht="14.25" customHeight="1" x14ac:dyDescent="0.2">
      <c r="A16" s="493"/>
      <c r="B16" s="427" t="s">
        <v>263</v>
      </c>
      <c r="C16" s="433">
        <v>0.29499999999999998</v>
      </c>
      <c r="D16" s="433">
        <v>0.20499999999999999</v>
      </c>
      <c r="E16" s="498"/>
      <c r="G16" s="451">
        <f t="shared" ref="G16:H16" si="3">SUM(G12:G14)</f>
        <v>2078333.3565801834</v>
      </c>
      <c r="H16" s="451">
        <f t="shared" si="3"/>
        <v>2927051.3190233405</v>
      </c>
    </row>
    <row r="17" spans="1:5" ht="14.25" customHeight="1" x14ac:dyDescent="0.2">
      <c r="A17" s="493"/>
      <c r="B17" s="427" t="s">
        <v>264</v>
      </c>
      <c r="C17" s="433">
        <v>0.11</v>
      </c>
      <c r="D17" s="433">
        <v>7.4999999999999997E-2</v>
      </c>
      <c r="E17" s="498"/>
    </row>
    <row r="18" spans="1:5" ht="14.25" customHeight="1" x14ac:dyDescent="0.2">
      <c r="A18" s="493"/>
      <c r="B18" s="427" t="s">
        <v>265</v>
      </c>
      <c r="C18" s="433">
        <v>0</v>
      </c>
      <c r="D18" s="433">
        <v>0</v>
      </c>
      <c r="E18" s="498"/>
    </row>
    <row r="19" spans="1:5" ht="14.25" customHeight="1" x14ac:dyDescent="0.2">
      <c r="A19" s="493"/>
      <c r="B19" s="427" t="s">
        <v>266</v>
      </c>
      <c r="C19" s="433">
        <v>0</v>
      </c>
      <c r="D19" s="433">
        <v>0</v>
      </c>
      <c r="E19" s="498"/>
    </row>
    <row r="20" spans="1:5" ht="14.25" customHeight="1" x14ac:dyDescent="0.2">
      <c r="A20" s="493"/>
      <c r="B20" s="427" t="s">
        <v>267</v>
      </c>
      <c r="C20" s="433">
        <v>0.105</v>
      </c>
      <c r="D20" s="433">
        <v>0.125</v>
      </c>
      <c r="E20" s="498"/>
    </row>
    <row r="21" spans="1:5" ht="14.25" customHeight="1" x14ac:dyDescent="0.2">
      <c r="A21" s="493"/>
      <c r="B21" s="435" t="s">
        <v>268</v>
      </c>
      <c r="C21" s="433">
        <v>2.5000000000000001E-2</v>
      </c>
      <c r="D21" s="444">
        <v>2.5000000000000001E-2</v>
      </c>
      <c r="E21" s="498"/>
    </row>
    <row r="22" spans="1:5" ht="14.25" customHeight="1" x14ac:dyDescent="0.2">
      <c r="A22" s="493"/>
      <c r="B22" s="436" t="s">
        <v>269</v>
      </c>
      <c r="C22" s="434">
        <v>0.14000000000000001</v>
      </c>
      <c r="D22" s="443">
        <v>0.19500000000000001</v>
      </c>
      <c r="E22" s="498"/>
    </row>
    <row r="23" spans="1:5" ht="14.25" customHeight="1" x14ac:dyDescent="0.2">
      <c r="A23" s="493"/>
      <c r="B23" s="436" t="s">
        <v>552</v>
      </c>
      <c r="C23" s="434">
        <v>0.05</v>
      </c>
      <c r="D23" s="443">
        <v>0.08</v>
      </c>
      <c r="E23" s="498"/>
    </row>
    <row r="24" spans="1:5" ht="14.25" customHeight="1" x14ac:dyDescent="0.2">
      <c r="A24" s="493"/>
      <c r="B24" s="437" t="s">
        <v>574</v>
      </c>
      <c r="C24" s="434">
        <v>0.06</v>
      </c>
      <c r="D24" s="438">
        <v>5.5E-2</v>
      </c>
      <c r="E24" s="498"/>
    </row>
    <row r="25" spans="1:5" ht="14.25" customHeight="1" x14ac:dyDescent="0.2">
      <c r="A25" s="493"/>
      <c r="B25" s="437" t="s">
        <v>575</v>
      </c>
      <c r="C25" s="443">
        <v>0</v>
      </c>
      <c r="D25" s="438">
        <v>0</v>
      </c>
      <c r="E25" s="498"/>
    </row>
    <row r="26" spans="1:5" ht="14.25" customHeight="1" x14ac:dyDescent="0.2">
      <c r="A26" s="439"/>
      <c r="B26" s="440" t="s">
        <v>270</v>
      </c>
      <c r="C26" s="441">
        <f>SUM(C13:C25)</f>
        <v>1</v>
      </c>
      <c r="D26" s="442">
        <f>SUM(D13:D25)</f>
        <v>1</v>
      </c>
      <c r="E26" s="23" t="s">
        <v>524</v>
      </c>
    </row>
    <row r="27" spans="1:5" ht="14.25" customHeight="1" x14ac:dyDescent="0.2">
      <c r="B27" s="11"/>
    </row>
    <row r="28" spans="1:5" ht="14.25" customHeight="1" x14ac:dyDescent="0.2">
      <c r="B28" s="156" t="s">
        <v>521</v>
      </c>
      <c r="C28" s="60"/>
      <c r="D28" s="60"/>
    </row>
    <row r="29" spans="1:5" ht="14.25" customHeight="1" x14ac:dyDescent="0.2">
      <c r="B29" s="326" t="s">
        <v>271</v>
      </c>
      <c r="C29" s="327" t="s">
        <v>45</v>
      </c>
      <c r="D29" s="328" t="s">
        <v>47</v>
      </c>
    </row>
    <row r="30" spans="1:5" ht="14.25" customHeight="1" x14ac:dyDescent="0.2">
      <c r="B30" s="329" t="s">
        <v>30</v>
      </c>
      <c r="C30" s="330">
        <f>C$2*C$4*C16/SUM(C13:C25)</f>
        <v>1033201.0918036113</v>
      </c>
      <c r="D30" s="330">
        <f>D$2*D$4*D16/SUM(D13:D25)</f>
        <v>1058570.8708939599</v>
      </c>
      <c r="E30" s="1" t="s">
        <v>272</v>
      </c>
    </row>
    <row r="31" spans="1:5" ht="14.25" customHeight="1" x14ac:dyDescent="0.2">
      <c r="B31" s="331" t="s">
        <v>32</v>
      </c>
      <c r="C31" s="467">
        <f>C$2*C$4*C23/SUM(C13:C25)</f>
        <v>175118.82911925617</v>
      </c>
      <c r="D31" s="468">
        <f>D$2*D$4*D23/SUM(D13:D25)</f>
        <v>413100.82766593562</v>
      </c>
      <c r="E31" s="127" t="s">
        <v>553</v>
      </c>
    </row>
    <row r="32" spans="1:5" ht="14.25" customHeight="1" x14ac:dyDescent="0.2">
      <c r="B32" s="329" t="s">
        <v>34</v>
      </c>
      <c r="C32" s="330">
        <f>C2*C4*SUM(C13:C15,C18,C20)/SUM(C13:C25)</f>
        <v>1120760.5063632394</v>
      </c>
      <c r="D32" s="330">
        <f>D2*D4*SUM(D13:D15,D18,D20)/SUM(D13:D25)</f>
        <v>1884772.5262258311</v>
      </c>
      <c r="E32" s="1" t="s">
        <v>273</v>
      </c>
    </row>
    <row r="33" spans="2:5" ht="14.25" customHeight="1" x14ac:dyDescent="0.2">
      <c r="B33" s="329" t="s">
        <v>36</v>
      </c>
      <c r="C33" s="330">
        <f t="shared" ref="C33:D33" si="4">C2*C4*C17/SUM(C13:C25)</f>
        <v>385261.42406236357</v>
      </c>
      <c r="D33" s="330">
        <f t="shared" si="4"/>
        <v>387282.02593681461</v>
      </c>
      <c r="E33" s="1" t="s">
        <v>274</v>
      </c>
    </row>
    <row r="34" spans="2:5" ht="14.25" customHeight="1" x14ac:dyDescent="0.2">
      <c r="B34" s="331" t="s">
        <v>38</v>
      </c>
      <c r="C34" s="330">
        <v>0</v>
      </c>
      <c r="D34" s="330">
        <v>0</v>
      </c>
      <c r="E34" s="1" t="s">
        <v>275</v>
      </c>
    </row>
    <row r="35" spans="2:5" ht="14.25" customHeight="1" x14ac:dyDescent="0.2">
      <c r="B35" s="331" t="s">
        <v>40</v>
      </c>
      <c r="C35" s="330">
        <v>0</v>
      </c>
      <c r="D35" s="330">
        <v>0</v>
      </c>
      <c r="E35" s="1" t="s">
        <v>275</v>
      </c>
    </row>
    <row r="36" spans="2:5" ht="14.25" customHeight="1" x14ac:dyDescent="0.2">
      <c r="B36" s="331" t="s">
        <v>41</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490332.7215339173</v>
      </c>
      <c r="D38" s="330">
        <f t="shared" si="5"/>
        <v>1006933.2674357181</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0</v>
      </c>
      <c r="D45" s="330">
        <f>D2*D4*D25/SUM(D13:D25)</f>
        <v>0</v>
      </c>
      <c r="E45" s="1" t="s">
        <v>282</v>
      </c>
    </row>
    <row r="46" spans="2:5" ht="14.25" customHeight="1" x14ac:dyDescent="0.2">
      <c r="B46" s="333" t="s">
        <v>59</v>
      </c>
      <c r="C46" s="330">
        <f>C2*C4*C21/SUM(C13:C25)</f>
        <v>87559.414559628087</v>
      </c>
      <c r="D46" s="330">
        <f>D2*D4*D21/SUM(D13:D25)</f>
        <v>129094.00864560489</v>
      </c>
      <c r="E46" s="1" t="s">
        <v>283</v>
      </c>
    </row>
    <row r="47" spans="2:5" ht="14.25" customHeight="1" x14ac:dyDescent="0.2">
      <c r="B47" s="329" t="s">
        <v>61</v>
      </c>
      <c r="C47" s="330">
        <f>SUM(C30:C46)</f>
        <v>3292233.9874420161</v>
      </c>
      <c r="D47" s="334">
        <f t="shared" ref="D47" si="7">SUM(D30:D46)</f>
        <v>4879753.5268038642</v>
      </c>
      <c r="E47" s="1" t="s">
        <v>284</v>
      </c>
    </row>
    <row r="48" spans="2:5" ht="14.25" customHeight="1" x14ac:dyDescent="0.2">
      <c r="B48" s="329" t="s">
        <v>63</v>
      </c>
      <c r="C48" s="335">
        <f>C2*C4</f>
        <v>3502376.5823851232</v>
      </c>
      <c r="D48" s="336">
        <f>D2*D4</f>
        <v>5163760.3458241951</v>
      </c>
      <c r="E48" s="1" t="s">
        <v>285</v>
      </c>
    </row>
    <row r="49" spans="2:14" ht="14.25" customHeight="1" x14ac:dyDescent="0.2">
      <c r="B49" s="329" t="s">
        <v>65</v>
      </c>
      <c r="C49" s="330">
        <f t="shared" ref="C49:D49" si="8">C48-C47</f>
        <v>210142.59494310711</v>
      </c>
      <c r="D49" s="334">
        <f t="shared" si="8"/>
        <v>284006.81902033091</v>
      </c>
    </row>
    <row r="50" spans="2:14" ht="14.25" customHeight="1" x14ac:dyDescent="0.2">
      <c r="B50" s="337" t="s">
        <v>67</v>
      </c>
      <c r="C50" s="338">
        <f t="shared" ref="C50:D50" si="9">C49/C48</f>
        <v>5.9999999999999915E-2</v>
      </c>
      <c r="D50" s="339">
        <f t="shared" si="9"/>
        <v>5.5000000000000035E-2</v>
      </c>
    </row>
    <row r="51" spans="2:14" ht="14.25" customHeight="1" x14ac:dyDescent="0.2"/>
    <row r="52" spans="2:14" ht="14.25" customHeight="1" x14ac:dyDescent="0.2"/>
    <row r="53" spans="2:14" ht="14.25" customHeight="1" x14ac:dyDescent="0.2"/>
    <row r="54" spans="2:14" ht="14.25" customHeight="1" x14ac:dyDescent="0.2"/>
    <row r="55" spans="2:14" ht="14.25" customHeight="1" x14ac:dyDescent="0.2">
      <c r="B55" s="23" t="s">
        <v>522</v>
      </c>
      <c r="I55" s="23" t="s">
        <v>522</v>
      </c>
    </row>
    <row r="56" spans="2:14" ht="14.25" customHeight="1" x14ac:dyDescent="0.2">
      <c r="B56" s="33" t="s">
        <v>0</v>
      </c>
      <c r="C56" s="34" t="s">
        <v>1</v>
      </c>
      <c r="D56" s="35" t="s">
        <v>2</v>
      </c>
      <c r="E56" s="35" t="s">
        <v>3</v>
      </c>
      <c r="F56" s="35" t="s">
        <v>4</v>
      </c>
      <c r="G56" s="35" t="s">
        <v>5</v>
      </c>
      <c r="I56" s="33" t="s">
        <v>0</v>
      </c>
      <c r="J56" s="34" t="s">
        <v>1</v>
      </c>
      <c r="K56" s="35" t="s">
        <v>2</v>
      </c>
      <c r="L56" s="35" t="s">
        <v>3</v>
      </c>
      <c r="M56" s="35" t="s">
        <v>4</v>
      </c>
      <c r="N56" s="35" t="s">
        <v>5</v>
      </c>
    </row>
    <row r="57" spans="2:14" ht="14.25" customHeight="1" x14ac:dyDescent="0.2">
      <c r="B57" s="181" t="str">
        <f t="shared" ref="B57:C57" si="10">B2</f>
        <v>What is the population of the communities constituting this local economy? (Number of people)</v>
      </c>
      <c r="C57" s="325">
        <f t="shared" si="10"/>
        <v>86612.800000000003</v>
      </c>
      <c r="D57" s="181" t="s">
        <v>287</v>
      </c>
      <c r="E57" s="181">
        <v>0</v>
      </c>
      <c r="F57" s="181">
        <v>1000000</v>
      </c>
      <c r="G57" s="181">
        <v>1</v>
      </c>
      <c r="I57" s="181" t="str">
        <f>B2</f>
        <v>What is the population of the communities constituting this local economy? (Number of people)</v>
      </c>
      <c r="J57" s="324">
        <f>D2</f>
        <v>21653.200000000001</v>
      </c>
      <c r="K57" s="181" t="s">
        <v>286</v>
      </c>
      <c r="L57" s="181">
        <v>0</v>
      </c>
      <c r="M57" s="181">
        <v>1000000</v>
      </c>
      <c r="N57" s="181">
        <v>1</v>
      </c>
    </row>
    <row r="58" spans="2:14" ht="14.25" customHeight="1" x14ac:dyDescent="0.2">
      <c r="B58" s="181" t="str">
        <f t="shared" ref="B58:C58" si="11">B3</f>
        <v>How many households are in this local economy? (Number of households)</v>
      </c>
      <c r="C58" s="325">
        <f t="shared" si="11"/>
        <v>26908.799999999999</v>
      </c>
      <c r="D58" s="181" t="s">
        <v>289</v>
      </c>
      <c r="E58" s="181">
        <v>0</v>
      </c>
      <c r="F58" s="181">
        <v>1000000</v>
      </c>
      <c r="G58" s="181">
        <v>1</v>
      </c>
      <c r="I58" s="181" t="str">
        <f>B3</f>
        <v>How many households are in this local economy? (Number of households)</v>
      </c>
      <c r="J58" s="324">
        <f>D3</f>
        <v>6727.2</v>
      </c>
      <c r="K58" s="181" t="s">
        <v>288</v>
      </c>
      <c r="L58" s="181">
        <v>0</v>
      </c>
      <c r="M58" s="181">
        <v>1000000</v>
      </c>
      <c r="N58" s="181">
        <v>1</v>
      </c>
    </row>
    <row r="59" spans="2:14" ht="14.25" customHeight="1" x14ac:dyDescent="0.2">
      <c r="B59" s="181" t="str">
        <f t="shared" ref="B59:C59" si="12">B4</f>
        <v>About what is the average annual per-capita income of households in this region (US$)?</v>
      </c>
      <c r="C59" s="325">
        <f t="shared" si="12"/>
        <v>40.437170745953523</v>
      </c>
      <c r="D59" s="181" t="s">
        <v>291</v>
      </c>
      <c r="E59" s="181">
        <v>0</v>
      </c>
      <c r="F59" s="181">
        <v>1000000</v>
      </c>
      <c r="G59" s="181">
        <v>1</v>
      </c>
      <c r="I59" s="181" t="str">
        <f>B4</f>
        <v>About what is the average annual per-capita income of households in this region (US$)?</v>
      </c>
      <c r="J59" s="325">
        <f>D4</f>
        <v>238.47562234792986</v>
      </c>
      <c r="K59" s="181" t="s">
        <v>290</v>
      </c>
      <c r="L59" s="181">
        <v>0</v>
      </c>
      <c r="M59" s="181">
        <v>1000000</v>
      </c>
      <c r="N59" s="181">
        <v>1</v>
      </c>
    </row>
    <row r="60" spans="2:14" ht="14.25" customHeight="1" x14ac:dyDescent="0.2">
      <c r="B60" s="181" t="str">
        <f t="shared" ref="B60:C60" si="13">B5</f>
        <v>About what is the average annual government transfers (e.g., SCTs) to households in this region?</v>
      </c>
      <c r="C60" s="325">
        <f t="shared" si="13"/>
        <v>3.6393453671358169</v>
      </c>
      <c r="D60" s="181" t="s">
        <v>293</v>
      </c>
      <c r="E60" s="181">
        <v>0</v>
      </c>
      <c r="F60" s="181">
        <v>1000000</v>
      </c>
      <c r="G60" s="181">
        <v>1</v>
      </c>
      <c r="I60" s="181" t="str">
        <f>B5</f>
        <v>About what is the average annual government transfers (e.g., SCTs) to households in this region?</v>
      </c>
      <c r="J60" s="325">
        <f>D5</f>
        <v>15.500915452615441</v>
      </c>
      <c r="K60" s="181" t="s">
        <v>292</v>
      </c>
      <c r="L60" s="181">
        <v>0</v>
      </c>
      <c r="M60" s="181">
        <v>1000000</v>
      </c>
      <c r="N60" s="181">
        <v>1</v>
      </c>
    </row>
    <row r="61" spans="2:14" ht="14.25" customHeight="1" x14ac:dyDescent="0.2">
      <c r="B61" s="33" t="s">
        <v>0</v>
      </c>
      <c r="C61" s="34" t="s">
        <v>1</v>
      </c>
      <c r="D61" s="35" t="s">
        <v>2</v>
      </c>
      <c r="E61" s="35" t="s">
        <v>3</v>
      </c>
      <c r="F61" s="35" t="s">
        <v>4</v>
      </c>
      <c r="G61" s="35" t="s">
        <v>5</v>
      </c>
      <c r="I61" s="33" t="s">
        <v>0</v>
      </c>
      <c r="J61" s="34" t="s">
        <v>1</v>
      </c>
      <c r="K61" s="35" t="s">
        <v>2</v>
      </c>
      <c r="L61" s="35" t="s">
        <v>3</v>
      </c>
      <c r="M61" s="35" t="s">
        <v>4</v>
      </c>
      <c r="N61" s="35" t="s">
        <v>5</v>
      </c>
    </row>
    <row r="62" spans="2:14" ht="14.25" customHeight="1" x14ac:dyDescent="0.2">
      <c r="B62" s="181" t="str">
        <f t="shared" ref="B62:B68" si="14">B6</f>
        <v>About what % of household income comes from wages earned by male unskilled workers in the household?</v>
      </c>
      <c r="C62" s="181">
        <f t="shared" ref="C62:C67" si="15">C6*100</f>
        <v>22.5</v>
      </c>
      <c r="D62" s="181" t="s">
        <v>371</v>
      </c>
      <c r="E62" s="181">
        <v>0</v>
      </c>
      <c r="F62" s="181">
        <v>100</v>
      </c>
      <c r="G62" s="181">
        <v>0.01</v>
      </c>
      <c r="I62" s="181" t="str">
        <f>B62</f>
        <v>About what % of household income comes from wages earned by male unskilled workers in the household?</v>
      </c>
      <c r="J62" s="181">
        <f t="shared" ref="J62:J67" si="16">D6*100</f>
        <v>36</v>
      </c>
      <c r="K62" s="181" t="s">
        <v>375</v>
      </c>
      <c r="L62" s="181">
        <v>0</v>
      </c>
      <c r="M62" s="181">
        <v>100</v>
      </c>
      <c r="N62" s="181">
        <v>0.01</v>
      </c>
    </row>
    <row r="63" spans="2:14" ht="14.25" customHeight="1" x14ac:dyDescent="0.2">
      <c r="B63" s="181" t="str">
        <f t="shared" si="14"/>
        <v>About what % of household income comes from wages earned by male skilled workers in the household?</v>
      </c>
      <c r="C63" s="181">
        <f t="shared" si="15"/>
        <v>10</v>
      </c>
      <c r="D63" s="181" t="s">
        <v>372</v>
      </c>
      <c r="E63" s="181">
        <v>0</v>
      </c>
      <c r="F63" s="181">
        <v>100</v>
      </c>
      <c r="G63" s="181">
        <v>0.01</v>
      </c>
      <c r="I63" s="181" t="str">
        <f t="shared" ref="I63:I67" si="17">B63</f>
        <v>About what % of household income comes from wages earned by male skilled workers in the household?</v>
      </c>
      <c r="J63" s="181">
        <f t="shared" si="16"/>
        <v>9.5</v>
      </c>
      <c r="K63" s="181" t="s">
        <v>376</v>
      </c>
      <c r="L63" s="181">
        <v>0</v>
      </c>
      <c r="M63" s="181">
        <v>100</v>
      </c>
      <c r="N63" s="181">
        <v>0.01</v>
      </c>
    </row>
    <row r="64" spans="2:14" ht="14.25" customHeight="1" x14ac:dyDescent="0.2">
      <c r="B64" s="181" t="str">
        <f t="shared" si="14"/>
        <v>About what % of household income comes from wages earned by female unskilled workers in the household?</v>
      </c>
      <c r="C64" s="181">
        <f t="shared" si="15"/>
        <v>20.5</v>
      </c>
      <c r="D64" s="181" t="s">
        <v>373</v>
      </c>
      <c r="E64" s="181">
        <v>0</v>
      </c>
      <c r="F64" s="181">
        <v>100</v>
      </c>
      <c r="G64" s="181">
        <v>0.01</v>
      </c>
      <c r="I64" s="181" t="str">
        <f t="shared" si="17"/>
        <v>About what % of household income comes from wages earned by female unskilled workers in the household?</v>
      </c>
      <c r="J64" s="181">
        <f t="shared" si="16"/>
        <v>22.5</v>
      </c>
      <c r="K64" s="181" t="s">
        <v>377</v>
      </c>
      <c r="L64" s="181">
        <v>0</v>
      </c>
      <c r="M64" s="181">
        <v>100</v>
      </c>
      <c r="N64" s="181">
        <v>0.01</v>
      </c>
    </row>
    <row r="65" spans="2:14" ht="14.25" customHeight="1" x14ac:dyDescent="0.2">
      <c r="B65" s="181" t="str">
        <f t="shared" si="14"/>
        <v>About what % of household income comes from wages earned by female skilled workers in the household?</v>
      </c>
      <c r="C65" s="181">
        <f t="shared" si="15"/>
        <v>6.5</v>
      </c>
      <c r="D65" s="181" t="s">
        <v>374</v>
      </c>
      <c r="E65" s="181">
        <v>0</v>
      </c>
      <c r="F65" s="181">
        <v>100</v>
      </c>
      <c r="G65" s="181">
        <v>0.01</v>
      </c>
      <c r="I65" s="181" t="str">
        <f t="shared" si="17"/>
        <v>About what % of household income comes from wages earned by female skilled workers in the household?</v>
      </c>
      <c r="J65" s="181">
        <f t="shared" si="16"/>
        <v>8.5</v>
      </c>
      <c r="K65" s="181" t="s">
        <v>378</v>
      </c>
      <c r="L65" s="181">
        <v>0</v>
      </c>
      <c r="M65" s="181">
        <v>100</v>
      </c>
      <c r="N65" s="181">
        <v>0.01</v>
      </c>
    </row>
    <row r="66" spans="2:14" ht="14.25" customHeight="1" x14ac:dyDescent="0.2">
      <c r="B66" s="181" t="str">
        <f t="shared" si="14"/>
        <v>About what % of household incomes comes from profits from household-owned farms or businesses or renting property the household owns?</v>
      </c>
      <c r="C66" s="181">
        <f t="shared" si="15"/>
        <v>23</v>
      </c>
      <c r="D66" s="181" t="s">
        <v>295</v>
      </c>
      <c r="E66" s="181">
        <v>0</v>
      </c>
      <c r="F66" s="181">
        <v>100</v>
      </c>
      <c r="G66" s="181">
        <v>0.01</v>
      </c>
      <c r="I66" s="181" t="str">
        <f t="shared" si="17"/>
        <v>About what % of household incomes comes from profits from household-owned farms or businesses or renting property the household owns?</v>
      </c>
      <c r="J66" s="181">
        <f t="shared" si="16"/>
        <v>13.5</v>
      </c>
      <c r="K66" s="181" t="s">
        <v>294</v>
      </c>
      <c r="L66" s="181">
        <v>0</v>
      </c>
      <c r="M66" s="181">
        <v>100</v>
      </c>
      <c r="N66" s="181">
        <v>0.01</v>
      </c>
    </row>
    <row r="67" spans="2:14" ht="14.25" customHeight="1" x14ac:dyDescent="0.2">
      <c r="B67" s="181" t="str">
        <f t="shared" si="14"/>
        <v>About what % of household incomes comes from migrant remittances (domestic and foreign?</v>
      </c>
      <c r="C67" s="181">
        <f t="shared" si="15"/>
        <v>8.5</v>
      </c>
      <c r="D67" s="181" t="s">
        <v>297</v>
      </c>
      <c r="E67" s="181">
        <v>0</v>
      </c>
      <c r="F67" s="181">
        <v>100</v>
      </c>
      <c r="G67" s="181">
        <v>0.01</v>
      </c>
      <c r="I67" s="181" t="str">
        <f t="shared" si="17"/>
        <v>About what % of household incomes comes from migrant remittances (domestic and foreign?</v>
      </c>
      <c r="J67" s="181">
        <f t="shared" si="16"/>
        <v>3.5000000000000004</v>
      </c>
      <c r="K67" s="181" t="s">
        <v>296</v>
      </c>
      <c r="L67" s="181">
        <v>0</v>
      </c>
      <c r="M67" s="181">
        <v>100</v>
      </c>
      <c r="N67" s="181">
        <v>0.01</v>
      </c>
    </row>
    <row r="68" spans="2:14" ht="14.25" customHeight="1" x14ac:dyDescent="0.2">
      <c r="B68" s="61" t="str">
        <f t="shared" si="14"/>
        <v>About what percentage of households' spending each month is on…</v>
      </c>
      <c r="C68" s="1">
        <f>C12</f>
        <v>0</v>
      </c>
      <c r="I68" s="61" t="str">
        <f>B12</f>
        <v>About what percentage of households' spending each month is on…</v>
      </c>
      <c r="J68" s="1">
        <f>D12</f>
        <v>0</v>
      </c>
    </row>
    <row r="69" spans="2:14" ht="14.25" customHeight="1" x14ac:dyDescent="0.2">
      <c r="B69" s="33" t="s">
        <v>0</v>
      </c>
      <c r="C69" s="34" t="s">
        <v>1</v>
      </c>
      <c r="D69" s="35" t="s">
        <v>2</v>
      </c>
      <c r="E69" s="35" t="s">
        <v>3</v>
      </c>
      <c r="F69" s="35" t="s">
        <v>4</v>
      </c>
      <c r="G69" s="35" t="s">
        <v>5</v>
      </c>
      <c r="I69" s="33" t="s">
        <v>0</v>
      </c>
      <c r="J69" s="34" t="s">
        <v>1</v>
      </c>
      <c r="K69" s="35" t="s">
        <v>2</v>
      </c>
      <c r="L69" s="35" t="s">
        <v>3</v>
      </c>
      <c r="M69" s="35" t="s">
        <v>4</v>
      </c>
      <c r="N69" s="35" t="s">
        <v>5</v>
      </c>
    </row>
    <row r="70" spans="2:14" ht="14.25" customHeight="1" x14ac:dyDescent="0.2">
      <c r="B70" s="181" t="str">
        <f t="shared" ref="B70:B79" si="18">B13</f>
        <v>Food bought from Local grocery stores</v>
      </c>
      <c r="C70" s="181">
        <f t="shared" ref="C70:C79" si="19">C13*100</f>
        <v>21.5</v>
      </c>
      <c r="D70" s="181" t="s">
        <v>299</v>
      </c>
      <c r="E70" s="181">
        <v>0</v>
      </c>
      <c r="F70" s="181">
        <v>100</v>
      </c>
      <c r="G70" s="181">
        <v>0.01</v>
      </c>
      <c r="I70" s="181" t="str">
        <f t="shared" ref="I70:I79" si="20">B13</f>
        <v>Food bought from Local grocery stores</v>
      </c>
      <c r="J70" s="181">
        <f t="shared" ref="J70:J79" si="21">D13*100</f>
        <v>24</v>
      </c>
      <c r="K70" s="181" t="s">
        <v>298</v>
      </c>
      <c r="L70" s="181">
        <v>0</v>
      </c>
      <c r="M70" s="181">
        <v>100</v>
      </c>
      <c r="N70" s="181">
        <v>0.01</v>
      </c>
    </row>
    <row r="71" spans="2:14" ht="14.25" customHeight="1" x14ac:dyDescent="0.2">
      <c r="B71" s="181" t="str">
        <f t="shared" si="18"/>
        <v>Other goods from local grocery stores</v>
      </c>
      <c r="C71" s="181">
        <f t="shared" si="19"/>
        <v>0</v>
      </c>
      <c r="D71" s="181" t="s">
        <v>301</v>
      </c>
      <c r="E71" s="181">
        <v>0</v>
      </c>
      <c r="F71" s="181">
        <v>100</v>
      </c>
      <c r="G71" s="181">
        <v>0.01</v>
      </c>
      <c r="I71" s="181" t="str">
        <f t="shared" si="20"/>
        <v>Other goods from local grocery stores</v>
      </c>
      <c r="J71" s="181">
        <f t="shared" si="21"/>
        <v>0</v>
      </c>
      <c r="K71" s="181" t="s">
        <v>300</v>
      </c>
      <c r="L71" s="181">
        <v>0</v>
      </c>
      <c r="M71" s="181">
        <v>100</v>
      </c>
      <c r="N71" s="181">
        <v>0.01</v>
      </c>
    </row>
    <row r="72" spans="2:14" ht="14.25" customHeight="1" x14ac:dyDescent="0.2">
      <c r="B72" s="181" t="str">
        <f t="shared" si="18"/>
        <v>Food from Periodic markets</v>
      </c>
      <c r="C72" s="181">
        <f t="shared" si="19"/>
        <v>0</v>
      </c>
      <c r="D72" s="181" t="s">
        <v>303</v>
      </c>
      <c r="E72" s="181">
        <v>0</v>
      </c>
      <c r="F72" s="181">
        <v>100</v>
      </c>
      <c r="G72" s="181">
        <v>0.01</v>
      </c>
      <c r="I72" s="181" t="str">
        <f t="shared" si="20"/>
        <v>Food from Periodic markets</v>
      </c>
      <c r="J72" s="181">
        <f t="shared" si="21"/>
        <v>0</v>
      </c>
      <c r="K72" s="181" t="s">
        <v>302</v>
      </c>
      <c r="L72" s="181">
        <v>0</v>
      </c>
      <c r="M72" s="181">
        <v>100</v>
      </c>
      <c r="N72" s="181">
        <v>0.01</v>
      </c>
    </row>
    <row r="73" spans="2:14" ht="14.25" customHeight="1" x14ac:dyDescent="0.2">
      <c r="B73" s="181" t="str">
        <f t="shared" si="18"/>
        <v>Buying food direct from local farmers or your own farm</v>
      </c>
      <c r="C73" s="181">
        <f t="shared" si="19"/>
        <v>29.5</v>
      </c>
      <c r="D73" s="181" t="s">
        <v>305</v>
      </c>
      <c r="E73" s="181">
        <v>0</v>
      </c>
      <c r="F73" s="181">
        <v>100</v>
      </c>
      <c r="G73" s="181">
        <v>0.01</v>
      </c>
      <c r="I73" s="181" t="str">
        <f t="shared" si="20"/>
        <v>Buying food direct from local farmers or your own farm</v>
      </c>
      <c r="J73" s="181">
        <f t="shared" si="21"/>
        <v>20.5</v>
      </c>
      <c r="K73" s="181" t="s">
        <v>304</v>
      </c>
      <c r="L73" s="181">
        <v>0</v>
      </c>
      <c r="M73" s="181">
        <v>100</v>
      </c>
      <c r="N73" s="181">
        <v>0.01</v>
      </c>
    </row>
    <row r="74" spans="2:14" ht="14.25" customHeight="1" x14ac:dyDescent="0.2">
      <c r="B74" s="181" t="str">
        <f t="shared" si="18"/>
        <v>Buying local fish</v>
      </c>
      <c r="C74" s="181">
        <f t="shared" si="19"/>
        <v>11</v>
      </c>
      <c r="D74" s="181" t="s">
        <v>307</v>
      </c>
      <c r="E74" s="181">
        <v>0</v>
      </c>
      <c r="F74" s="181">
        <v>100</v>
      </c>
      <c r="G74" s="181">
        <v>0.01</v>
      </c>
      <c r="I74" s="181" t="str">
        <f t="shared" si="20"/>
        <v>Buying local fish</v>
      </c>
      <c r="J74" s="181">
        <f t="shared" si="21"/>
        <v>7.5</v>
      </c>
      <c r="K74" s="181" t="s">
        <v>306</v>
      </c>
      <c r="L74" s="181">
        <v>0</v>
      </c>
      <c r="M74" s="181">
        <v>100</v>
      </c>
      <c r="N74" s="181">
        <v>0.01</v>
      </c>
    </row>
    <row r="75" spans="2:14" ht="14.25" customHeight="1" x14ac:dyDescent="0.2">
      <c r="B75" s="181" t="str">
        <f t="shared" si="18"/>
        <v>Buying from local food processors, including neighbors who sell foods they prepare for sale</v>
      </c>
      <c r="C75" s="181">
        <f t="shared" si="19"/>
        <v>0</v>
      </c>
      <c r="D75" s="181" t="s">
        <v>309</v>
      </c>
      <c r="E75" s="181">
        <v>0</v>
      </c>
      <c r="F75" s="181">
        <v>100</v>
      </c>
      <c r="G75" s="181">
        <v>0.01</v>
      </c>
      <c r="I75" s="181" t="str">
        <f t="shared" si="20"/>
        <v>Buying from local food processors, including neighbors who sell foods they prepare for sale</v>
      </c>
      <c r="J75" s="181">
        <f t="shared" si="21"/>
        <v>0</v>
      </c>
      <c r="K75" s="181" t="s">
        <v>308</v>
      </c>
      <c r="L75" s="181">
        <v>0</v>
      </c>
      <c r="M75" s="181">
        <v>100</v>
      </c>
      <c r="N75" s="181">
        <v>0.01</v>
      </c>
    </row>
    <row r="76" spans="2:14" ht="14.25" customHeight="1" x14ac:dyDescent="0.2">
      <c r="B76" s="181" t="str">
        <f t="shared" si="18"/>
        <v>Buying food and drink at local restaurants (food and drink)</v>
      </c>
      <c r="C76" s="181">
        <f t="shared" si="19"/>
        <v>0</v>
      </c>
      <c r="D76" s="181" t="s">
        <v>311</v>
      </c>
      <c r="E76" s="181">
        <v>0</v>
      </c>
      <c r="F76" s="181">
        <v>100</v>
      </c>
      <c r="G76" s="181">
        <v>0.01</v>
      </c>
      <c r="I76" s="181" t="str">
        <f t="shared" si="20"/>
        <v>Buying food and drink at local restaurants (food and drink)</v>
      </c>
      <c r="J76" s="181">
        <f t="shared" si="21"/>
        <v>0</v>
      </c>
      <c r="K76" s="181" t="s">
        <v>310</v>
      </c>
      <c r="L76" s="181">
        <v>0</v>
      </c>
      <c r="M76" s="181">
        <v>100</v>
      </c>
      <c r="N76" s="181">
        <v>0.01</v>
      </c>
    </row>
    <row r="77" spans="2:14" ht="14.25" customHeight="1" x14ac:dyDescent="0.2">
      <c r="B77" s="181" t="str">
        <f t="shared" si="18"/>
        <v>Things besides food that are sold by people or businesses in your community, including services</v>
      </c>
      <c r="C77" s="181">
        <f t="shared" si="19"/>
        <v>10.5</v>
      </c>
      <c r="D77" s="181" t="s">
        <v>313</v>
      </c>
      <c r="E77" s="181">
        <v>0</v>
      </c>
      <c r="F77" s="181">
        <v>100</v>
      </c>
      <c r="G77" s="181">
        <v>0.01</v>
      </c>
      <c r="I77" s="181" t="str">
        <f t="shared" si="20"/>
        <v>Things besides food that are sold by people or businesses in your community, including services</v>
      </c>
      <c r="J77" s="181">
        <f t="shared" si="21"/>
        <v>12.5</v>
      </c>
      <c r="K77" s="181" t="s">
        <v>312</v>
      </c>
      <c r="L77" s="181">
        <v>0</v>
      </c>
      <c r="M77" s="181">
        <v>100</v>
      </c>
      <c r="N77" s="181">
        <v>0.01</v>
      </c>
    </row>
    <row r="78" spans="2:14" ht="14.25" customHeight="1" x14ac:dyDescent="0.2">
      <c r="B78" s="181" t="str">
        <f t="shared" si="18"/>
        <v>Things you buy from businesses, etc., in places outside your community</v>
      </c>
      <c r="C78" s="181">
        <f t="shared" si="19"/>
        <v>2.5</v>
      </c>
      <c r="D78" s="181" t="s">
        <v>315</v>
      </c>
      <c r="E78" s="181">
        <v>0</v>
      </c>
      <c r="F78" s="181">
        <v>100</v>
      </c>
      <c r="G78" s="181">
        <v>0.01</v>
      </c>
      <c r="I78" s="181" t="str">
        <f t="shared" si="20"/>
        <v>Things you buy from businesses, etc., in places outside your community</v>
      </c>
      <c r="J78" s="181">
        <f t="shared" si="21"/>
        <v>2.5</v>
      </c>
      <c r="K78" s="181" t="s">
        <v>314</v>
      </c>
      <c r="L78" s="181">
        <v>0</v>
      </c>
      <c r="M78" s="181">
        <v>100</v>
      </c>
      <c r="N78" s="181">
        <v>0.01</v>
      </c>
    </row>
    <row r="79" spans="2:14" ht="14.25" customHeight="1" x14ac:dyDescent="0.2">
      <c r="B79" s="181" t="str">
        <f t="shared" si="18"/>
        <v>Rent (if household rents its house; don't include business rentals here)</v>
      </c>
      <c r="C79" s="181">
        <f t="shared" si="19"/>
        <v>14.000000000000002</v>
      </c>
      <c r="D79" s="181" t="s">
        <v>317</v>
      </c>
      <c r="E79" s="181">
        <v>0</v>
      </c>
      <c r="F79" s="181">
        <v>100</v>
      </c>
      <c r="G79" s="181">
        <v>0.01</v>
      </c>
      <c r="I79" s="181" t="str">
        <f t="shared" si="20"/>
        <v>Rent (if household rents its house; don't include business rentals here)</v>
      </c>
      <c r="J79" s="181">
        <f t="shared" si="21"/>
        <v>19.5</v>
      </c>
      <c r="K79" s="181" t="s">
        <v>316</v>
      </c>
      <c r="L79" s="181">
        <v>0</v>
      </c>
      <c r="M79" s="181">
        <v>100</v>
      </c>
      <c r="N79" s="181">
        <v>0.01</v>
      </c>
    </row>
    <row r="80" spans="2:14" ht="14.25" customHeight="1" x14ac:dyDescent="0.2">
      <c r="B80" s="181" t="str">
        <f t="shared" ref="B80:B81" si="22">B25</f>
        <v>Household federal income tax payments</v>
      </c>
      <c r="C80" s="181">
        <f t="shared" ref="C80:C81" si="23">C25*100</f>
        <v>0</v>
      </c>
      <c r="D80" s="181" t="s">
        <v>319</v>
      </c>
      <c r="E80" s="181">
        <v>0</v>
      </c>
      <c r="F80" s="181">
        <v>100</v>
      </c>
      <c r="G80" s="181">
        <v>0.01</v>
      </c>
      <c r="I80" s="181" t="str">
        <f t="shared" ref="I80:I81" si="24">B25</f>
        <v>Household federal income tax payments</v>
      </c>
      <c r="J80" s="181">
        <f t="shared" ref="J80:J81" si="25">D25*100</f>
        <v>0</v>
      </c>
      <c r="K80" s="181" t="s">
        <v>318</v>
      </c>
      <c r="L80" s="181">
        <v>0</v>
      </c>
      <c r="M80" s="181">
        <v>100</v>
      </c>
      <c r="N80" s="181">
        <v>0.01</v>
      </c>
    </row>
    <row r="81" spans="2:11" ht="14.25" customHeight="1" x14ac:dyDescent="0.2">
      <c r="B81" s="1" t="str">
        <f t="shared" si="22"/>
        <v>Total (should equal 100%)</v>
      </c>
      <c r="C81" s="1">
        <f t="shared" si="23"/>
        <v>100</v>
      </c>
      <c r="I81" s="1" t="str">
        <f t="shared" si="24"/>
        <v>Total (should equal 100%)</v>
      </c>
      <c r="J81" s="1">
        <f t="shared" si="25"/>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workbookViewId="0">
      <pane xSplit="1" ySplit="2" topLeftCell="J6" activePane="bottomRight" state="frozen"/>
      <selection pane="topRight" activeCell="B1" sqref="B1"/>
      <selection pane="bottomLeft" activeCell="A3" sqref="A3"/>
      <selection pane="bottomRight" activeCell="S21" sqref="S21:S22"/>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330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331</v>
      </c>
      <c r="R2" s="77" t="s">
        <v>569</v>
      </c>
      <c r="S2" s="65" t="s">
        <v>57</v>
      </c>
      <c r="T2" s="66" t="s">
        <v>59</v>
      </c>
      <c r="U2" s="67" t="s">
        <v>181</v>
      </c>
      <c r="V2" s="68" t="s">
        <v>332</v>
      </c>
      <c r="W2" s="68" t="s">
        <v>333</v>
      </c>
      <c r="X2" s="59"/>
      <c r="Y2" s="59"/>
      <c r="Z2" s="59"/>
      <c r="AA2" s="59"/>
      <c r="AB2" s="59"/>
      <c r="AC2" s="59"/>
      <c r="AD2" s="59"/>
      <c r="AE2" s="59"/>
      <c r="AF2" s="59"/>
    </row>
    <row r="3" spans="1:32" ht="14.25" customHeight="1" x14ac:dyDescent="0.2">
      <c r="A3" s="69" t="s">
        <v>30</v>
      </c>
      <c r="B3" s="70">
        <f>Ag!C26</f>
        <v>315038.22722980758</v>
      </c>
      <c r="C3" s="70">
        <f>Tourism!C26</f>
        <v>4384.1934268495752</v>
      </c>
      <c r="D3" s="70">
        <f>Nonag!C26</f>
        <v>131419.40523625398</v>
      </c>
      <c r="E3" s="70">
        <f>Fishing!C28</f>
        <v>16368.638808292653</v>
      </c>
      <c r="F3" s="70">
        <v>0</v>
      </c>
      <c r="G3" s="70"/>
      <c r="H3" s="70"/>
      <c r="I3" s="70"/>
      <c r="J3" s="70">
        <v>0</v>
      </c>
      <c r="K3" s="71">
        <f>Households!C30</f>
        <v>1033201.0918036113</v>
      </c>
      <c r="L3" s="71">
        <f>Households!D30</f>
        <v>1058570.8708939599</v>
      </c>
      <c r="M3" s="72">
        <f>Restaurants!C27</f>
        <v>32701.55585475402</v>
      </c>
      <c r="N3" s="72">
        <f>Lodges!C27</f>
        <v>4.3043414255200578E-2</v>
      </c>
      <c r="O3" s="72">
        <f>Tourists!C25</f>
        <v>0</v>
      </c>
      <c r="P3" s="72">
        <f>NatParkPA!C27</f>
        <v>0</v>
      </c>
      <c r="Q3" s="72">
        <f>ComRevSh!C25</f>
        <v>0</v>
      </c>
      <c r="R3" s="72"/>
      <c r="S3" s="72">
        <v>0</v>
      </c>
      <c r="T3" s="73"/>
      <c r="U3" s="70">
        <f t="shared" ref="U3:U21" si="0">SUM(B3:T3)</f>
        <v>2591684.026296943</v>
      </c>
      <c r="V3" s="52">
        <f>U3/B22</f>
        <v>0.62731709470010188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1085435.2124132421</v>
      </c>
      <c r="P4" s="72">
        <f>NatParkPA!C28</f>
        <v>0</v>
      </c>
      <c r="Q4" s="72">
        <f>ComRevSh!C26</f>
        <v>0</v>
      </c>
      <c r="R4" s="72"/>
      <c r="S4" s="72"/>
      <c r="T4" s="72"/>
      <c r="U4" s="70">
        <f t="shared" si="0"/>
        <v>1085435.2124132421</v>
      </c>
      <c r="V4" s="52">
        <f>U4/C22</f>
        <v>1</v>
      </c>
      <c r="W4" s="52"/>
      <c r="X4" s="59"/>
      <c r="Y4" s="59"/>
      <c r="Z4" s="59"/>
      <c r="AA4" s="59"/>
      <c r="AB4" s="59"/>
      <c r="AC4" s="59"/>
      <c r="AD4" s="59"/>
      <c r="AE4" s="59"/>
      <c r="AF4" s="59"/>
    </row>
    <row r="5" spans="1:32" ht="14.25" customHeight="1" x14ac:dyDescent="0.2">
      <c r="A5" s="69" t="s">
        <v>34</v>
      </c>
      <c r="B5" s="70">
        <f>Ag!C28</f>
        <v>1687481.9894190682</v>
      </c>
      <c r="C5" s="70">
        <f>Tourism!C28</f>
        <v>322238.2168734438</v>
      </c>
      <c r="D5" s="70">
        <f>Nonag!C28</f>
        <v>1154205.2112053609</v>
      </c>
      <c r="E5" s="70">
        <f>Fishing!C30</f>
        <v>207977.99897595373</v>
      </c>
      <c r="F5" s="70">
        <v>0</v>
      </c>
      <c r="G5" s="70"/>
      <c r="H5" s="70"/>
      <c r="I5" s="70"/>
      <c r="J5" s="70">
        <v>0</v>
      </c>
      <c r="K5" s="71">
        <f>Households!C32</f>
        <v>1120760.5063632394</v>
      </c>
      <c r="L5" s="71">
        <f>Households!D32</f>
        <v>1884772.5262258311</v>
      </c>
      <c r="M5" s="72">
        <f>Restaurants!C29</f>
        <v>114286.88077073829</v>
      </c>
      <c r="N5" s="72">
        <f>Lodges!C29</f>
        <v>0.28435234931861919</v>
      </c>
      <c r="O5" s="72">
        <f>Tourists!C27</f>
        <v>306500.70281680673</v>
      </c>
      <c r="P5" s="72">
        <f>NatParkPA!C29</f>
        <v>228909.66511716411</v>
      </c>
      <c r="Q5" s="72">
        <f>ComRevSh!C27</f>
        <v>10182.304244779674</v>
      </c>
      <c r="R5" s="72"/>
      <c r="S5" s="72">
        <v>0</v>
      </c>
      <c r="T5" s="72">
        <v>0</v>
      </c>
      <c r="U5" s="70">
        <f t="shared" si="0"/>
        <v>7037316.2863647351</v>
      </c>
      <c r="V5" s="52">
        <f>U5/D22</f>
        <v>1.3345246261420189</v>
      </c>
      <c r="W5" s="52"/>
      <c r="X5" s="59"/>
      <c r="Y5" s="59"/>
      <c r="Z5" s="59"/>
      <c r="AA5" s="59"/>
      <c r="AB5" s="59"/>
      <c r="AC5" s="59"/>
      <c r="AD5" s="59"/>
      <c r="AE5" s="59"/>
      <c r="AF5" s="59"/>
    </row>
    <row r="6" spans="1:32" ht="14.25" customHeight="1" x14ac:dyDescent="0.2">
      <c r="A6" s="69" t="s">
        <v>36</v>
      </c>
      <c r="B6" s="70">
        <f>Ag!C29</f>
        <v>0</v>
      </c>
      <c r="C6" s="70">
        <f>Tourism!C29</f>
        <v>4384.1934268495752</v>
      </c>
      <c r="D6" s="70">
        <f>Nonag!C29</f>
        <v>0</v>
      </c>
      <c r="E6" s="70">
        <f>Fishing!C31</f>
        <v>142503.44374278313</v>
      </c>
      <c r="F6" s="70"/>
      <c r="G6" s="70"/>
      <c r="H6" s="70"/>
      <c r="I6" s="70"/>
      <c r="J6" s="70"/>
      <c r="K6" s="71">
        <f>Households!C33</f>
        <v>385261.42406236357</v>
      </c>
      <c r="L6" s="71">
        <f>Households!D33</f>
        <v>387282.02593681461</v>
      </c>
      <c r="M6" s="72">
        <f>Restaurants!C30</f>
        <v>24610.449251515915</v>
      </c>
      <c r="N6" s="72">
        <f>Lodges!C30</f>
        <v>1.1961685543292466E-2</v>
      </c>
      <c r="O6" s="72">
        <f>Tourists!C28</f>
        <v>0</v>
      </c>
      <c r="P6" s="72">
        <f>NatParkPA!C30</f>
        <v>0</v>
      </c>
      <c r="Q6" s="72">
        <f>ComRevSh!C28</f>
        <v>0</v>
      </c>
      <c r="R6" s="72">
        <f>Localgov!C25</f>
        <v>0</v>
      </c>
      <c r="S6" s="72">
        <v>0</v>
      </c>
      <c r="T6" s="72"/>
      <c r="U6" s="70">
        <f t="shared" si="0"/>
        <v>944041.54838201229</v>
      </c>
      <c r="V6" s="52">
        <f>U6/E22</f>
        <v>0.80798621516332048</v>
      </c>
      <c r="W6" s="52"/>
      <c r="X6" s="59"/>
      <c r="Y6" s="59"/>
      <c r="Z6" s="59"/>
      <c r="AA6" s="59"/>
      <c r="AB6" s="59"/>
      <c r="AC6" s="59"/>
      <c r="AD6" s="59"/>
      <c r="AE6" s="59"/>
      <c r="AF6" s="59"/>
    </row>
    <row r="7" spans="1:32" ht="14.25" customHeight="1" x14ac:dyDescent="0.2">
      <c r="A7" s="13" t="s">
        <v>38</v>
      </c>
      <c r="B7" s="70">
        <f>Ag!C30</f>
        <v>661268.35814573464</v>
      </c>
      <c r="C7" s="70">
        <f>Tourism!C30</f>
        <v>33246.800153609278</v>
      </c>
      <c r="D7" s="70">
        <f>Nonag!C30</f>
        <v>537105.39531338564</v>
      </c>
      <c r="E7" s="70">
        <f>Fishing!C32</f>
        <v>317744.16510215151</v>
      </c>
      <c r="F7" s="70">
        <v>0</v>
      </c>
      <c r="G7" s="70"/>
      <c r="H7" s="70"/>
      <c r="I7" s="70"/>
      <c r="J7" s="70">
        <v>0</v>
      </c>
      <c r="K7" s="71">
        <f>Households!C34</f>
        <v>0</v>
      </c>
      <c r="L7" s="71">
        <f>Households!D34</f>
        <v>0</v>
      </c>
      <c r="M7" s="72">
        <f>Restaurants!C31</f>
        <v>18204.989857285746</v>
      </c>
      <c r="N7" s="72">
        <f>Lodges!C31</f>
        <v>6.6259673852170631E-2</v>
      </c>
      <c r="O7" s="72">
        <f>Tourists!C29</f>
        <v>0</v>
      </c>
      <c r="P7" s="72">
        <f>NatParkPA!C31</f>
        <v>0</v>
      </c>
      <c r="Q7" s="72">
        <f>ComRevSh!C29</f>
        <v>290.92297842227634</v>
      </c>
      <c r="R7" s="72">
        <f>Localgov!C26</f>
        <v>0</v>
      </c>
      <c r="S7" s="72">
        <v>0</v>
      </c>
      <c r="T7" s="72">
        <v>0</v>
      </c>
      <c r="U7" s="70">
        <f t="shared" si="0"/>
        <v>1567860.6978102629</v>
      </c>
      <c r="V7" s="52">
        <f>U7/F22</f>
        <v>1</v>
      </c>
      <c r="W7" s="499" t="s">
        <v>334</v>
      </c>
      <c r="X7" s="59"/>
      <c r="Y7" s="59"/>
      <c r="Z7" s="59"/>
      <c r="AA7" s="59"/>
      <c r="AB7" s="59"/>
      <c r="AC7" s="59"/>
      <c r="AD7" s="59"/>
      <c r="AE7" s="59"/>
      <c r="AF7" s="59"/>
    </row>
    <row r="8" spans="1:32" ht="14.25" customHeight="1" x14ac:dyDescent="0.2">
      <c r="A8" s="13" t="s">
        <v>40</v>
      </c>
      <c r="B8" s="70">
        <f>Ag!C31</f>
        <v>24953.52294889565</v>
      </c>
      <c r="C8" s="70">
        <f>Tourism!C31</f>
        <v>47057.009448185439</v>
      </c>
      <c r="D8" s="70">
        <f>Nonag!C31</f>
        <v>228555.48736739816</v>
      </c>
      <c r="E8" s="70">
        <f>Fishing!C33</f>
        <v>26960.110978364366</v>
      </c>
      <c r="F8" s="70"/>
      <c r="G8" s="70"/>
      <c r="H8" s="70"/>
      <c r="I8" s="70"/>
      <c r="J8" s="70"/>
      <c r="K8" s="71"/>
      <c r="L8" s="71"/>
      <c r="M8" s="72">
        <f>Restaurants!C32</f>
        <v>6405.4593942301699</v>
      </c>
      <c r="N8" s="72">
        <f>Lodges!C32</f>
        <v>7.6379830436403104E-2</v>
      </c>
      <c r="O8" s="72"/>
      <c r="P8" s="72">
        <f>NatParkPA!C32</f>
        <v>59461.27807330931</v>
      </c>
      <c r="Q8" s="72">
        <f>ComRevSh!C30</f>
        <v>290.92297842227634</v>
      </c>
      <c r="R8" s="72">
        <f>Localgov!C27</f>
        <v>526876.98303211376</v>
      </c>
      <c r="S8" s="72"/>
      <c r="T8" s="72"/>
      <c r="U8" s="70">
        <f t="shared" si="0"/>
        <v>920560.85060074949</v>
      </c>
      <c r="V8" s="52">
        <f>U8/G22</f>
        <v>1</v>
      </c>
      <c r="W8" s="491"/>
      <c r="X8" s="59"/>
      <c r="Y8" s="59"/>
      <c r="Z8" s="59"/>
      <c r="AA8" s="59"/>
      <c r="AB8" s="59"/>
      <c r="AC8" s="59"/>
      <c r="AD8" s="59"/>
      <c r="AE8" s="59"/>
      <c r="AF8" s="59"/>
    </row>
    <row r="9" spans="1:32" ht="14.25" customHeight="1" x14ac:dyDescent="0.2">
      <c r="A9" s="13" t="s">
        <v>41</v>
      </c>
      <c r="B9" s="70">
        <f>Ag!C32</f>
        <v>68622.188109463052</v>
      </c>
      <c r="C9" s="70">
        <f>Tourism!C32</f>
        <v>38873.181718066233</v>
      </c>
      <c r="D9" s="70">
        <f>Nonag!C32</f>
        <v>102849.96931532919</v>
      </c>
      <c r="E9" s="70">
        <f>Fishing!C34</f>
        <v>0</v>
      </c>
      <c r="F9" s="70"/>
      <c r="G9" s="70"/>
      <c r="H9" s="70"/>
      <c r="I9" s="70"/>
      <c r="J9" s="70"/>
      <c r="K9" s="71"/>
      <c r="L9" s="71"/>
      <c r="M9" s="72">
        <f>Restaurants!C33</f>
        <v>47535.251294023888</v>
      </c>
      <c r="N9" s="72">
        <f>Lodges!C33</f>
        <v>9.2403411694771162E-2</v>
      </c>
      <c r="O9" s="72"/>
      <c r="P9" s="72">
        <f>NatParkPA!C33</f>
        <v>0</v>
      </c>
      <c r="Q9" s="72">
        <f>ComRevSh!C31</f>
        <v>290.92297842227634</v>
      </c>
      <c r="R9" s="72">
        <f>Localgov!C28</f>
        <v>0</v>
      </c>
      <c r="S9" s="72"/>
      <c r="T9" s="72"/>
      <c r="U9" s="70">
        <f t="shared" si="0"/>
        <v>258171.60581871631</v>
      </c>
      <c r="V9" s="52">
        <f>U9/H22</f>
        <v>1</v>
      </c>
      <c r="W9" s="491"/>
      <c r="X9" s="59"/>
      <c r="Y9" s="59"/>
      <c r="Z9" s="59"/>
      <c r="AA9" s="59"/>
      <c r="AB9" s="59"/>
      <c r="AC9" s="59"/>
      <c r="AD9" s="59"/>
      <c r="AE9" s="59"/>
      <c r="AF9" s="59"/>
    </row>
    <row r="10" spans="1:32" ht="14.25" customHeight="1" x14ac:dyDescent="0.2">
      <c r="A10" s="13" t="s">
        <v>42</v>
      </c>
      <c r="B10" s="70">
        <f>Ag!C33</f>
        <v>3119.1903686119563</v>
      </c>
      <c r="C10" s="70">
        <f>Tourism!C33</f>
        <v>11764.25236204636</v>
      </c>
      <c r="D10" s="70">
        <f>Nonag!C33</f>
        <v>634241.47744453012</v>
      </c>
      <c r="E10" s="70">
        <f>Fishing!C35</f>
        <v>0</v>
      </c>
      <c r="F10" s="70"/>
      <c r="G10" s="70"/>
      <c r="H10" s="70"/>
      <c r="I10" s="70"/>
      <c r="J10" s="70"/>
      <c r="K10" s="71"/>
      <c r="L10" s="71"/>
      <c r="M10" s="72">
        <f>Restaurants!C34</f>
        <v>6068.3299524285831</v>
      </c>
      <c r="N10" s="72">
        <f>Lodges!C34</f>
        <v>3.3209612935195254E-2</v>
      </c>
      <c r="O10" s="72"/>
      <c r="P10" s="72">
        <f>NatParkPA!C34</f>
        <v>45277.118748544162</v>
      </c>
      <c r="Q10" s="72">
        <f>ComRevSh!C32</f>
        <v>290.92297842227634</v>
      </c>
      <c r="R10" s="72">
        <f>Localgov!C29</f>
        <v>27019.332463185321</v>
      </c>
      <c r="S10" s="72"/>
      <c r="T10" s="72"/>
      <c r="U10" s="70">
        <f t="shared" si="0"/>
        <v>727780.65752738167</v>
      </c>
      <c r="V10" s="52">
        <f>U10/I22</f>
        <v>0.99999999999999989</v>
      </c>
      <c r="W10" s="491"/>
      <c r="X10" s="59"/>
      <c r="Y10" s="59"/>
      <c r="Z10" s="59"/>
      <c r="AA10" s="59"/>
      <c r="AB10" s="59"/>
      <c r="AC10" s="59"/>
      <c r="AD10" s="59"/>
      <c r="AE10" s="59"/>
      <c r="AF10" s="59"/>
    </row>
    <row r="11" spans="1:32" ht="14.25" customHeight="1" x14ac:dyDescent="0.2">
      <c r="A11" s="69" t="s">
        <v>43</v>
      </c>
      <c r="B11" s="70">
        <f>Ag!C34</f>
        <v>1012187.6030595088</v>
      </c>
      <c r="C11" s="70">
        <f>Tourism!C34</f>
        <v>231088.67430712929</v>
      </c>
      <c r="D11" s="70">
        <f>Nonag!C34</f>
        <v>987860.31506725133</v>
      </c>
      <c r="E11" s="70">
        <f>Fishing!C36</f>
        <v>404839.32881472481</v>
      </c>
      <c r="F11" s="70">
        <v>0</v>
      </c>
      <c r="G11" s="70"/>
      <c r="H11" s="70"/>
      <c r="I11" s="70"/>
      <c r="J11" s="70">
        <v>0</v>
      </c>
      <c r="K11" s="71">
        <f>Households!C38</f>
        <v>490332.7215339173</v>
      </c>
      <c r="L11" s="71">
        <f>Households!D38</f>
        <v>1006933.2674357181</v>
      </c>
      <c r="M11" s="72">
        <f>Restaurants!C35</f>
        <v>93982.376359010406</v>
      </c>
      <c r="N11" s="72">
        <f>Lodges!C35</f>
        <v>0.22546708673466112</v>
      </c>
      <c r="O11" s="72">
        <f>Tourists!C33</f>
        <v>0</v>
      </c>
      <c r="P11" s="72">
        <f>NatParkPA!C35</f>
        <v>0</v>
      </c>
      <c r="Q11" s="72">
        <f>ComRevSh!C33</f>
        <v>0</v>
      </c>
      <c r="R11" s="72">
        <f>Localgov!C30</f>
        <v>148606.32854751928</v>
      </c>
      <c r="S11" s="72">
        <v>0</v>
      </c>
      <c r="T11" s="72">
        <v>0</v>
      </c>
      <c r="U11" s="70">
        <f t="shared" si="0"/>
        <v>4375830.8405918665</v>
      </c>
      <c r="V11" s="52">
        <f>U11/J22</f>
        <v>1</v>
      </c>
      <c r="W11" s="491"/>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475700.29825395381</v>
      </c>
      <c r="G12" s="74">
        <f>Households!H7*SUM($B$8:$T$8)</f>
        <v>389541.49514389742</v>
      </c>
      <c r="H12" s="74">
        <f>Households!I7*SUM($B$9:$T$9)</f>
        <v>100263.48403465221</v>
      </c>
      <c r="I12" s="74">
        <f>Households!J7*SUM($B$10:$T$10)</f>
        <v>253012.88661203219</v>
      </c>
      <c r="J12" s="103">
        <f>Households!K7*SUM($B$11:$T$11)</f>
        <v>2375269.5709453728</v>
      </c>
      <c r="K12" s="71">
        <f>Households!C39</f>
        <v>0</v>
      </c>
      <c r="L12" s="71">
        <f>Households!D39</f>
        <v>0</v>
      </c>
      <c r="M12" s="72">
        <f>Restaurants!C36</f>
        <v>0</v>
      </c>
      <c r="N12" s="72">
        <f>Lodges!C36</f>
        <v>0</v>
      </c>
      <c r="O12" s="72">
        <f>Tourists!C34</f>
        <v>0</v>
      </c>
      <c r="P12" s="72">
        <f>NatParkPA!C36</f>
        <v>0</v>
      </c>
      <c r="Q12" s="72">
        <f>ComRevSh!C34</f>
        <v>0</v>
      </c>
      <c r="R12" s="72">
        <f>Localgov!C31</f>
        <v>13509.666231592661</v>
      </c>
      <c r="S12" s="72">
        <v>0</v>
      </c>
      <c r="T12" s="75">
        <f>Households!G14</f>
        <v>327145.06538762146</v>
      </c>
      <c r="U12" s="70">
        <f t="shared" si="0"/>
        <v>3934442.4666091227</v>
      </c>
      <c r="V12" s="52">
        <f>U12/K22</f>
        <v>1.262206324365041</v>
      </c>
      <c r="W12" s="491"/>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1092160.3995563092</v>
      </c>
      <c r="G13" s="74">
        <f>Households!H8*SUM($B$8:$T$8)</f>
        <v>531019.355456852</v>
      </c>
      <c r="H13" s="74">
        <f>Households!I8*SUM($B$9:$T$9)</f>
        <v>157908.1217840641</v>
      </c>
      <c r="I13" s="74">
        <f>Households!J8*SUM($B$10:$T$10)</f>
        <v>474767.77091534954</v>
      </c>
      <c r="J13" s="103">
        <f>Households!K8*SUM($B$11:$T$11)</f>
        <v>2000561.2696464937</v>
      </c>
      <c r="K13" s="71">
        <f>Households!C40</f>
        <v>0</v>
      </c>
      <c r="L13" s="71">
        <f>Households!D40</f>
        <v>0</v>
      </c>
      <c r="M13" s="72">
        <f>Restaurants!C37</f>
        <v>0</v>
      </c>
      <c r="N13" s="72">
        <f>Lodges!C37</f>
        <v>0</v>
      </c>
      <c r="O13" s="72">
        <f>Tourists!C35</f>
        <v>0</v>
      </c>
      <c r="P13" s="72">
        <f>NatParkPA!C37</f>
        <v>0</v>
      </c>
      <c r="Q13" s="72">
        <f>ComRevSh!C35</f>
        <v>0</v>
      </c>
      <c r="R13" s="72">
        <f>Localgov!C32</f>
        <v>216154.65970548257</v>
      </c>
      <c r="S13" s="72">
        <v>0</v>
      </c>
      <c r="T13" s="72">
        <f>Households!H14</f>
        <v>193295.84182229609</v>
      </c>
      <c r="U13" s="70">
        <f t="shared" si="0"/>
        <v>4665867.4188868478</v>
      </c>
      <c r="V13" s="52">
        <f>U13/L22</f>
        <v>1.0446004498597725</v>
      </c>
      <c r="W13" s="491"/>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431111.81816059822</v>
      </c>
      <c r="P14" s="72">
        <f>NatParkPA!C38</f>
        <v>0</v>
      </c>
      <c r="Q14" s="72">
        <f>ComRevSh!C36</f>
        <v>0</v>
      </c>
      <c r="R14" s="72">
        <f>Localgov!C33</f>
        <v>13509.666231592661</v>
      </c>
      <c r="S14" s="72">
        <v>0</v>
      </c>
      <c r="T14" s="70"/>
      <c r="U14" s="76">
        <f t="shared" si="0"/>
        <v>444621.48439219088</v>
      </c>
      <c r="V14" s="52">
        <f>U14/M22</f>
        <v>1.0313368032665715</v>
      </c>
      <c r="W14" s="491"/>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1.3127982030000001</v>
      </c>
      <c r="P15" s="72">
        <f>NatParkPA!C39</f>
        <v>0</v>
      </c>
      <c r="Q15" s="72">
        <f>ComRevSh!C37</f>
        <v>0</v>
      </c>
      <c r="R15" s="72">
        <f>Localgov!C34</f>
        <v>0</v>
      </c>
      <c r="S15" s="72">
        <v>0</v>
      </c>
      <c r="T15" s="70"/>
      <c r="U15" s="76">
        <f t="shared" si="0"/>
        <v>1.3127982030000001</v>
      </c>
      <c r="V15" s="52">
        <f>U15/N22</f>
        <v>1.0202225612954352</v>
      </c>
      <c r="W15" s="491"/>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Localgov!C35</f>
        <v>0</v>
      </c>
      <c r="S16" s="72">
        <v>0</v>
      </c>
      <c r="T16" s="105">
        <f>O22</f>
        <v>2035013.5064087831</v>
      </c>
      <c r="U16" s="70">
        <f t="shared" si="0"/>
        <v>2035013.5064087831</v>
      </c>
      <c r="V16" s="52">
        <f>U16/O22</f>
        <v>1</v>
      </c>
      <c r="W16" s="491"/>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Localgov!C36</f>
        <v>0</v>
      </c>
      <c r="S17" s="104">
        <f>NatParkPA!C47</f>
        <v>168934.60635537535</v>
      </c>
      <c r="T17" s="70"/>
      <c r="U17" s="70">
        <f t="shared" si="0"/>
        <v>380899.06657530862</v>
      </c>
      <c r="V17" s="52">
        <f>U17/P22</f>
        <v>1</v>
      </c>
      <c r="W17" s="491"/>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Localgov!C37</f>
        <v>0</v>
      </c>
      <c r="S18" s="72"/>
      <c r="T18" s="70"/>
      <c r="U18" s="70">
        <f t="shared" si="0"/>
        <v>29092.297842227636</v>
      </c>
      <c r="V18" s="52">
        <f>U18/Q22</f>
        <v>2.5639647164904877</v>
      </c>
      <c r="W18" s="491"/>
      <c r="X18" s="59"/>
      <c r="Y18" s="59"/>
      <c r="Z18" s="59"/>
      <c r="AA18" s="59"/>
      <c r="AB18" s="59"/>
      <c r="AC18" s="59"/>
      <c r="AD18" s="59"/>
      <c r="AE18" s="59"/>
      <c r="AF18" s="59"/>
    </row>
    <row r="19" spans="1:32" ht="14.25" customHeight="1" x14ac:dyDescent="0.2">
      <c r="A19" s="482" t="s">
        <v>573</v>
      </c>
      <c r="B19" s="70">
        <f>Ag!C41</f>
        <v>74860.568846686947</v>
      </c>
      <c r="C19" s="70">
        <f>Tourism!C42</f>
        <v>33429.474879728012</v>
      </c>
      <c r="D19" s="70">
        <f>Nonag!C41</f>
        <v>131419.40523625398</v>
      </c>
      <c r="E19" s="70">
        <f>Fishing!C43</f>
        <v>11554.333276441872</v>
      </c>
      <c r="F19" s="72"/>
      <c r="G19" s="72"/>
      <c r="H19" s="72"/>
      <c r="I19" s="72"/>
      <c r="J19" s="72"/>
      <c r="K19" s="71">
        <f>Households!C44</f>
        <v>0</v>
      </c>
      <c r="L19" s="71">
        <f>Households!D44</f>
        <v>0</v>
      </c>
      <c r="M19" s="72">
        <f>Restaurants!C42</f>
        <v>13148.048230261928</v>
      </c>
      <c r="N19" s="72">
        <f>Lodges!C42</f>
        <v>6.8902106784462458E-2</v>
      </c>
      <c r="O19" s="72">
        <v>0</v>
      </c>
      <c r="P19" s="72">
        <v>0</v>
      </c>
      <c r="Q19" s="72">
        <v>0</v>
      </c>
      <c r="R19" s="72">
        <f>Localgov!C38</f>
        <v>0</v>
      </c>
      <c r="S19" s="72">
        <v>0</v>
      </c>
      <c r="T19" s="70"/>
      <c r="U19" s="483">
        <f t="shared" si="0"/>
        <v>264411.89937147952</v>
      </c>
      <c r="V19" s="52"/>
      <c r="W19" s="491"/>
      <c r="X19" s="59"/>
      <c r="Y19" s="59"/>
      <c r="Z19" s="59"/>
      <c r="AA19" s="59"/>
      <c r="AB19" s="59"/>
      <c r="AC19" s="59"/>
      <c r="AD19" s="59"/>
      <c r="AE19" s="59"/>
      <c r="AF19" s="59"/>
    </row>
    <row r="20" spans="1:32" ht="14.25" customHeight="1" x14ac:dyDescent="0.2">
      <c r="A20" s="69" t="s">
        <v>57</v>
      </c>
      <c r="B20" s="70">
        <f>Ag!C42</f>
        <v>21834.332580283692</v>
      </c>
      <c r="C20" s="70">
        <f>Tourism!C43</f>
        <v>19180.846242466894</v>
      </c>
      <c r="D20" s="70">
        <f>Nonag!C42</f>
        <v>148561.06678880882</v>
      </c>
      <c r="E20" s="70">
        <f>Fishing!C44</f>
        <v>0</v>
      </c>
      <c r="F20" s="72"/>
      <c r="G20" s="72"/>
      <c r="H20" s="72"/>
      <c r="I20" s="72"/>
      <c r="J20" s="72"/>
      <c r="K20" s="71">
        <f>Households!C45</f>
        <v>0</v>
      </c>
      <c r="L20" s="71">
        <f>Households!D45</f>
        <v>0</v>
      </c>
      <c r="M20" s="72">
        <f>Restaurants!C43</f>
        <v>5394.0710688254067</v>
      </c>
      <c r="N20" s="72">
        <f>Lodges!C43</f>
        <v>2.1941415392277216E-2</v>
      </c>
      <c r="O20" s="72">
        <f>Tourists!C42</f>
        <v>0</v>
      </c>
      <c r="P20" s="72">
        <f>NatParkPA!C43</f>
        <v>0</v>
      </c>
      <c r="Q20" s="72">
        <f>ComRevSh!C41</f>
        <v>0</v>
      </c>
      <c r="R20" s="72">
        <f>Localgov!C39</f>
        <v>0</v>
      </c>
      <c r="S20" s="72">
        <v>0</v>
      </c>
      <c r="T20" s="70"/>
      <c r="U20" s="76">
        <f t="shared" si="0"/>
        <v>194970.33862180021</v>
      </c>
      <c r="V20" s="52">
        <f>U20/S22</f>
        <v>1</v>
      </c>
      <c r="W20" s="491"/>
      <c r="X20" s="59"/>
      <c r="Y20" s="59"/>
      <c r="Z20" s="59"/>
      <c r="AA20" s="59"/>
      <c r="AB20" s="59"/>
      <c r="AC20" s="59"/>
      <c r="AD20" s="59"/>
      <c r="AE20" s="59"/>
      <c r="AF20" s="59"/>
    </row>
    <row r="21" spans="1:32" ht="14.25" customHeight="1" x14ac:dyDescent="0.2">
      <c r="A21" s="78" t="s">
        <v>59</v>
      </c>
      <c r="B21" s="70">
        <f>Ag!C43</f>
        <v>262011.99096340433</v>
      </c>
      <c r="C21" s="70">
        <f>Tourism!C44</f>
        <v>339788.36957486771</v>
      </c>
      <c r="D21" s="70">
        <f>Nonag!C43</f>
        <v>1217057.9702313954</v>
      </c>
      <c r="E21" s="70">
        <f>Fishing!C45</f>
        <v>40440.166467546551</v>
      </c>
      <c r="F21" s="72">
        <v>0</v>
      </c>
      <c r="G21" s="72"/>
      <c r="H21" s="72"/>
      <c r="I21" s="72"/>
      <c r="J21" s="72">
        <v>0</v>
      </c>
      <c r="K21" s="71">
        <f>Households!C46</f>
        <v>87559.414559628087</v>
      </c>
      <c r="L21" s="71">
        <f>Households!D46</f>
        <v>129094.00864560489</v>
      </c>
      <c r="M21" s="72">
        <f>Restaurants!C44</f>
        <v>68774.406127523922</v>
      </c>
      <c r="N21" s="72">
        <f>Lodges!C44</f>
        <v>0.36285570364297726</v>
      </c>
      <c r="O21" s="72">
        <f>Tourists!C43</f>
        <v>0</v>
      </c>
      <c r="P21" s="72">
        <f>NatParkPA!C44</f>
        <v>18158.706794063371</v>
      </c>
      <c r="Q21" s="72">
        <f>ComRevSh!C42</f>
        <v>0.61</v>
      </c>
      <c r="R21" s="72">
        <f>Localgov!C40</f>
        <v>0</v>
      </c>
      <c r="S21" s="104">
        <f>IF(SUM(B20:P20)-SUM(S3:S17)&gt;0,SUM(B20:P20)-SUM(S3:S17),0)</f>
        <v>26035.732266424864</v>
      </c>
      <c r="T21" s="70"/>
      <c r="U21" s="70">
        <f t="shared" si="0"/>
        <v>2188921.7384861624</v>
      </c>
      <c r="V21" s="52">
        <f>U21/T22</f>
        <v>0.85656849397148804</v>
      </c>
      <c r="W21" s="491"/>
      <c r="X21" s="59"/>
      <c r="Y21" s="59"/>
      <c r="Z21" s="59"/>
      <c r="AA21" s="59"/>
      <c r="AB21" s="59"/>
      <c r="AC21" s="59"/>
      <c r="AD21" s="59"/>
      <c r="AE21" s="59"/>
      <c r="AF21" s="59"/>
    </row>
    <row r="22" spans="1:32" ht="14.25" customHeight="1" x14ac:dyDescent="0.2">
      <c r="A22" s="79" t="s">
        <v>181</v>
      </c>
      <c r="B22" s="70">
        <f t="shared" ref="B22:T22" si="1">SUM(B3:B21)</f>
        <v>4131377.9716714649</v>
      </c>
      <c r="C22" s="70">
        <f t="shared" si="1"/>
        <v>1085435.2124132421</v>
      </c>
      <c r="D22" s="70">
        <f t="shared" si="1"/>
        <v>5273275.7032059673</v>
      </c>
      <c r="E22" s="70">
        <f t="shared" si="1"/>
        <v>1168388.1861662585</v>
      </c>
      <c r="F22" s="70">
        <f t="shared" si="1"/>
        <v>1567860.6978102629</v>
      </c>
      <c r="G22" s="70">
        <f t="shared" si="1"/>
        <v>920560.85060074949</v>
      </c>
      <c r="H22" s="70">
        <f t="shared" si="1"/>
        <v>258171.60581871631</v>
      </c>
      <c r="I22" s="70">
        <f t="shared" si="1"/>
        <v>727780.65752738179</v>
      </c>
      <c r="J22" s="70">
        <f t="shared" si="1"/>
        <v>4375830.8405918665</v>
      </c>
      <c r="K22" s="70">
        <f t="shared" si="1"/>
        <v>3117115.1583227594</v>
      </c>
      <c r="L22" s="70">
        <f t="shared" si="1"/>
        <v>4466652.6991379289</v>
      </c>
      <c r="M22" s="70">
        <f t="shared" si="1"/>
        <v>431111.81816059828</v>
      </c>
      <c r="N22" s="70">
        <f t="shared" si="1"/>
        <v>1.2867762905900304</v>
      </c>
      <c r="O22" s="70">
        <f t="shared" si="1"/>
        <v>2035013.5064087831</v>
      </c>
      <c r="P22" s="70">
        <f t="shared" si="1"/>
        <v>380899.06657530862</v>
      </c>
      <c r="Q22" s="70">
        <f t="shared" si="1"/>
        <v>11346.606158468783</v>
      </c>
      <c r="R22" s="483">
        <f t="shared" si="1"/>
        <v>945676.63621148618</v>
      </c>
      <c r="S22" s="104">
        <f t="shared" si="1"/>
        <v>194970.33862180021</v>
      </c>
      <c r="T22" s="105">
        <f t="shared" si="1"/>
        <v>2555454.4136187006</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3278115.9716714649</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2128857.7550225891</v>
      </c>
      <c r="C27" s="106">
        <f>B25/B22</f>
        <v>0.79346794075711524</v>
      </c>
      <c r="D27" s="107">
        <f>B25/B27</f>
        <v>1.5398473495645466</v>
      </c>
      <c r="E27" s="59"/>
      <c r="F27" s="59">
        <f>SUM(K6:N6)+C6</f>
        <v>801538.10463922913</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2489892.1111375312</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315038.22722980758</v>
      </c>
      <c r="C3" s="80">
        <f>'SAM(LEWIE Input)'!C3</f>
        <v>4384.1934268495752</v>
      </c>
      <c r="D3" s="80">
        <f>'SAM(LEWIE Input)'!D3</f>
        <v>131419.40523625398</v>
      </c>
      <c r="E3" s="80">
        <f>'SAM(LEWIE Input)'!E3</f>
        <v>16368.638808292653</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32701.55585475402</v>
      </c>
      <c r="N3" s="80">
        <f>'SAM(LEWIE Input)'!N3</f>
        <v>4.3043414255200578E-2</v>
      </c>
      <c r="O3" s="80">
        <f>'SAM(LEWIE Input)'!O3</f>
        <v>0</v>
      </c>
      <c r="P3" s="80">
        <f>'SAM(LEWIE Input)'!P3</f>
        <v>0</v>
      </c>
      <c r="Q3" s="80">
        <f>'SAM(LEWIE Input)'!Q3</f>
        <v>0</v>
      </c>
      <c r="R3" s="80">
        <f>'SAM(LEWIE Input)'!S3</f>
        <v>0</v>
      </c>
      <c r="S3" s="80">
        <f>'SAM(LEWIE Input)'!T3</f>
        <v>0</v>
      </c>
      <c r="T3" s="80">
        <f>'SAM(LEWIE Input)'!U3</f>
        <v>2591684.026296943</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1085435.2124132421</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1687481.9894190682</v>
      </c>
      <c r="C5" s="80">
        <f>'SAM(LEWIE Input)'!C5</f>
        <v>322238.2168734438</v>
      </c>
      <c r="D5" s="80">
        <f>'SAM(LEWIE Input)'!D5</f>
        <v>1154205.2112053609</v>
      </c>
      <c r="E5" s="80">
        <f>'SAM(LEWIE Input)'!E5</f>
        <v>207977.99897595373</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114286.88077073829</v>
      </c>
      <c r="N5" s="80">
        <f>'SAM(LEWIE Input)'!N5</f>
        <v>0.28435234931861919</v>
      </c>
      <c r="O5" s="80">
        <f>'SAM(LEWIE Input)'!O5</f>
        <v>306500.70281680673</v>
      </c>
      <c r="P5" s="80">
        <f>'SAM(LEWIE Input)'!P5</f>
        <v>228909.66511716411</v>
      </c>
      <c r="Q5" s="80">
        <f>'SAM(LEWIE Input)'!Q5</f>
        <v>10182.304244779674</v>
      </c>
      <c r="R5" s="80">
        <f>'SAM(LEWIE Input)'!S5</f>
        <v>0</v>
      </c>
      <c r="S5" s="80">
        <f>'SAM(LEWIE Input)'!T5</f>
        <v>0</v>
      </c>
      <c r="T5" s="80">
        <f>'SAM(LEWIE Input)'!U5</f>
        <v>7037316.2863647351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4384.1934268495752</v>
      </c>
      <c r="D6" s="80">
        <f>'SAM(LEWIE Input)'!D6</f>
        <v>0</v>
      </c>
      <c r="E6" s="80">
        <f>'SAM(LEWIE Input)'!E6</f>
        <v>142503.44374278313</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24610.449251515915</v>
      </c>
      <c r="N6" s="80">
        <f>'SAM(LEWIE Input)'!N6</f>
        <v>1.1961685543292466E-2</v>
      </c>
      <c r="O6" s="80">
        <f>'SAM(LEWIE Input)'!O6</f>
        <v>0</v>
      </c>
      <c r="P6" s="80">
        <f>'SAM(LEWIE Input)'!P6</f>
        <v>0</v>
      </c>
      <c r="Q6" s="80">
        <f>'SAM(LEWIE Input)'!Q6</f>
        <v>0</v>
      </c>
      <c r="R6" s="80">
        <f>'SAM(LEWIE Input)'!S6</f>
        <v>0</v>
      </c>
      <c r="S6" s="80">
        <f>'SAM(LEWIE Input)'!T6</f>
        <v>0</v>
      </c>
      <c r="T6" s="80">
        <f>'SAM(LEWIE Input)'!U6</f>
        <v>944041.54838201229</v>
      </c>
      <c r="U6" s="1"/>
      <c r="V6" s="1"/>
      <c r="W6" s="1"/>
      <c r="X6" s="1"/>
      <c r="Y6" s="1"/>
      <c r="Z6" s="1"/>
      <c r="AA6" s="1"/>
      <c r="AB6" s="1"/>
      <c r="AC6" s="1"/>
      <c r="AD6" s="1"/>
      <c r="AE6" s="1"/>
      <c r="AF6" s="1"/>
      <c r="AG6" s="1"/>
    </row>
    <row r="7" spans="1:33" ht="15" customHeight="1" x14ac:dyDescent="0.2">
      <c r="A7" s="59" t="str">
        <f>'SAM(LEWIE Input)'!A7</f>
        <v>L-MUSK</v>
      </c>
      <c r="B7" s="80">
        <f>'SAM(LEWIE Input)'!B7</f>
        <v>661268.35814573464</v>
      </c>
      <c r="C7" s="80">
        <f>'SAM(LEWIE Input)'!C7</f>
        <v>33246.800153609278</v>
      </c>
      <c r="D7" s="80">
        <f>'SAM(LEWIE Input)'!D7</f>
        <v>537105.39531338564</v>
      </c>
      <c r="E7" s="80">
        <f>'SAM(LEWIE Input)'!E7</f>
        <v>317744.16510215151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18204.989857285746</v>
      </c>
      <c r="N7" s="80">
        <f>'SAM(LEWIE Input)'!N7</f>
        <v>6.6259673852170631E-2</v>
      </c>
      <c r="O7" s="80">
        <f>'SAM(LEWIE Input)'!O7</f>
        <v>0</v>
      </c>
      <c r="P7" s="80">
        <f>'SAM(LEWIE Input)'!P7</f>
        <v>0</v>
      </c>
      <c r="Q7" s="80">
        <f>'SAM(LEWIE Input)'!Q7</f>
        <v>290.92297842227634</v>
      </c>
      <c r="R7" s="80">
        <f>'SAM(LEWIE Input)'!S7</f>
        <v>0</v>
      </c>
      <c r="S7" s="80">
        <f>'SAM(LEWIE Input)'!T7</f>
        <v>0</v>
      </c>
      <c r="T7" s="80">
        <f>'SAM(LEWIE Input)'!U7</f>
        <v>1567860.6978102629</v>
      </c>
      <c r="U7" s="1"/>
      <c r="V7" s="1"/>
      <c r="W7" s="1"/>
      <c r="X7" s="1"/>
      <c r="Y7" s="1"/>
      <c r="Z7" s="1"/>
      <c r="AA7" s="1"/>
      <c r="AB7" s="1"/>
      <c r="AC7" s="1"/>
      <c r="AD7" s="1"/>
      <c r="AE7" s="1"/>
      <c r="AF7" s="1"/>
      <c r="AG7" s="1"/>
    </row>
    <row r="8" spans="1:33" ht="15" customHeight="1" x14ac:dyDescent="0.2">
      <c r="A8" s="59" t="str">
        <f>'SAM(LEWIE Input)'!A8</f>
        <v>L-FUSK</v>
      </c>
      <c r="B8" s="80">
        <f>'SAM(LEWIE Input)'!B8</f>
        <v>24953.52294889565</v>
      </c>
      <c r="C8" s="80">
        <f>'SAM(LEWIE Input)'!C8</f>
        <v>47057.009448185439</v>
      </c>
      <c r="D8" s="80">
        <f>'SAM(LEWIE Input)'!D8</f>
        <v>228555.48736739816</v>
      </c>
      <c r="E8" s="80">
        <f>'SAM(LEWIE Input)'!E8</f>
        <v>26960.110978364366</v>
      </c>
      <c r="F8" s="80">
        <f>'SAM(LEWIE Input)'!F8</f>
        <v>0</v>
      </c>
      <c r="G8" s="80">
        <f>'SAM(LEWIE Input)'!G8</f>
        <v>0</v>
      </c>
      <c r="H8" s="80">
        <f>'SAM(LEWIE Input)'!H8</f>
        <v>0</v>
      </c>
      <c r="I8" s="80">
        <f>'SAM(LEWIE Input)'!I8</f>
        <v>0</v>
      </c>
      <c r="J8" s="80">
        <f>'SAM(LEWIE Input)'!J8</f>
        <v>0</v>
      </c>
      <c r="K8" s="80">
        <f>'SAM(LEWIE Input)'!K8</f>
        <v>0</v>
      </c>
      <c r="L8" s="80">
        <f>'SAM(LEWIE Input)'!L8</f>
        <v>0</v>
      </c>
      <c r="M8" s="80">
        <f>'SAM(LEWIE Input)'!M8</f>
        <v>6405.4593942301699</v>
      </c>
      <c r="N8" s="80">
        <f>'SAM(LEWIE Input)'!N8</f>
        <v>7.6379830436403104E-2</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L-MSK</v>
      </c>
      <c r="B9" s="80">
        <f>'SAM(LEWIE Input)'!B9</f>
        <v>68622.188109463052</v>
      </c>
      <c r="C9" s="80">
        <f>'SAM(LEWIE Input)'!C9</f>
        <v>38873.181718066233</v>
      </c>
      <c r="D9" s="80">
        <f>'SAM(LEWIE Input)'!D9</f>
        <v>102849.96931532919</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47535.251294023888</v>
      </c>
      <c r="N9" s="80">
        <f>'SAM(LEWIE Input)'!N9</f>
        <v>9.2403411694771162E-2</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3119.1903686119563</v>
      </c>
      <c r="C10" s="80">
        <f>'SAM(LEWIE Input)'!C10</f>
        <v>11764.25236204636</v>
      </c>
      <c r="D10" s="80">
        <f>'SAM(LEWIE Input)'!D10</f>
        <v>634241.47744453012</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6068.3299524285831</v>
      </c>
      <c r="N10" s="80">
        <f>'SAM(LEWIE Input)'!N10</f>
        <v>3.3209612935195254E-2</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1012187.6030595088</v>
      </c>
      <c r="C11" s="80">
        <f>'SAM(LEWIE Input)'!C11</f>
        <v>231088.67430712929</v>
      </c>
      <c r="D11" s="80">
        <f>'SAM(LEWIE Input)'!D11</f>
        <v>987860.31506725133</v>
      </c>
      <c r="E11" s="80">
        <f>'SAM(LEWIE Input)'!E11</f>
        <v>404839.32881472481</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93982.376359010406</v>
      </c>
      <c r="N11" s="80">
        <f>'SAM(LEWIE Input)'!N11</f>
        <v>0.22546708673466112</v>
      </c>
      <c r="O11" s="80">
        <f>'SAM(LEWIE Input)'!O11</f>
        <v>0</v>
      </c>
      <c r="P11" s="80">
        <f>'SAM(LEWIE Input)'!P11</f>
        <v>0</v>
      </c>
      <c r="Q11" s="80">
        <f>'SAM(LEWIE Input)'!Q11</f>
        <v>0</v>
      </c>
      <c r="R11" s="80">
        <f>'SAM(LEWIE Input)'!S11</f>
        <v>0</v>
      </c>
      <c r="S11" s="80">
        <f>'SAM(LEWIE Input)'!T11</f>
        <v>0</v>
      </c>
      <c r="T11" s="80">
        <f>'SAM(LEWIE Input)'!U11</f>
        <v>4375830.8405918665</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475700.29825395381</v>
      </c>
      <c r="G12" s="80">
        <f>'SAM(LEWIE Input)'!G12</f>
        <v>389541.49514389742</v>
      </c>
      <c r="H12" s="80">
        <f>'SAM(LEWIE Input)'!H12</f>
        <v>100263.48403465221</v>
      </c>
      <c r="I12" s="80">
        <f>'SAM(LEWIE Input)'!I12</f>
        <v>253012.88661203219</v>
      </c>
      <c r="J12" s="80">
        <f>'SAM(LEWIE Input)'!J12</f>
        <v>2375269.5709453728</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3934442.4666091227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1092160.3995563092</v>
      </c>
      <c r="G13" s="80">
        <f>'SAM(LEWIE Input)'!G13</f>
        <v>531019.355456852</v>
      </c>
      <c r="H13" s="80">
        <f>'SAM(LEWIE Input)'!H13</f>
        <v>157908.1217840641</v>
      </c>
      <c r="I13" s="80">
        <f>'SAM(LEWIE Input)'!I13</f>
        <v>474767.77091534954</v>
      </c>
      <c r="J13" s="80">
        <f>'SAM(LEWIE Input)'!J13</f>
        <v>2000561.2696464937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4665867.4188868478</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431111.81816059822</v>
      </c>
      <c r="P14" s="80">
        <f>'SAM(LEWIE Input)'!P14</f>
        <v>0</v>
      </c>
      <c r="Q14" s="80">
        <f>'SAM(LEWIE Input)'!Q14</f>
        <v>0</v>
      </c>
      <c r="R14" s="80">
        <f>'SAM(LEWIE Input)'!S14</f>
        <v>0</v>
      </c>
      <c r="S14" s="80">
        <f>'SAM(LEWIE Input)'!T14</f>
        <v>0</v>
      </c>
      <c r="T14" s="80">
        <f>'SAM(LEWIE Input)'!U14</f>
        <v>444621.48439219088</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1.3127982030000001</v>
      </c>
      <c r="P15" s="80">
        <f>'SAM(LEWIE Input)'!P15</f>
        <v>0</v>
      </c>
      <c r="Q15" s="80">
        <f>'SAM(LEWIE Input)'!Q15</f>
        <v>0</v>
      </c>
      <c r="R15" s="80">
        <f>'SAM(LEWIE Input)'!S15</f>
        <v>0</v>
      </c>
      <c r="S15" s="80">
        <f>'SAM(LEWIE Input)'!T15</f>
        <v>0</v>
      </c>
      <c r="T15" s="80">
        <f>'SAM(LEWIE Input)'!U15</f>
        <v>1.3127982030000001</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2035013.5064087831</v>
      </c>
      <c r="T16" s="80">
        <f>'SAM(LEWIE Input)'!U16</f>
        <v>2035013.5064087831</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21834.332580283692</v>
      </c>
      <c r="C19" s="80">
        <f>'SAM(LEWIE Input)'!C20</f>
        <v>19180.846242466894</v>
      </c>
      <c r="D19" s="80">
        <f>'SAM(LEWIE Input)'!D20</f>
        <v>148561.06678880882</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5394.0710688254067</v>
      </c>
      <c r="N19" s="80">
        <f>'SAM(LEWIE Input)'!N20</f>
        <v>2.1941415392277216E-2</v>
      </c>
      <c r="O19" s="80">
        <f>'SAM(LEWIE Input)'!O20</f>
        <v>0</v>
      </c>
      <c r="P19" s="80">
        <f>'SAM(LEWIE Input)'!P20</f>
        <v>0</v>
      </c>
      <c r="Q19" s="80">
        <f>'SAM(LEWIE Input)'!Q20</f>
        <v>0</v>
      </c>
      <c r="R19" s="80">
        <f>'SAM(LEWIE Input)'!S20</f>
        <v>0</v>
      </c>
      <c r="S19" s="80">
        <f>'SAM(LEWIE Input)'!T20</f>
        <v>0</v>
      </c>
      <c r="T19" s="80">
        <f>'SAM(LEWIE Input)'!U20</f>
        <v>194970.33862180021</v>
      </c>
      <c r="U19" s="1"/>
      <c r="V19" s="1"/>
      <c r="W19" s="1"/>
      <c r="X19" s="1"/>
      <c r="Y19" s="1"/>
      <c r="Z19" s="1"/>
      <c r="AA19" s="1"/>
      <c r="AB19" s="1"/>
      <c r="AC19" s="1"/>
      <c r="AD19" s="1"/>
      <c r="AE19" s="1"/>
      <c r="AF19" s="1"/>
      <c r="AG19" s="1"/>
    </row>
    <row r="20" spans="1:33" ht="15" customHeight="1" x14ac:dyDescent="0.2">
      <c r="A20" s="59" t="str">
        <f>'SAM(LEWIE Input)'!A21</f>
        <v>ROW</v>
      </c>
      <c r="B20" s="80">
        <f>'SAM(LEWIE Input)'!B21</f>
        <v>262011.99096340433</v>
      </c>
      <c r="C20" s="80">
        <f>'SAM(LEWIE Input)'!C21</f>
        <v>339788.36957486771</v>
      </c>
      <c r="D20" s="80">
        <f>'SAM(LEWIE Input)'!D21</f>
        <v>1217057.9702313954</v>
      </c>
      <c r="E20" s="80">
        <f>'SAM(LEWIE Input)'!E21</f>
        <v>40440.166467546551</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68774.406127523922</v>
      </c>
      <c r="N20" s="80">
        <f>'SAM(LEWIE Input)'!N21</f>
        <v>0.36285570364297726</v>
      </c>
      <c r="O20" s="80">
        <f>'SAM(LEWIE Input)'!O21</f>
        <v>0</v>
      </c>
      <c r="P20" s="80">
        <f>'SAM(LEWIE Input)'!P21</f>
        <v>18158.706794063371</v>
      </c>
      <c r="Q20" s="80">
        <f>'SAM(LEWIE Input)'!Q21</f>
        <v>0.61</v>
      </c>
      <c r="R20" s="80">
        <f>'SAM(LEWIE Input)'!S21</f>
        <v>26035.732266424864</v>
      </c>
      <c r="S20" s="80">
        <f>'SAM(LEWIE Input)'!T21</f>
        <v>0</v>
      </c>
      <c r="T20" s="80">
        <f>'SAM(LEWIE Input)'!U21</f>
        <v>2188921.7384861624</v>
      </c>
      <c r="U20" s="1"/>
      <c r="V20" s="1"/>
      <c r="W20" s="1"/>
      <c r="X20" s="1"/>
      <c r="Y20" s="1"/>
      <c r="Z20" s="1"/>
      <c r="AA20" s="1"/>
      <c r="AB20" s="1"/>
      <c r="AC20" s="1"/>
      <c r="AD20" s="1"/>
      <c r="AE20" s="1"/>
      <c r="AF20" s="1"/>
      <c r="AG20" s="1"/>
    </row>
    <row r="21" spans="1:33" ht="15" customHeight="1" x14ac:dyDescent="0.2">
      <c r="A21" s="59" t="str">
        <f>'SAM(LEWIE Input)'!A22</f>
        <v>Total</v>
      </c>
      <c r="B21" s="80">
        <f>'SAM(LEWIE Input)'!B22</f>
        <v>4131377.9716714649</v>
      </c>
      <c r="C21" s="80">
        <f>'SAM(LEWIE Input)'!C22</f>
        <v>1085435.2124132421</v>
      </c>
      <c r="D21" s="80">
        <f>'SAM(LEWIE Input)'!D22</f>
        <v>5273275.7032059673</v>
      </c>
      <c r="E21" s="80">
        <f>'SAM(LEWIE Input)'!E22</f>
        <v>1168388.1861662585</v>
      </c>
      <c r="F21" s="80">
        <f>'SAM(LEWIE Input)'!F22</f>
        <v>1567860.6978102629</v>
      </c>
      <c r="G21" s="80">
        <f>'SAM(LEWIE Input)'!G22</f>
        <v>920560.85060074949</v>
      </c>
      <c r="H21" s="80">
        <f>'SAM(LEWIE Input)'!H22</f>
        <v>258171.60581871631</v>
      </c>
      <c r="I21" s="80">
        <f>'SAM(LEWIE Input)'!I22</f>
        <v>727780.65752738179</v>
      </c>
      <c r="J21" s="80">
        <f>'SAM(LEWIE Input)'!J22</f>
        <v>4375830.8405918665</v>
      </c>
      <c r="K21" s="80">
        <f>'SAM(LEWIE Input)'!K22</f>
        <v>3117115.1583227594</v>
      </c>
      <c r="L21" s="80">
        <f>'SAM(LEWIE Input)'!L22</f>
        <v>4466652.6991379289</v>
      </c>
      <c r="M21" s="80">
        <f>'SAM(LEWIE Input)'!M22</f>
        <v>431111.81816059828</v>
      </c>
      <c r="N21" s="80">
        <f>'SAM(LEWIE Input)'!N22</f>
        <v>1.2867762905900304</v>
      </c>
      <c r="O21" s="80">
        <f>'SAM(LEWIE Input)'!O22</f>
        <v>2035013.5064087831</v>
      </c>
      <c r="P21" s="80">
        <f>'SAM(LEWIE Input)'!P22</f>
        <v>380899.06657530862</v>
      </c>
      <c r="Q21" s="80">
        <f>'SAM(LEWIE Input)'!Q22</f>
        <v>11346.606158468783</v>
      </c>
      <c r="R21" s="80">
        <f>'SAM(LEWIE Input)'!S22</f>
        <v>194970.33862180021</v>
      </c>
      <c r="S21" s="80">
        <f>'SAM(LEWIE Input)'!T22</f>
        <v>2555454.4136187006</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7.6255000000000003E-2</v>
      </c>
      <c r="C24" s="81">
        <f t="shared" si="2"/>
        <v>4.0391111111111114E-3</v>
      </c>
      <c r="D24" s="81">
        <f t="shared" si="2"/>
        <v>2.4921777777777782E-2</v>
      </c>
      <c r="E24" s="81">
        <f t="shared" si="2"/>
        <v>1.4009589451603235E-2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3.345058078080046E-2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0.53337985669133214</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0.40845500000000001</v>
      </c>
      <c r="C26" s="81">
        <f t="shared" si="4"/>
        <v>0.29687466666666668</v>
      </c>
      <c r="D26" s="81">
        <f t="shared" si="4"/>
        <v>0.21887822222222222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0.265098</v>
      </c>
      <c r="N26" s="81">
        <f t="shared" si="4"/>
        <v>0.22098040770415037</v>
      </c>
      <c r="O26" s="81">
        <f t="shared" si="4"/>
        <v>0.15061359634791457</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4.0391111111111114E-3</v>
      </c>
      <c r="D27" s="81">
        <f t="shared" si="5"/>
        <v>0</v>
      </c>
      <c r="E27" s="81">
        <f t="shared" si="5"/>
        <v>0.12196583757866349</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5.7086000000000005E-2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0.16006000000000001</v>
      </c>
      <c r="C28" s="81">
        <f t="shared" si="6"/>
        <v>3.0629925925925925E-2</v>
      </c>
      <c r="D28" s="81">
        <f t="shared" si="6"/>
        <v>0.10185422222222221</v>
      </c>
      <c r="E28" s="81">
        <f t="shared" si="6"/>
        <v>0.27195085406053343</v>
      </c>
      <c r="F28" s="81">
        <f t="shared" si="6"/>
        <v>0</v>
      </c>
      <c r="G28" s="81">
        <f t="shared" si="6"/>
        <v>0</v>
      </c>
      <c r="H28" s="81">
        <f t="shared" si="6"/>
        <v>0</v>
      </c>
      <c r="I28" s="81">
        <f t="shared" si="6"/>
        <v>0</v>
      </c>
      <c r="J28" s="81">
        <f t="shared" si="6"/>
        <v>0</v>
      </c>
      <c r="K28" s="81">
        <f t="shared" si="6"/>
        <v>0</v>
      </c>
      <c r="L28" s="81">
        <f t="shared" si="6"/>
        <v>0</v>
      </c>
      <c r="M28" s="81">
        <f t="shared" si="6"/>
        <v>4.2228000000000002E-2</v>
      </c>
      <c r="N28" s="81">
        <f t="shared" si="6"/>
        <v>5.1492768662832859E-2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6.0400000000000002E-3</v>
      </c>
      <c r="C29" s="81">
        <f t="shared" si="7"/>
        <v>4.3353125925925926E-2</v>
      </c>
      <c r="D29" s="81">
        <f t="shared" si="7"/>
        <v>4.3342222222222219E-2</v>
      </c>
      <c r="E29" s="81">
        <f t="shared" si="7"/>
        <v>2.3074617920287678E-2</v>
      </c>
      <c r="F29" s="81">
        <f t="shared" si="7"/>
        <v>0</v>
      </c>
      <c r="G29" s="81">
        <f t="shared" si="7"/>
        <v>0</v>
      </c>
      <c r="H29" s="81">
        <f t="shared" si="7"/>
        <v>0</v>
      </c>
      <c r="I29" s="81">
        <f t="shared" si="7"/>
        <v>0</v>
      </c>
      <c r="J29" s="81">
        <f t="shared" si="7"/>
        <v>0</v>
      </c>
      <c r="K29" s="81">
        <f t="shared" si="7"/>
        <v>0</v>
      </c>
      <c r="L29" s="81">
        <f t="shared" si="7"/>
        <v>0</v>
      </c>
      <c r="M29" s="81">
        <f t="shared" si="7"/>
        <v>1.4858000000000001E-2</v>
      </c>
      <c r="N29" s="81">
        <f t="shared" si="7"/>
        <v>5.9357505259426541E-2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1.6610000000000003E-2</v>
      </c>
      <c r="C30" s="81">
        <f t="shared" si="8"/>
        <v>3.5813451851851849E-2</v>
      </c>
      <c r="D30" s="81">
        <f t="shared" si="8"/>
        <v>1.9504000000000001E-2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7.5500000000000003E-4</v>
      </c>
      <c r="C31" s="81">
        <f t="shared" si="9"/>
        <v>1.0838281481481481E-2</v>
      </c>
      <c r="D31" s="81">
        <f t="shared" si="9"/>
        <v>0.1202746666666667</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1.4076000000000003E-2</v>
      </c>
      <c r="N31" s="81">
        <f t="shared" si="9"/>
        <v>2.5808381128912102E-2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v>
      </c>
      <c r="C32" s="81">
        <f t="shared" si="10"/>
        <v>0.21289955555555556</v>
      </c>
      <c r="D32" s="81">
        <f t="shared" si="10"/>
        <v>0.18733333333333335</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0.21799999999999994</v>
      </c>
      <c r="N32" s="81">
        <f t="shared" si="10"/>
        <v>0.17521855848873066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0.30340724716062845</v>
      </c>
      <c r="G33" s="81">
        <f t="shared" si="11"/>
        <v>0.42315670375259412</v>
      </c>
      <c r="H33" s="81">
        <f t="shared" si="11"/>
        <v>0.38835984196130197</v>
      </c>
      <c r="I33" s="81">
        <f t="shared" si="11"/>
        <v>0.3476499189627239</v>
      </c>
      <c r="J33" s="81">
        <f t="shared" si="11"/>
        <v>0.54281567489114779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0.12801835307418433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0.69659275283937161</v>
      </c>
      <c r="G34" s="81">
        <f t="shared" si="12"/>
        <v>0.57684329624740582</v>
      </c>
      <c r="H34" s="81">
        <f t="shared" si="12"/>
        <v>0.61164015803869809</v>
      </c>
      <c r="I34" s="81">
        <f t="shared" si="12"/>
        <v>0.65235008103727599</v>
      </c>
      <c r="J34" s="81">
        <f t="shared" si="12"/>
        <v>0.45718432510885215</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7.5640496966868517E-2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0.21184715325127609</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6.451054004632694E-7</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0.79634114995894723</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0.1041587486040768</v>
      </c>
      <c r="P38" s="81">
        <f t="shared" si="16"/>
        <v>0</v>
      </c>
      <c r="Q38" s="81">
        <f t="shared" si="16"/>
        <v>0</v>
      </c>
      <c r="R38" s="81">
        <f t="shared" si="16"/>
        <v>0.86646311202788395</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5.2849999999999998E-3</v>
      </c>
      <c r="C40" s="81">
        <f t="shared" si="18"/>
        <v>1.7671111111111113E-2</v>
      </c>
      <c r="D40" s="81">
        <f t="shared" si="18"/>
        <v>2.8172444444444444E-2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1.2512000000000002E-2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6.3420000000000004E-2</v>
      </c>
      <c r="C41" s="81">
        <f t="shared" si="19"/>
        <v>0.31304343703703708</v>
      </c>
      <c r="D41" s="81">
        <f t="shared" si="19"/>
        <v>0.23079733333333335</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0.159528</v>
      </c>
      <c r="N41" s="81">
        <f t="shared" si="19"/>
        <v>0.28198817952776833</v>
      </c>
      <c r="O41" s="81">
        <f t="shared" si="19"/>
        <v>0</v>
      </c>
      <c r="P41" s="81">
        <f t="shared" si="19"/>
        <v>4.7673277220996187E-2</v>
      </c>
      <c r="Q41" s="81">
        <f t="shared" si="19"/>
        <v>5.3760568709324012E-5</v>
      </c>
      <c r="R41" s="81">
        <f t="shared" si="19"/>
        <v>0.13353688797211605</v>
      </c>
      <c r="S41" s="81">
        <f t="shared" si="19"/>
        <v>0</v>
      </c>
      <c r="T41" s="1"/>
      <c r="U41" s="1"/>
      <c r="V41" s="1"/>
      <c r="W41" s="1"/>
      <c r="X41" s="1"/>
      <c r="Y41" s="1"/>
      <c r="Z41" s="1"/>
      <c r="AA41" s="1"/>
      <c r="AB41" s="1"/>
      <c r="AC41" s="1"/>
      <c r="AD41" s="1"/>
      <c r="AE41" s="1"/>
      <c r="AF41" s="1"/>
      <c r="AG41" s="1"/>
    </row>
    <row r="42" spans="1:33" x14ac:dyDescent="0.2">
      <c r="A42" s="59" t="s">
        <v>336</v>
      </c>
      <c r="B42" s="81">
        <f t="shared" ref="B42:S42" si="20">SUM(B24:B41)</f>
        <v>0.98188000000000009</v>
      </c>
      <c r="C42" s="81">
        <f t="shared" si="20"/>
        <v>0.96920177777777783</v>
      </c>
      <c r="D42" s="81">
        <f t="shared" si="20"/>
        <v>0.97507822222222229</v>
      </c>
      <c r="E42" s="81">
        <f t="shared" si="20"/>
        <v>0.99011087803416253</v>
      </c>
      <c r="F42" s="81">
        <f t="shared" si="20"/>
        <v>1</v>
      </c>
      <c r="G42" s="81">
        <f t="shared" si="20"/>
        <v>1</v>
      </c>
      <c r="H42" s="81">
        <f t="shared" si="20"/>
        <v>1</v>
      </c>
      <c r="I42" s="81">
        <f t="shared" si="20"/>
        <v>0.99999999999999989</v>
      </c>
      <c r="J42" s="81">
        <f t="shared" si="20"/>
        <v>1</v>
      </c>
      <c r="K42" s="81">
        <f t="shared" si="20"/>
        <v>1</v>
      </c>
      <c r="L42" s="81">
        <f t="shared" si="20"/>
        <v>1</v>
      </c>
      <c r="M42" s="81">
        <f t="shared" si="20"/>
        <v>0.96950199999999986</v>
      </c>
      <c r="N42" s="81">
        <f t="shared" si="20"/>
        <v>0.9464537019462268</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-4.0391111111111114E-3</v>
      </c>
      <c r="D63" s="81">
        <f t="shared" si="25"/>
        <v>-2.4921777777777782E-2</v>
      </c>
      <c r="E63" s="81">
        <f t="shared" si="25"/>
        <v>-1.4009589451603235E-2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-3.345058078080046E-2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-0.53337985669133214</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-0.40845500000000001</v>
      </c>
      <c r="C65" s="81">
        <f t="shared" si="27"/>
        <v>-0.29687466666666668</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-0.265098</v>
      </c>
      <c r="N65" s="81">
        <f t="shared" si="27"/>
        <v>-0.22098040770415037</v>
      </c>
      <c r="O65" s="81">
        <f t="shared" si="27"/>
        <v>-0.15061359634791457</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-4.0391111111111114E-3</v>
      </c>
      <c r="D66" s="81">
        <f t="shared" si="28"/>
        <v>0</v>
      </c>
      <c r="E66" s="81">
        <f t="shared" si="28"/>
        <v>0.87803416242133647</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-5.7086000000000005E-2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-0.16006000000000001</v>
      </c>
      <c r="C67" s="81">
        <f t="shared" si="29"/>
        <v>-3.0629925925925925E-2</v>
      </c>
      <c r="D67" s="81">
        <f t="shared" si="29"/>
        <v>-0.10185422222222221</v>
      </c>
      <c r="E67" s="81">
        <f t="shared" si="29"/>
        <v>-0.27195085406053343</v>
      </c>
      <c r="F67" s="81">
        <f t="shared" si="29"/>
        <v>1</v>
      </c>
      <c r="G67" s="81">
        <f t="shared" si="29"/>
        <v>0</v>
      </c>
      <c r="H67" s="81">
        <f t="shared" si="29"/>
        <v>0</v>
      </c>
      <c r="I67" s="81">
        <f t="shared" si="29"/>
        <v>0</v>
      </c>
      <c r="J67" s="81">
        <f t="shared" si="29"/>
        <v>0</v>
      </c>
      <c r="K67" s="81">
        <f t="shared" si="29"/>
        <v>0</v>
      </c>
      <c r="L67" s="81">
        <f t="shared" si="29"/>
        <v>0</v>
      </c>
      <c r="M67" s="81">
        <f t="shared" si="29"/>
        <v>-4.2228000000000002E-2</v>
      </c>
      <c r="N67" s="81">
        <f t="shared" si="29"/>
        <v>-5.1492768662832859E-2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-6.0400000000000002E-3</v>
      </c>
      <c r="C68" s="81">
        <f t="shared" si="30"/>
        <v>-4.3353125925925926E-2</v>
      </c>
      <c r="D68" s="81">
        <f t="shared" si="30"/>
        <v>-4.3342222222222219E-2</v>
      </c>
      <c r="E68" s="81">
        <f t="shared" si="30"/>
        <v>-2.3074617920287678E-2</v>
      </c>
      <c r="F68" s="81">
        <f t="shared" si="30"/>
        <v>0</v>
      </c>
      <c r="G68" s="81">
        <f t="shared" si="30"/>
        <v>1</v>
      </c>
      <c r="H68" s="81">
        <f t="shared" si="30"/>
        <v>0</v>
      </c>
      <c r="I68" s="81">
        <f t="shared" si="30"/>
        <v>0</v>
      </c>
      <c r="J68" s="81">
        <f t="shared" si="30"/>
        <v>0</v>
      </c>
      <c r="K68" s="81">
        <f t="shared" si="30"/>
        <v>0</v>
      </c>
      <c r="L68" s="81">
        <f t="shared" si="30"/>
        <v>0</v>
      </c>
      <c r="M68" s="81">
        <f t="shared" si="30"/>
        <v>-1.4858000000000001E-2</v>
      </c>
      <c r="N68" s="81">
        <f t="shared" si="30"/>
        <v>-5.9357505259426541E-2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-1.6610000000000003E-2</v>
      </c>
      <c r="C69" s="81">
        <f t="shared" si="31"/>
        <v>-3.5813451851851849E-2</v>
      </c>
      <c r="D69" s="81">
        <f t="shared" si="31"/>
        <v>-1.9504000000000001E-2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-7.5500000000000003E-4</v>
      </c>
      <c r="C70" s="81">
        <f t="shared" si="32"/>
        <v>-1.0838281481481481E-2</v>
      </c>
      <c r="D70" s="81">
        <f t="shared" si="32"/>
        <v>-0.1202746666666667</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-1.4076000000000003E-2</v>
      </c>
      <c r="N70" s="81">
        <f t="shared" si="32"/>
        <v>-2.5808381128912102E-2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v>
      </c>
      <c r="C71" s="81">
        <f t="shared" si="33"/>
        <v>-0.21289955555555556</v>
      </c>
      <c r="D71" s="81">
        <f t="shared" si="33"/>
        <v>-0.18733333333333335</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-0.21799999999999994</v>
      </c>
      <c r="N71" s="81">
        <f t="shared" si="33"/>
        <v>-0.17521855848873066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-0.30340724716062845</v>
      </c>
      <c r="G72" s="81">
        <f t="shared" si="34"/>
        <v>-0.42315670375259412</v>
      </c>
      <c r="H72" s="81">
        <f t="shared" si="34"/>
        <v>-0.38835984196130197</v>
      </c>
      <c r="I72" s="81">
        <f t="shared" si="34"/>
        <v>-0.3476499189627239</v>
      </c>
      <c r="J72" s="81">
        <f t="shared" si="34"/>
        <v>-0.54281567489114779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-0.69659275283937161</v>
      </c>
      <c r="G73" s="81">
        <f t="shared" si="35"/>
        <v>-0.57684329624740582</v>
      </c>
      <c r="H73" s="81">
        <f t="shared" si="35"/>
        <v>-0.61164015803869809</v>
      </c>
      <c r="I73" s="81">
        <f t="shared" si="35"/>
        <v>-0.65235008103727599</v>
      </c>
      <c r="J73" s="81">
        <f t="shared" si="35"/>
        <v>-0.45718432510885215</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-0.21184715325127609</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-6.451054004632694E-7</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-0.1041587486040768</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2.0193086405599909</v>
      </c>
      <c r="C81" s="81">
        <v>0.67022300078305586</v>
      </c>
      <c r="D81" s="81">
        <v>0.81473366915192291</v>
      </c>
      <c r="E81" s="81">
        <v>1.1049199885867351</v>
      </c>
      <c r="F81" s="81">
        <v>1.2293759162047055</v>
      </c>
      <c r="G81" s="81">
        <v>1.2407944438320841</v>
      </c>
      <c r="H81" s="81">
        <v>1.2374764419052462</v>
      </c>
      <c r="I81" s="81">
        <v>1.2335946090043115</v>
      </c>
      <c r="J81" s="81">
        <v>1.2522043433564292</v>
      </c>
      <c r="K81" s="81">
        <v>1.2957984605710717</v>
      </c>
      <c r="L81" s="81">
        <v>1.2004449787904727</v>
      </c>
      <c r="M81" s="81">
        <v>0.92937342835568848</v>
      </c>
      <c r="N81" s="81">
        <v>0.73492254245231525</v>
      </c>
      <c r="O81" s="81">
        <v>0.77035157604271343</v>
      </c>
      <c r="P81" s="81">
        <v>0.89548474804185774</v>
      </c>
      <c r="Q81" s="1">
        <v>0.85782361969810894</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0.53337985669133214</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2.5662942047151738</v>
      </c>
      <c r="C83" s="81">
        <v>1.8029343677628518</v>
      </c>
      <c r="D83" s="81">
        <v>2.9864558024006729</v>
      </c>
      <c r="E83" s="81">
        <v>2.6089033226274472</v>
      </c>
      <c r="F83" s="81">
        <v>2.6901245490081456</v>
      </c>
      <c r="G83" s="81">
        <v>2.6864712384640459</v>
      </c>
      <c r="H83" s="81">
        <v>2.6875328194156554</v>
      </c>
      <c r="I83" s="81">
        <v>2.6887747957483494</v>
      </c>
      <c r="J83" s="81">
        <v>2.6828206884457173</v>
      </c>
      <c r="K83" s="81">
        <v>2.6688729314950694</v>
      </c>
      <c r="L83" s="81">
        <v>2.6993808824125201</v>
      </c>
      <c r="M83" s="81">
        <v>2.2078480129419331</v>
      </c>
      <c r="N83" s="81">
        <v>1.8004930738596201</v>
      </c>
      <c r="O83" s="81">
        <v>2.166605178155903</v>
      </c>
      <c r="P83" s="81">
        <v>2.7595183382293671</v>
      </c>
      <c r="Q83" s="1">
        <v>2.9557092058916625</v>
      </c>
      <c r="R83" s="1"/>
      <c r="S83" s="1"/>
      <c r="T83" s="1"/>
      <c r="U83" s="1"/>
      <c r="V83" s="1"/>
      <c r="W83" s="1"/>
      <c r="X83" s="1"/>
      <c r="Y83" s="1"/>
      <c r="Z83" s="1"/>
      <c r="AA83" s="1"/>
      <c r="AB83" s="1"/>
      <c r="AC83" s="1"/>
      <c r="AD83" s="1"/>
      <c r="AE83" s="1"/>
      <c r="AF83" s="1"/>
      <c r="AG83" s="1"/>
    </row>
    <row r="84" spans="1:33" x14ac:dyDescent="0.2">
      <c r="A84" s="59" t="str">
        <f t="shared" si="42"/>
        <v>NatRes</v>
      </c>
      <c r="B84" s="81">
        <v>0.33538429665960878</v>
      </c>
      <c r="C84" s="81">
        <v>0.24321396399412998</v>
      </c>
      <c r="D84" s="81">
        <v>0.28380897572356495</v>
      </c>
      <c r="E84" s="81">
        <v>1.5321766084783175</v>
      </c>
      <c r="F84" s="81">
        <v>0.44692091532942602</v>
      </c>
      <c r="G84" s="81">
        <v>0.45163901034929405</v>
      </c>
      <c r="H84" s="81">
        <v>0.45026802374946384</v>
      </c>
      <c r="I84" s="81">
        <v>0.44866406419569915</v>
      </c>
      <c r="J84" s="81">
        <v>0.45635354026766384</v>
      </c>
      <c r="K84" s="81">
        <v>0.47436647451259928</v>
      </c>
      <c r="L84" s="81">
        <v>0.43496675484669284</v>
      </c>
      <c r="M84" s="81">
        <v>0.36917421496571046</v>
      </c>
      <c r="N84" s="81">
        <v>0.26187392580599655</v>
      </c>
      <c r="O84" s="81">
        <v>0.2837364924366953</v>
      </c>
      <c r="P84" s="81">
        <v>0.31737033786515068</v>
      </c>
      <c r="Q84" s="1">
        <v>0.30077373100353494</v>
      </c>
      <c r="R84" s="1"/>
      <c r="S84" s="1"/>
      <c r="T84" s="1"/>
      <c r="U84" s="1"/>
      <c r="V84" s="1"/>
      <c r="W84" s="1"/>
      <c r="X84" s="1"/>
      <c r="Y84" s="1"/>
      <c r="Z84" s="1"/>
      <c r="AA84" s="1"/>
      <c r="AB84" s="1"/>
      <c r="AC84" s="1"/>
      <c r="AD84" s="1"/>
      <c r="AE84" s="1"/>
      <c r="AF84" s="1"/>
      <c r="AG84" s="1"/>
    </row>
    <row r="85" spans="1:33" x14ac:dyDescent="0.2">
      <c r="A85" s="59" t="str">
        <f t="shared" si="42"/>
        <v>L-MUSK</v>
      </c>
      <c r="B85" s="81">
        <v>0.67580648713776448</v>
      </c>
      <c r="C85" s="81">
        <v>0.38768454240511252</v>
      </c>
      <c r="D85" s="81">
        <v>0.5117714973770886</v>
      </c>
      <c r="E85" s="81">
        <v>0.85925804939963268</v>
      </c>
      <c r="F85" s="81">
        <v>1.5923149773892089</v>
      </c>
      <c r="G85" s="81">
        <v>0.59505361178743343</v>
      </c>
      <c r="H85" s="81">
        <v>0.59425781792444643</v>
      </c>
      <c r="I85" s="81">
        <v>0.59332679411318301</v>
      </c>
      <c r="J85" s="81">
        <v>0.59779017681029445</v>
      </c>
      <c r="K85" s="81">
        <v>0.60824584612776378</v>
      </c>
      <c r="L85" s="81">
        <v>0.58537614403336291</v>
      </c>
      <c r="M85" s="81">
        <v>0.51625939614274274</v>
      </c>
      <c r="N85" s="81">
        <v>0.42372913024134562</v>
      </c>
      <c r="O85" s="81">
        <v>0.44663001481560294</v>
      </c>
      <c r="P85" s="81">
        <v>0.51266732148215899</v>
      </c>
      <c r="Q85" s="1">
        <v>0.54579003104032597</v>
      </c>
      <c r="R85" s="1"/>
      <c r="S85" s="1"/>
      <c r="T85" s="1"/>
      <c r="U85" s="1"/>
      <c r="V85" s="1"/>
      <c r="W85" s="1"/>
      <c r="X85" s="1"/>
      <c r="Y85" s="1"/>
      <c r="Z85" s="1"/>
      <c r="AA85" s="1"/>
      <c r="AB85" s="1"/>
      <c r="AC85" s="1"/>
      <c r="AD85" s="1"/>
      <c r="AE85" s="1"/>
      <c r="AF85" s="1"/>
      <c r="AG85" s="1"/>
    </row>
    <row r="86" spans="1:33" x14ac:dyDescent="0.2">
      <c r="A86" s="59" t="str">
        <f t="shared" si="42"/>
        <v>L-FUSK</v>
      </c>
      <c r="B86" s="81">
        <v>0.13116438239923334</v>
      </c>
      <c r="C86" s="81">
        <v>0.13115652416235798</v>
      </c>
      <c r="D86" s="81">
        <v>0.14090940608334201</v>
      </c>
      <c r="E86" s="81">
        <v>0.15510377412371601</v>
      </c>
      <c r="F86" s="81">
        <v>0.13433393590425452</v>
      </c>
      <c r="G86" s="81">
        <v>1.13435342945357</v>
      </c>
      <c r="H86" s="81">
        <v>0.13434776500747836</v>
      </c>
      <c r="I86" s="81">
        <v>0.13434113799710035</v>
      </c>
      <c r="J86" s="81">
        <v>0.1343729082731093</v>
      </c>
      <c r="K86" s="81">
        <v>0.13444733153515434</v>
      </c>
      <c r="L86" s="81">
        <v>0.13428454541595108</v>
      </c>
      <c r="M86" s="81">
        <v>0.12468300867344531</v>
      </c>
      <c r="N86" s="81">
        <v>0.14787644911389325</v>
      </c>
      <c r="O86" s="81">
        <v>0.14784082259182779</v>
      </c>
      <c r="P86" s="81">
        <v>0.29040159068464266</v>
      </c>
      <c r="Q86" s="1">
        <v>0.16586814597727179</v>
      </c>
      <c r="R86" s="1"/>
      <c r="S86" s="1"/>
      <c r="T86" s="1"/>
      <c r="U86" s="1"/>
      <c r="V86" s="1"/>
      <c r="W86" s="1"/>
      <c r="X86" s="1"/>
      <c r="Y86" s="1"/>
      <c r="Z86" s="1"/>
      <c r="AA86" s="1"/>
      <c r="AB86" s="1"/>
      <c r="AC86" s="1"/>
      <c r="AD86" s="1"/>
      <c r="AE86" s="1"/>
      <c r="AF86" s="1"/>
      <c r="AG86" s="1"/>
    </row>
    <row r="87" spans="1:33" x14ac:dyDescent="0.2">
      <c r="A87" s="59" t="str">
        <f t="shared" si="42"/>
        <v>L-MSK</v>
      </c>
      <c r="B87" s="81">
        <v>8.3593718688466212E-2</v>
      </c>
      <c r="C87" s="81">
        <v>8.2110287803705079E-2</v>
      </c>
      <c r="D87" s="81">
        <v>7.1780560214636177E-2</v>
      </c>
      <c r="E87" s="81">
        <v>6.9236771414951423E-2</v>
      </c>
      <c r="F87" s="81">
        <v>7.288812317201504E-2</v>
      </c>
      <c r="G87" s="81">
        <v>7.3006530747053669E-2</v>
      </c>
      <c r="H87" s="81">
        <v>1.072972123809929</v>
      </c>
      <c r="I87" s="81">
        <v>7.2931870071837435E-2</v>
      </c>
      <c r="J87" s="81">
        <v>7.3124848850595586E-2</v>
      </c>
      <c r="K87" s="81">
        <v>7.3576910085965341E-2</v>
      </c>
      <c r="L87" s="81">
        <v>7.2588115828283561E-2</v>
      </c>
      <c r="M87" s="81">
        <v>0.16876076028940745</v>
      </c>
      <c r="N87" s="81">
        <v>0.11913388521339083</v>
      </c>
      <c r="O87" s="81">
        <v>9.7717892543602775E-2</v>
      </c>
      <c r="P87" s="81">
        <v>7.0653951560160938E-2</v>
      </c>
      <c r="Q87" s="1">
        <v>9.753624983980147E-2</v>
      </c>
      <c r="R87" s="1"/>
      <c r="S87" s="1"/>
      <c r="T87" s="1"/>
      <c r="U87" s="1"/>
      <c r="V87" s="1"/>
      <c r="W87" s="1"/>
      <c r="X87" s="1"/>
      <c r="Y87" s="1"/>
      <c r="Z87" s="1"/>
      <c r="AA87" s="1"/>
      <c r="AB87" s="1"/>
      <c r="AC87" s="1"/>
      <c r="AD87" s="1"/>
      <c r="AE87" s="1"/>
      <c r="AF87" s="1"/>
      <c r="AG87" s="1"/>
    </row>
    <row r="88" spans="1:33" x14ac:dyDescent="0.2">
      <c r="A88" s="59" t="str">
        <f t="shared" si="42"/>
        <v>L-FSK</v>
      </c>
      <c r="B88" s="81">
        <v>0.31018475806433887</v>
      </c>
      <c r="C88" s="81">
        <v>0.22819162995162715</v>
      </c>
      <c r="D88" s="81">
        <v>0.3598101000686833</v>
      </c>
      <c r="E88" s="81">
        <v>0.31461919208595845</v>
      </c>
      <c r="F88" s="81">
        <v>0.32448201224050632</v>
      </c>
      <c r="G88" s="81">
        <v>0.32405123252094359</v>
      </c>
      <c r="H88" s="81">
        <v>0.32417640872458342</v>
      </c>
      <c r="I88" s="81">
        <v>1.3243228562301659</v>
      </c>
      <c r="J88" s="81">
        <v>0.32362077830848007</v>
      </c>
      <c r="K88" s="81">
        <v>0.32197613004899017</v>
      </c>
      <c r="L88" s="81">
        <v>0.32557347179752527</v>
      </c>
      <c r="M88" s="81">
        <v>0.28032586074566201</v>
      </c>
      <c r="N88" s="81">
        <v>0.24291695194257151</v>
      </c>
      <c r="O88" s="81">
        <v>0.28251745759637087</v>
      </c>
      <c r="P88" s="81">
        <v>0.45340361597235007</v>
      </c>
      <c r="Q88" s="1">
        <v>0.38178424349999479</v>
      </c>
      <c r="R88" s="1"/>
      <c r="S88" s="1"/>
      <c r="T88" s="1"/>
      <c r="U88" s="1"/>
      <c r="V88" s="1"/>
      <c r="W88" s="1"/>
      <c r="X88" s="1"/>
      <c r="Y88" s="1"/>
      <c r="Z88" s="1"/>
      <c r="AA88" s="1"/>
      <c r="AB88" s="1"/>
      <c r="AC88" s="1"/>
      <c r="AD88" s="1"/>
      <c r="AE88" s="1"/>
      <c r="AF88" s="1"/>
      <c r="AG88" s="1"/>
    </row>
    <row r="89" spans="1:33" x14ac:dyDescent="0.2">
      <c r="A89" s="59" t="str">
        <f t="shared" si="42"/>
        <v>K</v>
      </c>
      <c r="B89" s="81">
        <v>1.6450906499193243</v>
      </c>
      <c r="C89" s="81">
        <v>1.1911427060544213</v>
      </c>
      <c r="D89" s="81">
        <v>1.3268199876548541</v>
      </c>
      <c r="E89" s="81">
        <v>1.9395235330689269</v>
      </c>
      <c r="F89" s="81">
        <v>1.7157637590941524</v>
      </c>
      <c r="G89" s="81">
        <v>1.7109466071237991</v>
      </c>
      <c r="H89" s="81">
        <v>1.712346377745817</v>
      </c>
      <c r="I89" s="81">
        <v>1.713984012615875</v>
      </c>
      <c r="J89" s="81">
        <v>2.7061330951046623</v>
      </c>
      <c r="K89" s="81">
        <v>1.6877419772224596</v>
      </c>
      <c r="L89" s="81">
        <v>1.7279688985584531</v>
      </c>
      <c r="M89" s="81">
        <v>1.4879879783601597</v>
      </c>
      <c r="N89" s="81">
        <v>1.1975304315558155</v>
      </c>
      <c r="O89" s="81">
        <v>1.2933611093476187</v>
      </c>
      <c r="P89" s="81">
        <v>1.3725747048743568</v>
      </c>
      <c r="Q89" s="1">
        <v>1.3663814187239016</v>
      </c>
      <c r="R89" s="1"/>
      <c r="S89" s="1"/>
      <c r="T89" s="1"/>
      <c r="U89" s="1"/>
      <c r="V89" s="1"/>
      <c r="W89" s="1"/>
      <c r="X89" s="1"/>
      <c r="Y89" s="1"/>
      <c r="Z89" s="1"/>
      <c r="AA89" s="1"/>
      <c r="AB89" s="1"/>
      <c r="AC89" s="1"/>
      <c r="AD89" s="1"/>
      <c r="AE89" s="1"/>
      <c r="AF89" s="1"/>
      <c r="AG89" s="1"/>
    </row>
    <row r="90" spans="1:33" x14ac:dyDescent="0.2">
      <c r="A90" s="59" t="str">
        <f t="shared" si="42"/>
        <v>Poor</v>
      </c>
      <c r="B90" s="81">
        <v>1.293828814357993</v>
      </c>
      <c r="C90" s="81">
        <v>0.93091613415215169</v>
      </c>
      <c r="D90" s="81">
        <v>1.0880852672100492</v>
      </c>
      <c r="E90" s="81">
        <v>1.5154082149742281</v>
      </c>
      <c r="F90" s="81">
        <v>1.6124206375243333</v>
      </c>
      <c r="G90" s="81">
        <v>1.7302906630808081</v>
      </c>
      <c r="H90" s="81">
        <v>1.6960399273751738</v>
      </c>
      <c r="I90" s="81">
        <v>1.6559689341464121</v>
      </c>
      <c r="J90" s="81">
        <v>1.8480716233253416</v>
      </c>
      <c r="K90" s="81">
        <v>2.2980805805118392</v>
      </c>
      <c r="L90" s="81">
        <v>1.313775274157879</v>
      </c>
      <c r="M90" s="81">
        <v>1.1800956568388228</v>
      </c>
      <c r="N90" s="81">
        <v>0.97189256461684004</v>
      </c>
      <c r="O90" s="81">
        <v>1.0362941784549924</v>
      </c>
      <c r="P90" s="81">
        <v>1.2085523131756695</v>
      </c>
      <c r="Q90" s="1">
        <v>1.1480845446055958</v>
      </c>
      <c r="R90" s="1"/>
      <c r="S90" s="1"/>
      <c r="T90" s="1"/>
      <c r="U90" s="1"/>
      <c r="V90" s="1"/>
      <c r="W90" s="1"/>
      <c r="X90" s="1"/>
      <c r="Y90" s="1"/>
      <c r="Z90" s="1"/>
      <c r="AA90" s="1"/>
      <c r="AB90" s="1"/>
      <c r="AC90" s="1"/>
      <c r="AD90" s="1"/>
      <c r="AE90" s="1"/>
      <c r="AF90" s="1"/>
      <c r="AG90" s="1"/>
    </row>
    <row r="91" spans="1:33" x14ac:dyDescent="0.2">
      <c r="A91" s="59" t="str">
        <f t="shared" si="42"/>
        <v>Nonpoor</v>
      </c>
      <c r="B91" s="81">
        <v>1.5520111818511342</v>
      </c>
      <c r="C91" s="81">
        <v>1.0893695562250723</v>
      </c>
      <c r="D91" s="81">
        <v>1.323006284188555</v>
      </c>
      <c r="E91" s="81">
        <v>1.8223331051189575</v>
      </c>
      <c r="F91" s="81">
        <v>2.227362170275804</v>
      </c>
      <c r="G91" s="81">
        <v>2.1071207485519916</v>
      </c>
      <c r="H91" s="81">
        <v>2.1420605658370806</v>
      </c>
      <c r="I91" s="81">
        <v>2.1829377368817493</v>
      </c>
      <c r="J91" s="81">
        <v>1.9869701840218004</v>
      </c>
      <c r="K91" s="81">
        <v>1.527907614508494</v>
      </c>
      <c r="L91" s="81">
        <v>2.5320159014756971</v>
      </c>
      <c r="M91" s="81">
        <v>1.3979213473725947</v>
      </c>
      <c r="N91" s="81">
        <v>1.1592942834501767</v>
      </c>
      <c r="O91" s="81">
        <v>1.2317731184400309</v>
      </c>
      <c r="P91" s="81">
        <v>1.4911488713980001</v>
      </c>
      <c r="Q91" s="1">
        <v>1.4092755444756999</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0.21184715325127609</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6.451054004632694E-7</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0.1041587486040768</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7.9554338751953897E-3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337</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338</v>
      </c>
      <c r="B2" s="84" t="s">
        <v>339</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340</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0.77035157604271343</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0.53337985669133214</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2.166605178155903</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0.2837364924366953</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0.21184715325127609</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6.451054004632694E-7</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341</v>
      </c>
      <c r="B10" s="89">
        <f>SUM(B4:B9)</f>
        <v>3.9659209016833206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342</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343</v>
      </c>
      <c r="B12" s="92">
        <f>SUM(B13:B16)</f>
        <v>0.97470618754740435</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0.44663001481560294</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L-FUSK</v>
      </c>
      <c r="B14" s="92">
        <f>'Multiplier Matrix (uncorrected)'!O86</f>
        <v>0.14784082259182779</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L-MSK</v>
      </c>
      <c r="B15" s="92">
        <f>'Multiplier Matrix (uncorrected)'!O87</f>
        <v>9.7717892543602775E-2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0.28251745759637087</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344</v>
      </c>
      <c r="B17" s="92">
        <f>'Multiplier Matrix (uncorrected)'!O89</f>
        <v>1.2933611093476187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345</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1.0362941784549924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1.2317731184400309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346</v>
      </c>
      <c r="B21" s="94">
        <f>SUM(B19:B20)</f>
        <v>2.2680672968950235</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347</v>
      </c>
      <c r="B24" s="92">
        <f>SUM(B25:B26)</f>
        <v>124.11723071256627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348</v>
      </c>
      <c r="B25" s="92">
        <f>B27*B19</f>
        <v>56.709941459616587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349</v>
      </c>
      <c r="B26" s="89">
        <f>B27*B20</f>
        <v>67.407289252949681</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350</v>
      </c>
      <c r="B27" s="99">
        <f>Tourists!C44/SUM(Tourists!C3,Tourists!C7)</f>
        <v>54.723786583617844</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2023-11-30T15:03:19Z</dcterms:modified>
</cp:coreProperties>
</file>