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app_current/"/>
    </mc:Choice>
  </mc:AlternateContent>
  <xr:revisionPtr revIDLastSave="0" documentId="13_ncr:1_{DF8EC74D-D342-534A-9251-AAF5B8FF19CD}" xr6:coauthVersionLast="47" xr6:coauthVersionMax="47" xr10:uidLastSave="{00000000-0000-0000-0000-000000000000}"/>
  <bookViews>
    <workbookView xWindow="2060" yWindow="500" windowWidth="29940" windowHeight="1750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43" i="15" l="1"/>
  <c r="C33" i="15"/>
  <c r="C32" i="15"/>
  <c r="C31" i="15"/>
  <c r="C30" i="15"/>
  <c r="C29" i="15"/>
  <c r="C28" i="15"/>
  <c r="C27" i="15"/>
  <c r="C25" i="15"/>
  <c r="C58" i="15"/>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R21" i="11"/>
  <c r="C72" i="15"/>
  <c r="R11" i="11"/>
  <c r="R10" i="11"/>
  <c r="R9" i="11"/>
  <c r="R8" i="11"/>
  <c r="R7" i="11"/>
  <c r="R6" i="11"/>
  <c r="R5" i="11"/>
  <c r="R3" i="1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<sst xmlns="http://schemas.openxmlformats.org/spreadsheetml/2006/main" count="1379" uniqueCount="633">
  <si>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</si>
  <si>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</si>
  <si>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</si>
  <si>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</si>
  <si>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</si>
  <si>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</si>
  <si>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</si>
  <si>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</si>
  <si>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</si>
  <si>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</si>
  <si>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</si>
  <si>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</si>
  <si>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</si>
  <si>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</si>
  <si>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</si>
  <si>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</si>
  <si>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</si>
  <si>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</si>
  <si>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</si>
  <si>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</si>
  <si>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</si>
  <si>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</si>
  <si>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</si>
  <si>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</si>
  <si>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</si>
  <si>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</si>
  <si>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</si>
  <si>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</si>
  <si>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</si>
  <si>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</si>
  <si>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</si>
  <si>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</si>
  <si>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</si>
  <si>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</si>
  <si>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</si>
  <si>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</si>
  <si>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</si>
  <si>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</si>
  <si>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</si>
  <si>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</si>
  <si>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</si>
  <si>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</si>
  <si>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</si>
  <si>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</si>
  <si>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</si>
  <si>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</si>
  <si>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</si>
  <si>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</si>
  <si>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</si>
  <si>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</si>
  <si>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</si>
  <si>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</si>
  <si>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</si>
  <si>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</si>
  <si>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</si>
  <si>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</si>
  <si>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</si>
  <si>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</si>
  <si>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</si>
  <si>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</si>
  <si>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</si>
  <si>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</si>
  <si>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</si>
  <si>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</si>
  <si>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</si>
  <si>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</si>
  <si>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</si>
  <si>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</si>
  <si>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</si>
  <si>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</si>
  <si>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</si>
  <si>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</si>
  <si>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</si>
  <si>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</si>
  <si>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</si>
  <si>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</si>
  <si>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</si>
  <si>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</si>
  <si>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</si>
  <si>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</si>
  <si>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</si>
  <si>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</si>
  <si>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</si>
  <si>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</si>
  <si>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</si>
  <si>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</si>
  <si>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</si>
  <si>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</si>
  <si>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</si>
  <si>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</si>
  <si>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</si>
  <si>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</si>
  <si>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</si>
  <si>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</si>
  <si>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</si>
  <si>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</si>
  <si>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</si>
  <si>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</si>
  <si>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</si>
  <si>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</si>
  <si>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</si>
  <si>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</si>
  <si>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</si>
  <si>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</si>
  <si>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</si>
  <si>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</si>
  <si>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</si>
  <si>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</si>
  <si>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</si>
  <si>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</si>
  <si>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</si>
  <si>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</si>
  <si>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</si>
  <si>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</si>
  <si>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</si>
  <si>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</si>
  <si>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</si>
  <si>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</si>
  <si>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</si>
  <si>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</si>
  <si>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</si>
  <si>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</si>
  <si>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</si>
  <si>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</si>
  <si>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</si>
  <si>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</si>
  <si>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</si>
  <si>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</si>
  <si>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</si>
  <si>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</si>
  <si>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</si>
  <si>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</si>
  <si>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</si>
  <si>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</si>
  <si>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</si>
  <si>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</si>
  <si>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</si>
  <si>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</si>
  <si>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</si>
  <si>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</si>
  <si>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</si>
  <si>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</si>
  <si>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</si>
  <si>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</si>
  <si>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</si>
  <si>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</si>
  <si>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</si>
  <si>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</si>
  <si>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</si>
  <si>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</si>
  <si>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</si>
  <si>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</si>
  <si>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</si>
  <si>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</si>
  <si>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</si>
  <si>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</si>
  <si>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</si>
  <si>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</si>
  <si>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</si>
  <si>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</si>
  <si>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</si>
  <si>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</si>
  <si>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</si>
  <si>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</si>
  <si>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</si>
  <si>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</si>
  <si>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</si>
  <si>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</si>
  <si>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</si>
  <si>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</si>
  <si>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</si>
  <si>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</si>
  <si>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</si>
  <si>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</si>
  <si>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</si>
  <si>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</si>
  <si>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</si>
  <si>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</si>
  <si>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</si>
  <si>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</si>
  <si>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</si>
  <si>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</si>
  <si>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</si>
  <si>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</si>
  <si>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</si>
  <si>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</si>
  <si>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</si>
  <si>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</si>
  <si>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</si>
  <si>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</si>
  <si>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</si>
  <si>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</si>
  <si>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</si>
  <si>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</si>
  <si>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</si>
  <si>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</si>
  <si>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</si>
  <si>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</si>
  <si>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</si>
  <si>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</si>
  <si>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</si>
  <si>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</si>
  <si>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</si>
  <si>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</si>
  <si>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</si>
  <si>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</si>
  <si>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</si>
  <si>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</si>
  <si>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</si>
  <si>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</si>
  <si>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</si>
  <si>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</si>
  <si>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</si>
  <si>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</si>
  <si>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</si>
  <si>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</si>
  <si>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</si>
  <si>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</si>
  <si>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</si>
  <si>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</si>
  <si>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</si>
  <si>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</si>
  <si>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</si>
  <si>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</si>
  <si>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</si>
  <si>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</si>
  <si>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</si>
  <si>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</si>
  <si>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</si>
  <si>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</si>
  <si>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</si>
  <si>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</si>
  <si>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</si>
  <si>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</si>
  <si>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</si>
  <si>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</si>
  <si>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</si>
  <si>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</si>
  <si>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</si>
  <si>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</si>
  <si>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</si>
  <si>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</si>
  <si>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</si>
  <si>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</si>
  <si>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</si>
  <si>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</si>
  <si>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</si>
  <si>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</si>
  <si>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</si>
  <si>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</si>
  <si>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</si>
  <si>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</si>
  <si>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</si>
  <si>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</si>
  <si>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</si>
  <si>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</si>
  <si>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</si>
  <si>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</si>
  <si>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</si>
  <si>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</si>
  <si>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</si>
  <si>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</si>
  <si>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</si>
  <si>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</si>
  <si>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</si>
  <si>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</si>
  <si>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</si>
  <si>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</si>
  <si>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</si>
  <si>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</si>
  <si>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</si>
  <si>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</si>
  <si>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</si>
  <si>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</si>
  <si>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</si>
  <si>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</si>
  <si>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</si>
  <si>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</si>
  <si>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</si>
  <si>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</si>
  <si>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</si>
  <si>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</si>
  <si>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</si>
  <si>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</si>
  <si>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</si>
  <si>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</si>
  <si>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</si>
  <si>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</si>
  <si>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</si>
  <si>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</si>
  <si>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</si>
  <si>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</si>
  <si>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</si>
  <si>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</si>
  <si>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</si>
  <si>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</si>
  <si>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</si>
  <si>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</si>
  <si>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</si>
  <si>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</si>
  <si>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</si>
  <si>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</si>
  <si>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</si>
  <si>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</si>
  <si>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</si>
  <si>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</si>
  <si>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</si>
  <si>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</si>
  <si>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</si>
  <si>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</si>
  <si>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</si>
  <si>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</si>
  <si>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</si>
  <si>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</si>
  <si>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</si>
  <si>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</si>
  <si>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</si>
  <si>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</si>
  <si>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</si>
  <si>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</si>
  <si>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</si>
  <si>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</si>
  <si>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</si>
  <si>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</si>
  <si>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</si>
  <si>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</si>
  <si>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</si>
  <si>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</si>
  <si>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</si>
  <si>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</si>
  <si>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</si>
  <si>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</si>
  <si>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</si>
  <si>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</si>
  <si>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</si>
  <si>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</si>
  <si>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</si>
  <si>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</si>
  <si>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</si>
  <si>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</si>
  <si>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</si>
  <si>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</si>
  <si>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</si>
  <si>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</si>
  <si>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</si>
  <si>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</si>
  <si>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</si>
  <si>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</si>
  <si>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</si>
  <si>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</si>
  <si>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</si>
  <si>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</si>
  <si>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</si>
  <si>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</si>
  <si>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</si>
  <si>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</si>
  <si>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</si>
  <si>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</si>
  <si>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</si>
  <si>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</si>
  <si>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</si>
  <si>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</si>
  <si>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</si>
  <si>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</si>
  <si>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</si>
  <si>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</si>
  <si>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</si>
  <si>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</si>
  <si>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</si>
  <si>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</si>
  <si>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</si>
  <si>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</si>
  <si>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</si>
  <si>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</si>
  <si>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</si>
  <si>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</si>
  <si>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</si>
  <si>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</si>
  <si>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</si>
  <si>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</si>
  <si>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</si>
  <si>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</si>
  <si>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</si>
  <si>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</si>
  <si>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</si>
  <si>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</si>
  <si>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</si>
  <si>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</si>
  <si>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</si>
  <si>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</si>
  <si>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</si>
  <si>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</si>
  <si>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</si>
  <si>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</si>
  <si>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</si>
  <si>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</si>
  <si>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</si>
  <si>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</si>
  <si>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</si>
  <si>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</si>
  <si>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</si>
  <si>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</si>
  <si>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</si>
  <si>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</si>
  <si>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</si>
  <si>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</si>
  <si>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</si>
  <si>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</si>
  <si>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</si>
  <si>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</si>
  <si>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</si>
  <si>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</si>
  <si>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</si>
  <si>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</si>
  <si>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</si>
  <si>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</si>
  <si>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</si>
  <si>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</si>
  <si>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</si>
  <si>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</si>
  <si>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</si>
  <si>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</si>
  <si>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</si>
  <si>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</si>
  <si>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</si>
  <si>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</si>
  <si>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</si>
  <si>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</si>
  <si>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</si>
  <si>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</si>
  <si>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</si>
  <si>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</si>
  <si>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</si>
  <si>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</si>
  <si>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</si>
  <si>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</si>
  <si>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</si>
  <si>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</si>
  <si>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</si>
  <si>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</si>
  <si>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</si>
  <si>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</si>
  <si>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</si>
  <si>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</si>
  <si>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</si>
  <si>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</si>
  <si>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</si>
  <si>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</si>
  <si>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</si>
  <si>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</si>
  <si>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</si>
  <si>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</si>
  <si>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</si>
  <si>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</si>
  <si>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</si>
  <si>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</si>
  <si>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</si>
  <si>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</si>
  <si>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</si>
  <si>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</si>
  <si>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</si>
  <si>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</si>
  <si>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</si>
  <si>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</si>
  <si>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</si>
  <si>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</si>
  <si>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</si>
  <si>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</si>
  <si>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</si>
  <si>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</si>
  <si>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</si>
  <si>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</si>
  <si>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</si>
  <si>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</si>
  <si>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</si>
  <si>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</si>
  <si>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</si>
  <si>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</si>
  <si>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</si>
  <si>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</si>
  <si>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</si>
  <si>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</si>
  <si>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</si>
  <si>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</si>
  <si>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</si>
  <si>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</si>
  <si>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</si>
  <si>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</si>
  <si>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</si>
  <si>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</si>
  <si>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</si>
  <si>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</si>
  <si>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</si>
  <si>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</si>
  <si>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</si>
  <si>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</si>
  <si>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</si>
  <si>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</si>
  <si>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</si>
  <si>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</si>
  <si>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</si>
  <si>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</si>
  <si>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</si>
  <si>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</si>
  <si>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</si>
  <si>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</si>
  <si>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</si>
  <si>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</si>
  <si>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</si>
  <si>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</si>
  <si>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</si>
  <si>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</si>
  <si>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</si>
  <si>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</si>
  <si>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</si>
  <si>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</si>
  <si>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</si>
  <si>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</si>
  <si>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</si>
  <si>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</si>
  <si>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</si>
  <si>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</si>
  <si>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</si>
  <si>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</si>
  <si>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</si>
  <si>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</si>
  <si>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</si>
  <si>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</si>
  <si>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</si>
  <si>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</si>
  <si>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</si>
  <si>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</si>
  <si>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</si>
  <si>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</si>
  <si>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</si>
  <si>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</si>
  <si>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</si>
  <si>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</si>
  <si>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</si>
  <si>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</si>
  <si>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</si>
  <si>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</si>
  <si>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</si>
  <si>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</si>
  <si>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</si>
  <si>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</si>
  <si>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</si>
  <si>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</si>
  <si>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</si>
  <si>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</si>
  <si>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</si>
  <si>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</si>
  <si>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</si>
  <si>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</si>
  <si>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</si>
  <si>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</si>
  <si>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</si>
  <si>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</si>
  <si>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</si>
  <si>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</si>
  <si>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</si>
  <si>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</si>
  <si>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</si>
  <si>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</si>
  <si>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</si>
  <si>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</si>
  <si>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</si>
  <si>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</si>
  <si>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</si>
  <si>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</si>
  <si>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</si>
  <si>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</si>
  <si>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</si>
  <si>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</si>
  <si>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</si>
  <si>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</si>
  <si>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</si>
  <si>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</si>
  <si>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</si>
  <si>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</si>
  <si>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</si>
  <si>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</si>
  <si>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</si>
  <si>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</si>
  <si>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</si>
  <si>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</si>
  <si>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</si>
  <si>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</si>
  <si>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</si>
  <si>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</si>
  <si>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</si>
  <si>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</si>
  <si>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</si>
  <si>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</si>
  <si>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</si>
  <si>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</si>
  <si>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</si>
  <si>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</si>
  <si>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</si>
  <si>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</si>
  <si>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</si>
  <si>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</si>
  <si>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</si>
  <si>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</si>
  <si>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</si>
  <si>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</si>
  <si>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</si>
  <si>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</si>
  <si>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</si>
  <si>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</si>
  <si>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</si>
  <si>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</si>
  <si>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</si>
  <si>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</si>
  <si>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</si>
  <si>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</si>
  <si>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</si>
  <si>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</si>
  <si>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</si>
  <si>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</si>
  <si>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</si>
  <si>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</si>
  <si>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</si>
  <si>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</si>
  <si>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</si>
  <si>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</si>
  <si>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</si>
  <si>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</si>
  <si>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</si>
  <si>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</si>
  <si>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Park Name Here</t>
  </si>
  <si>
    <t>comments</t>
  </si>
  <si>
    <r>
      <t xml:space="preserve">Notes: Do not leave tourist numbers at a "true" zero. </t>
    </r>
    <r>
      <rPr>
        <sz val="11"/>
        <color rgb="FFFF0000"/>
        <rFont val="Calibri (Body)"/>
      </rPr>
      <t xml:space="preserve"> If there are no multi-day tourists, use a very small number like 0.001</t>
    </r>
    <r>
      <rPr>
        <sz val="11"/>
        <color theme="1"/>
        <rFont val="Calibri"/>
        <family val="2"/>
        <scheme val="minor"/>
      </rPr>
      <t xml:space="preserve"> (otherwise the Lodges account is zero and the SAM matrix can't be inverted)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</si>
</sst>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8"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sz val="11"/>
      <color rgb="FFFF0000"/>
      <name val="Calibri (Body)"/>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0" fontId="1" fillId="0" borderId="58" xfId="0" applyFont="1" applyBorder="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2" t="s">
        <v>514</v>
      </c>
    </row>
    <row r="14" spans="1:2" s="137" customFormat="1" ht="16" x14ac:dyDescent="0.2">
      <c r="B14" s="452" t="s">
        <v>515</v>
      </c>
    </row>
    <row r="15" spans="1:2" s="137" customFormat="1" ht="16" x14ac:dyDescent="0.2">
      <c r="B15" s="452" t="s">
        <v>516</v>
      </c>
    </row>
    <row r="16" spans="1:2" s="137" customFormat="1" ht="16" x14ac:dyDescent="0.2">
      <c r="B16" s="452" t="s">
        <v>517</v>
      </c>
    </row>
    <row r="17" spans="2:2" s="137" customFormat="1" ht="16" x14ac:dyDescent="0.2">
      <c r="B17" s="452"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17" sqref="C1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631</v>
      </c>
    </row>
    <row r="3" spans="1:8" ht="14.25" customHeight="1" x14ac:dyDescent="0.2">
      <c r="A3" s="102"/>
      <c r="B3" s="187" t="s">
        <v>464</v>
      </c>
      <c r="C3" s="131">
        <v>200</v>
      </c>
      <c r="D3" s="181" t="s">
        <v>7</v>
      </c>
      <c r="E3" s="128">
        <v>32850</v>
      </c>
      <c r="F3" s="128">
        <v>32850</v>
      </c>
      <c r="G3" s="128">
        <v>1</v>
      </c>
      <c r="H3" s="503" t="s">
        <v>632</v>
      </c>
    </row>
    <row r="4" spans="1:8" ht="14.25" customHeight="1" x14ac:dyDescent="0.2">
      <c r="A4" s="102"/>
      <c r="B4" s="187" t="s">
        <v>9</v>
      </c>
      <c r="C4" s="132">
        <v>1.98</v>
      </c>
      <c r="D4" s="181" t="s">
        <v>10</v>
      </c>
      <c r="E4" s="128">
        <v>1</v>
      </c>
      <c r="F4" s="128">
        <v>8</v>
      </c>
      <c r="G4" s="128">
        <v>1</v>
      </c>
      <c r="H4" s="195"/>
    </row>
    <row r="5" spans="1:8" ht="14.25" customHeight="1" x14ac:dyDescent="0.2">
      <c r="A5" s="102"/>
      <c r="B5" s="187" t="s">
        <v>11</v>
      </c>
      <c r="C5" s="132">
        <v>1.93</v>
      </c>
      <c r="D5" s="181" t="s">
        <v>12</v>
      </c>
      <c r="E5" s="128">
        <v>0</v>
      </c>
      <c r="F5" s="128">
        <v>9</v>
      </c>
      <c r="G5" s="128">
        <v>1</v>
      </c>
      <c r="H5" s="195"/>
    </row>
    <row r="6" spans="1:8" ht="14.25" customHeight="1" x14ac:dyDescent="0.2">
      <c r="A6" s="102"/>
      <c r="B6" s="187" t="s">
        <v>536</v>
      </c>
      <c r="C6" s="132">
        <f>63.7353441051591+0.7</f>
        <v>64.435344105159103</v>
      </c>
      <c r="D6" s="181" t="s">
        <v>13</v>
      </c>
      <c r="E6" s="128">
        <v>0</v>
      </c>
      <c r="F6" s="128">
        <v>150</v>
      </c>
      <c r="G6" s="128">
        <v>1</v>
      </c>
      <c r="H6" s="195"/>
    </row>
    <row r="7" spans="1:8" ht="14.25" customHeight="1" x14ac:dyDescent="0.2">
      <c r="A7" s="102"/>
      <c r="B7" s="188" t="s">
        <v>14</v>
      </c>
      <c r="C7" s="193">
        <v>15000</v>
      </c>
      <c r="D7" s="185" t="s">
        <v>15</v>
      </c>
      <c r="E7" s="128">
        <v>32000</v>
      </c>
      <c r="F7" s="128">
        <v>32000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535</v>
      </c>
      <c r="C15" s="134">
        <f>0.777461668931897+30.1664016884723</f>
        <v>30.943863357404194</v>
      </c>
      <c r="D15" s="181" t="s">
        <v>26</v>
      </c>
      <c r="E15" s="128">
        <v>0</v>
      </c>
      <c r="F15" s="128">
        <v>225</v>
      </c>
      <c r="G15" s="128">
        <v>0.1</v>
      </c>
      <c r="H15" s="8"/>
    </row>
    <row r="16" spans="1:8" ht="14.25" customHeight="1" x14ac:dyDescent="0.2">
      <c r="A16" s="102"/>
      <c r="B16" s="191" t="s">
        <v>534</v>
      </c>
      <c r="C16" s="134">
        <v>2.03453436213031</v>
      </c>
      <c r="D16" s="189" t="s">
        <v>27</v>
      </c>
      <c r="E16" s="128">
        <v>0</v>
      </c>
      <c r="F16" s="128">
        <v>962</v>
      </c>
      <c r="G16" s="128">
        <v>0.1</v>
      </c>
      <c r="H16" s="9"/>
    </row>
    <row r="17" spans="1:8" ht="14.25" customHeight="1" x14ac:dyDescent="0.2">
      <c r="A17" s="102"/>
      <c r="B17" s="191" t="s">
        <v>527</v>
      </c>
      <c r="C17" s="458">
        <f>NatParkPA!C6/(Tourists!C3 + Tourists!C7)</f>
        <v>7.4096725830661656</v>
      </c>
      <c r="D17" s="189" t="s">
        <v>17</v>
      </c>
      <c r="E17" s="128">
        <v>0</v>
      </c>
      <c r="F17" s="128">
        <v>1145</v>
      </c>
      <c r="G17" s="128">
        <v>0.1</v>
      </c>
      <c r="H17" s="1" t="s">
        <v>18</v>
      </c>
    </row>
    <row r="18" spans="1:8" ht="14.25" customHeight="1" x14ac:dyDescent="0.2"/>
    <row r="19" spans="1:8" ht="14.25" customHeight="1" x14ac:dyDescent="0.2">
      <c r="B19" s="455" t="s">
        <v>525</v>
      </c>
      <c r="C19" s="456">
        <f>C17*(C3+C7)</f>
        <v>112627.02326260571</v>
      </c>
    </row>
    <row r="20" spans="1:8" ht="14.25" customHeight="1" x14ac:dyDescent="0.2">
      <c r="B20" s="11"/>
      <c r="C20" s="457">
        <f>NatParkPA!C6</f>
        <v>112627.02326260571</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4" t="s">
        <v>28</v>
      </c>
      <c r="C24" s="405" t="s">
        <v>29</v>
      </c>
      <c r="D24" s="406"/>
      <c r="E24" s="407"/>
      <c r="F24" s="407"/>
      <c r="G24" s="407"/>
      <c r="H24" s="408"/>
    </row>
    <row r="25" spans="1:8" ht="14.25" customHeight="1" x14ac:dyDescent="0.2">
      <c r="B25" s="409" t="s">
        <v>30</v>
      </c>
      <c r="C25" s="410">
        <v>0</v>
      </c>
      <c r="D25" s="411" t="s">
        <v>31</v>
      </c>
      <c r="E25" s="412"/>
      <c r="F25" s="412"/>
      <c r="G25" s="412"/>
      <c r="H25" s="413"/>
    </row>
    <row r="26" spans="1:8" ht="14.25" customHeight="1" x14ac:dyDescent="0.2">
      <c r="B26" s="409" t="s">
        <v>32</v>
      </c>
      <c r="C26" s="414">
        <f>($C$7+$C$4*$C$3)*SUM($C$13:$C$14)</f>
        <v>489914.32982571534</v>
      </c>
      <c r="D26" s="415" t="s">
        <v>33</v>
      </c>
      <c r="E26" s="412"/>
      <c r="F26" s="412"/>
      <c r="G26" s="412"/>
      <c r="H26" s="413"/>
    </row>
    <row r="27" spans="1:8" ht="14.25" customHeight="1" x14ac:dyDescent="0.2">
      <c r="B27" s="409" t="s">
        <v>34</v>
      </c>
      <c r="C27" s="414">
        <f>($C$7+$C$4*$C$3)*SUM($C$15:$C$16)</f>
        <v>507735.41128995328</v>
      </c>
      <c r="D27" s="411" t="s">
        <v>35</v>
      </c>
      <c r="E27" s="412"/>
      <c r="F27" s="412"/>
      <c r="G27" s="412"/>
      <c r="H27" s="413"/>
    </row>
    <row r="28" spans="1:8" ht="14.25" customHeight="1" x14ac:dyDescent="0.2">
      <c r="B28" s="409" t="s">
        <v>36</v>
      </c>
      <c r="C28" s="414">
        <v>0</v>
      </c>
      <c r="D28" s="415" t="s">
        <v>37</v>
      </c>
      <c r="E28" s="412"/>
      <c r="F28" s="412"/>
      <c r="G28" s="412"/>
      <c r="H28" s="413"/>
    </row>
    <row r="29" spans="1:8" ht="14.25" customHeight="1" x14ac:dyDescent="0.2">
      <c r="B29" s="330" t="s">
        <v>38</v>
      </c>
      <c r="C29" s="414">
        <v>0</v>
      </c>
      <c r="D29" s="411" t="s">
        <v>39</v>
      </c>
      <c r="E29" s="412"/>
      <c r="F29" s="412"/>
      <c r="G29" s="412"/>
      <c r="H29" s="413"/>
    </row>
    <row r="30" spans="1:8" ht="15.75" customHeight="1" x14ac:dyDescent="0.2">
      <c r="B30" s="330" t="s">
        <v>41</v>
      </c>
      <c r="C30" s="414">
        <v>0</v>
      </c>
      <c r="D30" s="411" t="s">
        <v>39</v>
      </c>
      <c r="E30" s="412"/>
      <c r="F30" s="412"/>
      <c r="G30" s="412"/>
      <c r="H30" s="413"/>
    </row>
    <row r="31" spans="1:8" ht="15.75" customHeight="1" x14ac:dyDescent="0.2">
      <c r="B31" s="330" t="s">
        <v>40</v>
      </c>
      <c r="C31" s="414">
        <v>0</v>
      </c>
      <c r="D31" s="411" t="s">
        <v>39</v>
      </c>
      <c r="E31" s="412"/>
      <c r="F31" s="412"/>
      <c r="G31" s="412"/>
      <c r="H31" s="413"/>
    </row>
    <row r="32" spans="1:8" ht="15.75" customHeight="1" x14ac:dyDescent="0.2">
      <c r="B32" s="330" t="s">
        <v>42</v>
      </c>
      <c r="C32" s="414">
        <v>0</v>
      </c>
      <c r="D32" s="411" t="s">
        <v>39</v>
      </c>
      <c r="E32" s="412"/>
      <c r="F32" s="412"/>
      <c r="G32" s="412"/>
      <c r="H32" s="413"/>
    </row>
    <row r="33" spans="2:8" ht="15.75" customHeight="1" x14ac:dyDescent="0.2">
      <c r="B33" s="409" t="s">
        <v>43</v>
      </c>
      <c r="C33" s="414">
        <v>0</v>
      </c>
      <c r="D33" s="415" t="s">
        <v>44</v>
      </c>
      <c r="E33" s="412"/>
      <c r="F33" s="412"/>
      <c r="G33" s="412"/>
      <c r="H33" s="413"/>
    </row>
    <row r="34" spans="2:8" ht="14.25" customHeight="1" x14ac:dyDescent="0.2">
      <c r="B34" s="409" t="s">
        <v>45</v>
      </c>
      <c r="C34" s="414">
        <v>0</v>
      </c>
      <c r="D34" s="415" t="s">
        <v>46</v>
      </c>
      <c r="E34" s="412"/>
      <c r="F34" s="412"/>
      <c r="G34" s="412"/>
      <c r="H34" s="413"/>
    </row>
    <row r="35" spans="2:8" ht="14.25" customHeight="1" x14ac:dyDescent="0.2">
      <c r="B35" s="409" t="s">
        <v>47</v>
      </c>
      <c r="C35" s="414">
        <v>0</v>
      </c>
      <c r="D35" s="415" t="s">
        <v>46</v>
      </c>
      <c r="E35" s="412"/>
      <c r="F35" s="412"/>
      <c r="G35" s="412"/>
      <c r="H35" s="413"/>
    </row>
    <row r="36" spans="2:8" ht="14.25" customHeight="1" x14ac:dyDescent="0.2">
      <c r="B36" s="409" t="s">
        <v>48</v>
      </c>
      <c r="C36" s="414">
        <f>(C7+C4*C3)*$C$12</f>
        <v>113686.58506538466</v>
      </c>
      <c r="D36" s="415" t="s">
        <v>49</v>
      </c>
      <c r="E36" s="412"/>
      <c r="F36" s="412"/>
      <c r="G36" s="412"/>
      <c r="H36" s="413"/>
    </row>
    <row r="37" spans="2:8" ht="14.25" customHeight="1" x14ac:dyDescent="0.2">
      <c r="B37" s="409" t="s">
        <v>50</v>
      </c>
      <c r="C37" s="414">
        <f>C5*C3*$C$6</f>
        <v>24872.042824591415</v>
      </c>
      <c r="D37" s="415" t="s">
        <v>51</v>
      </c>
      <c r="E37" s="412"/>
      <c r="F37" s="412"/>
      <c r="G37" s="412"/>
      <c r="H37" s="413"/>
    </row>
    <row r="38" spans="2:8" ht="14.25" customHeight="1" x14ac:dyDescent="0.2">
      <c r="B38" s="409" t="s">
        <v>52</v>
      </c>
      <c r="C38" s="414">
        <v>0</v>
      </c>
      <c r="D38" s="415" t="s">
        <v>53</v>
      </c>
      <c r="E38" s="412"/>
      <c r="F38" s="412"/>
      <c r="G38" s="412"/>
      <c r="H38" s="413"/>
    </row>
    <row r="39" spans="2:8" ht="14.25" customHeight="1" x14ac:dyDescent="0.2">
      <c r="B39" s="409" t="s">
        <v>54</v>
      </c>
      <c r="C39" s="414">
        <f>NatParkPA!C6</f>
        <v>112627.02326260571</v>
      </c>
      <c r="D39" s="415" t="s">
        <v>520</v>
      </c>
      <c r="E39" s="412"/>
      <c r="F39" s="412"/>
      <c r="G39" s="412"/>
      <c r="H39" s="413"/>
    </row>
    <row r="40" spans="2:8" ht="14.25" customHeight="1" x14ac:dyDescent="0.2">
      <c r="B40" s="409" t="s">
        <v>55</v>
      </c>
      <c r="C40" s="414">
        <v>0</v>
      </c>
      <c r="D40" s="415" t="s">
        <v>56</v>
      </c>
      <c r="E40" s="412"/>
      <c r="F40" s="412"/>
      <c r="G40" s="412"/>
      <c r="H40" s="413"/>
    </row>
    <row r="41" spans="2:8" ht="14.25" customHeight="1" x14ac:dyDescent="0.2">
      <c r="B41" s="409" t="s">
        <v>555</v>
      </c>
      <c r="C41" s="414"/>
      <c r="D41" s="415" t="s">
        <v>58</v>
      </c>
      <c r="E41" s="412"/>
      <c r="F41" s="412"/>
      <c r="G41" s="412"/>
      <c r="H41" s="413"/>
    </row>
    <row r="42" spans="2:8" ht="14.25" customHeight="1" x14ac:dyDescent="0.2">
      <c r="B42" s="409" t="s">
        <v>57</v>
      </c>
      <c r="C42" s="414"/>
      <c r="D42" s="415" t="s">
        <v>58</v>
      </c>
      <c r="E42" s="412"/>
      <c r="F42" s="412"/>
      <c r="G42" s="412"/>
      <c r="H42" s="413"/>
    </row>
    <row r="43" spans="2:8" ht="14.25" customHeight="1" x14ac:dyDescent="0.2">
      <c r="B43" s="416" t="s">
        <v>59</v>
      </c>
      <c r="C43" s="417"/>
      <c r="D43" s="415" t="s">
        <v>60</v>
      </c>
      <c r="E43" s="412"/>
      <c r="F43" s="412"/>
      <c r="G43" s="412"/>
      <c r="H43" s="413"/>
    </row>
    <row r="44" spans="2:8" ht="14.25" customHeight="1" x14ac:dyDescent="0.2">
      <c r="B44" s="409" t="s">
        <v>61</v>
      </c>
      <c r="C44" s="417">
        <f>SUM(C25:C43)</f>
        <v>1248835.3922682505</v>
      </c>
      <c r="D44" s="415" t="s">
        <v>62</v>
      </c>
      <c r="E44" s="412"/>
      <c r="F44" s="412"/>
      <c r="G44" s="412"/>
      <c r="H44" s="413"/>
    </row>
    <row r="45" spans="2:8" ht="14.25" customHeight="1" x14ac:dyDescent="0.2">
      <c r="B45" s="409" t="s">
        <v>63</v>
      </c>
      <c r="C45" s="414">
        <f>$C$3*($C$17+$C$4*SUM($C$12:$C$16)+$C$5*$C$6)+$C$7*($C$17+SUM($C$12:$C$16))</f>
        <v>1248835.3922682505</v>
      </c>
      <c r="D45" s="415" t="s">
        <v>64</v>
      </c>
      <c r="E45" s="412"/>
      <c r="F45" s="412"/>
      <c r="G45" s="412"/>
      <c r="H45" s="413"/>
    </row>
    <row r="46" spans="2:8" ht="14.25" customHeight="1" x14ac:dyDescent="0.2">
      <c r="B46" s="409" t="s">
        <v>65</v>
      </c>
      <c r="C46" s="414">
        <f>C45-C44</f>
        <v>0</v>
      </c>
      <c r="D46" s="415" t="s">
        <v>66</v>
      </c>
      <c r="E46" s="412"/>
      <c r="F46" s="412"/>
      <c r="G46" s="412"/>
      <c r="H46" s="413"/>
    </row>
    <row r="47" spans="2:8" ht="14.25" customHeight="1" thickBot="1" x14ac:dyDescent="0.25">
      <c r="B47" s="418" t="s">
        <v>67</v>
      </c>
      <c r="C47" s="419">
        <f>C46/C45</f>
        <v>0</v>
      </c>
      <c r="D47" s="420" t="s">
        <v>68</v>
      </c>
      <c r="E47" s="421"/>
      <c r="F47" s="421"/>
      <c r="G47" s="421"/>
      <c r="H47" s="422"/>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90" t="s">
        <v>497</v>
      </c>
      <c r="B4" s="117" t="s">
        <v>71</v>
      </c>
      <c r="C4" s="119">
        <v>0.245</v>
      </c>
      <c r="D4" s="123">
        <f t="shared" ref="D4:D15" si="0">C4/$C$20*(1-$C$18)</f>
        <v>0.15385999999999997</v>
      </c>
      <c r="E4" s="37" t="s">
        <v>72</v>
      </c>
      <c r="F4" s="102"/>
      <c r="G4" s="102"/>
      <c r="H4" s="115"/>
    </row>
    <row r="5" spans="1:8" ht="33.75" customHeight="1" x14ac:dyDescent="0.2">
      <c r="A5" s="491"/>
      <c r="B5" s="117" t="s">
        <v>73</v>
      </c>
      <c r="C5" s="119">
        <v>0</v>
      </c>
      <c r="D5" s="123">
        <f t="shared" si="0"/>
        <v>0</v>
      </c>
      <c r="F5" s="102"/>
      <c r="G5" s="102"/>
      <c r="H5" s="126"/>
    </row>
    <row r="6" spans="1:8" ht="33.75" customHeight="1" x14ac:dyDescent="0.2">
      <c r="A6" s="491"/>
      <c r="B6" s="117" t="s">
        <v>74</v>
      </c>
      <c r="C6" s="119">
        <v>5.2999999999999999E-2</v>
      </c>
      <c r="D6" s="123">
        <f t="shared" si="0"/>
        <v>3.3283999999999994E-2</v>
      </c>
      <c r="F6" s="102"/>
      <c r="G6" s="102"/>
      <c r="H6" s="126"/>
    </row>
    <row r="7" spans="1:8" ht="33.75" customHeight="1" x14ac:dyDescent="0.2">
      <c r="A7" s="491"/>
      <c r="B7" s="117" t="s">
        <v>75</v>
      </c>
      <c r="C7" s="119">
        <v>0</v>
      </c>
      <c r="D7" s="123">
        <f t="shared" si="0"/>
        <v>0</v>
      </c>
      <c r="F7" s="102"/>
      <c r="G7" s="102"/>
      <c r="H7" s="126"/>
    </row>
    <row r="8" spans="1:8" ht="33.75" customHeight="1" x14ac:dyDescent="0.2">
      <c r="A8" s="491"/>
      <c r="B8" s="117" t="s">
        <v>76</v>
      </c>
      <c r="C8" s="119">
        <v>0.05</v>
      </c>
      <c r="D8" s="161">
        <f t="shared" si="0"/>
        <v>3.1399999999999997E-2</v>
      </c>
      <c r="F8" s="102"/>
      <c r="G8" s="102"/>
      <c r="H8" s="126"/>
    </row>
    <row r="9" spans="1:8" ht="33.75" customHeight="1" x14ac:dyDescent="0.2">
      <c r="A9" s="491"/>
      <c r="B9" s="117" t="s">
        <v>485</v>
      </c>
      <c r="C9" s="119">
        <v>0</v>
      </c>
      <c r="D9" s="161">
        <f t="shared" si="0"/>
        <v>0</v>
      </c>
      <c r="F9" s="102"/>
      <c r="G9" s="102"/>
      <c r="H9" s="126"/>
    </row>
    <row r="10" spans="1:8" ht="33.75" customHeight="1" x14ac:dyDescent="0.2">
      <c r="A10" s="491"/>
      <c r="B10" s="118" t="s">
        <v>77</v>
      </c>
      <c r="C10" s="120">
        <v>0</v>
      </c>
      <c r="D10" s="161">
        <f t="shared" si="0"/>
        <v>0</v>
      </c>
      <c r="F10" s="102"/>
      <c r="G10" s="102"/>
      <c r="H10" s="126"/>
    </row>
    <row r="11" spans="1:8" ht="33.75" customHeight="1" x14ac:dyDescent="0.2">
      <c r="A11" s="491"/>
      <c r="B11" s="117" t="s">
        <v>78</v>
      </c>
      <c r="C11" s="119">
        <v>1.8000000000000002E-2</v>
      </c>
      <c r="D11" s="161">
        <f t="shared" si="0"/>
        <v>1.1304E-2</v>
      </c>
      <c r="E11" s="37" t="s">
        <v>79</v>
      </c>
      <c r="F11" s="102"/>
      <c r="G11" s="102"/>
      <c r="H11" s="115"/>
    </row>
    <row r="12" spans="1:8" ht="33.75" customHeight="1" x14ac:dyDescent="0.2">
      <c r="A12" s="491"/>
      <c r="B12" s="117" t="s">
        <v>80</v>
      </c>
      <c r="C12" s="119">
        <v>0.311</v>
      </c>
      <c r="D12" s="161">
        <f t="shared" si="0"/>
        <v>0.19530799999999995</v>
      </c>
      <c r="F12" s="102"/>
      <c r="G12" s="102"/>
      <c r="H12" s="126"/>
    </row>
    <row r="13" spans="1:8" ht="33.75" customHeight="1" x14ac:dyDescent="0.2">
      <c r="A13" s="491"/>
      <c r="B13" s="117" t="s">
        <v>81</v>
      </c>
      <c r="C13" s="119">
        <v>0.29300000000000004</v>
      </c>
      <c r="D13" s="123">
        <f t="shared" si="0"/>
        <v>0.184004</v>
      </c>
      <c r="F13" s="102"/>
      <c r="G13" s="102"/>
      <c r="H13" s="126"/>
    </row>
    <row r="14" spans="1:8" ht="33.75" customHeight="1" x14ac:dyDescent="0.2">
      <c r="A14" s="491"/>
      <c r="B14" s="463" t="s">
        <v>539</v>
      </c>
      <c r="C14" s="464">
        <v>0.03</v>
      </c>
      <c r="D14" s="465">
        <f t="shared" si="0"/>
        <v>1.8839999999999996E-2</v>
      </c>
      <c r="F14" s="102"/>
      <c r="G14" s="102"/>
      <c r="H14" s="126"/>
    </row>
    <row r="15" spans="1:8" ht="18" customHeight="1" x14ac:dyDescent="0.2">
      <c r="A15" s="492"/>
      <c r="B15" s="117" t="s">
        <v>82</v>
      </c>
      <c r="C15" s="119">
        <v>0</v>
      </c>
      <c r="D15" s="123">
        <f t="shared" si="0"/>
        <v>0</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0.37200000000000005</v>
      </c>
      <c r="D18" s="228">
        <f>C18</f>
        <v>0.37200000000000005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0.62799999999999989</v>
      </c>
    </row>
    <row r="21" spans="1:8" ht="18" customHeight="1" x14ac:dyDescent="0.2">
      <c r="A21" s="19"/>
      <c r="B21" s="11" t="s">
        <v>456</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1" t="s">
        <v>28</v>
      </c>
      <c r="C25" s="392" t="s">
        <v>30</v>
      </c>
      <c r="D25" s="347"/>
    </row>
    <row r="26" spans="1:8" ht="16.5" customHeight="1" x14ac:dyDescent="0.2">
      <c r="A26" s="19"/>
      <c r="B26" s="393" t="s">
        <v>30</v>
      </c>
      <c r="C26" s="394">
        <f>C45*$D$8</f>
        <v>2086.2792481017927</v>
      </c>
      <c r="D26" s="360" t="s">
        <v>85</v>
      </c>
    </row>
    <row r="27" spans="1:8" ht="14.25" customHeight="1" x14ac:dyDescent="0.2">
      <c r="B27" s="361" t="s">
        <v>32</v>
      </c>
      <c r="C27" s="395">
        <v>0</v>
      </c>
      <c r="D27" s="363" t="s">
        <v>86</v>
      </c>
    </row>
    <row r="28" spans="1:8" ht="16.5" customHeight="1" x14ac:dyDescent="0.2">
      <c r="A28" s="19"/>
      <c r="B28" s="361" t="s">
        <v>34</v>
      </c>
      <c r="C28" s="396">
        <f>SUM($D$11:$D$12)*C45</f>
        <v>13727.717452509794</v>
      </c>
      <c r="D28" s="360" t="s">
        <v>87</v>
      </c>
    </row>
    <row r="29" spans="1:8" ht="16.5" customHeight="1" x14ac:dyDescent="0.2">
      <c r="A29" s="19"/>
      <c r="B29" s="361" t="s">
        <v>36</v>
      </c>
      <c r="C29" s="396">
        <f>$D$10*$C$45</f>
        <v>0</v>
      </c>
      <c r="D29" s="360" t="s">
        <v>88</v>
      </c>
    </row>
    <row r="30" spans="1:8" ht="16.5" customHeight="1" x14ac:dyDescent="0.2">
      <c r="A30" s="19"/>
      <c r="B30" s="330" t="s">
        <v>38</v>
      </c>
      <c r="C30" s="397">
        <f>$D4*$C$45*C17</f>
        <v>10222.768315698782</v>
      </c>
      <c r="D30" s="365" t="s">
        <v>89</v>
      </c>
    </row>
    <row r="31" spans="1:8" ht="16.5" customHeight="1" x14ac:dyDescent="0.2">
      <c r="A31" s="19"/>
      <c r="B31" s="330" t="s">
        <v>41</v>
      </c>
      <c r="C31" s="397">
        <f>$D5*$C$45*C17</f>
        <v>0</v>
      </c>
      <c r="D31" s="365" t="s">
        <v>90</v>
      </c>
    </row>
    <row r="32" spans="1:8" ht="16.5" customHeight="1" x14ac:dyDescent="0.2">
      <c r="A32" s="19"/>
      <c r="B32" s="330" t="s">
        <v>40</v>
      </c>
      <c r="C32" s="397">
        <f>$D6*$C$45*C17</f>
        <v>2211.4560029878999</v>
      </c>
      <c r="D32" s="365" t="s">
        <v>91</v>
      </c>
    </row>
    <row r="33" spans="1:8" ht="16.5" customHeight="1" x14ac:dyDescent="0.2">
      <c r="A33" s="19"/>
      <c r="B33" s="330" t="s">
        <v>42</v>
      </c>
      <c r="C33" s="397">
        <f>$D7*$C$45*C17</f>
        <v>0</v>
      </c>
      <c r="D33" s="365" t="s">
        <v>92</v>
      </c>
    </row>
    <row r="34" spans="1:8" ht="16.5" customHeight="1" x14ac:dyDescent="0.2">
      <c r="A34" s="19"/>
      <c r="B34" s="361" t="s">
        <v>43</v>
      </c>
      <c r="C34" s="397">
        <f>D18*C$45*C16</f>
        <v>24716.429308721879</v>
      </c>
      <c r="D34" s="365" t="s">
        <v>93</v>
      </c>
    </row>
    <row r="35" spans="1:8" ht="16.5" customHeight="1" x14ac:dyDescent="0.2">
      <c r="A35" s="19"/>
      <c r="B35" s="361" t="s">
        <v>45</v>
      </c>
      <c r="C35" s="397">
        <v>0</v>
      </c>
      <c r="D35" s="365" t="s">
        <v>94</v>
      </c>
      <c r="G35" s="109">
        <f>Restaurants!C27</f>
        <v>937.91432678942351</v>
      </c>
    </row>
    <row r="36" spans="1:8" ht="16.5" customHeight="1" x14ac:dyDescent="0.2">
      <c r="A36" s="19"/>
      <c r="B36" s="361" t="s">
        <v>47</v>
      </c>
      <c r="C36" s="397">
        <v>0</v>
      </c>
      <c r="D36" s="365" t="s">
        <v>94</v>
      </c>
      <c r="G36" s="110">
        <f>+Lodges!C27</f>
        <v>524.96501343809587</v>
      </c>
    </row>
    <row r="37" spans="1:8" ht="16.5" customHeight="1" x14ac:dyDescent="0.2">
      <c r="A37" s="19"/>
      <c r="B37" s="361" t="s">
        <v>48</v>
      </c>
      <c r="C37" s="397">
        <v>0</v>
      </c>
      <c r="D37" s="365" t="s">
        <v>95</v>
      </c>
      <c r="G37" s="110">
        <f>+SUM(Households!C30:D30)</f>
        <v>47063.950104221673</v>
      </c>
    </row>
    <row r="38" spans="1:8" ht="16.5" customHeight="1" x14ac:dyDescent="0.2">
      <c r="A38" s="19"/>
      <c r="B38" s="361" t="s">
        <v>50</v>
      </c>
      <c r="C38" s="397">
        <v>0</v>
      </c>
      <c r="D38" s="365" t="s">
        <v>96</v>
      </c>
      <c r="G38" s="110">
        <f>+NatParkPA!C27</f>
        <v>0</v>
      </c>
    </row>
    <row r="39" spans="1:8" ht="16.5" customHeight="1" x14ac:dyDescent="0.2">
      <c r="A39" s="19"/>
      <c r="B39" s="361" t="s">
        <v>52</v>
      </c>
      <c r="C39" s="397">
        <v>0</v>
      </c>
      <c r="D39" s="365" t="s">
        <v>97</v>
      </c>
      <c r="G39" s="110">
        <f>+ Tourism!C26</f>
        <v>2101.1881256969564</v>
      </c>
    </row>
    <row r="40" spans="1:8" ht="16.5" customHeight="1" x14ac:dyDescent="0.2">
      <c r="A40" s="19"/>
      <c r="B40" s="361" t="s">
        <v>54</v>
      </c>
      <c r="C40" s="397">
        <v>0</v>
      </c>
      <c r="D40" s="365" t="s">
        <v>98</v>
      </c>
    </row>
    <row r="41" spans="1:8" ht="16.5" customHeight="1" x14ac:dyDescent="0.2">
      <c r="A41" s="19"/>
      <c r="B41" s="328" t="s">
        <v>551</v>
      </c>
      <c r="C41" s="475">
        <f>$D$14*$C$45</f>
        <v>1251.7675488610753</v>
      </c>
      <c r="D41" s="345" t="s">
        <v>552</v>
      </c>
    </row>
    <row r="42" spans="1:8" ht="16.5" customHeight="1" x14ac:dyDescent="0.2">
      <c r="A42" s="19"/>
      <c r="B42" s="328" t="s">
        <v>57</v>
      </c>
      <c r="C42" s="475">
        <f>$D$15*$C$45</f>
        <v>0</v>
      </c>
      <c r="D42" s="353" t="s">
        <v>553</v>
      </c>
    </row>
    <row r="43" spans="1:8" ht="16.5" customHeight="1" x14ac:dyDescent="0.2">
      <c r="A43" s="19"/>
      <c r="B43" s="398" t="s">
        <v>59</v>
      </c>
      <c r="C43" s="399">
        <f>$C$45*$D$13+C45*SUM(D4:D7)*(1-C17)+C45*C18*(1-C16)</f>
        <v>12225.596393876505</v>
      </c>
      <c r="D43" s="365" t="s">
        <v>99</v>
      </c>
      <c r="G43" s="108">
        <f>(Restaurants!C27+Lodges!C27+SUM(Households!C30:D30)+NatParkPA!C27+ Tourism!C26 + Tourists!C25 + ComRevSh!C25 )/(1-0)</f>
        <v>50628.017570146149</v>
      </c>
    </row>
    <row r="44" spans="1:8" ht="16.5" customHeight="1" x14ac:dyDescent="0.2">
      <c r="A44" s="19"/>
      <c r="B44" s="361" t="s">
        <v>61</v>
      </c>
      <c r="C44" s="399">
        <f>SUM(C26:C43)</f>
        <v>66442.014270757732</v>
      </c>
      <c r="D44" s="365" t="s">
        <v>100</v>
      </c>
    </row>
    <row r="45" spans="1:8" ht="16.5" customHeight="1" x14ac:dyDescent="0.2">
      <c r="A45" s="19"/>
      <c r="B45" s="361" t="s">
        <v>63</v>
      </c>
      <c r="C45" s="400">
        <f>(Restaurants!C27+Lodges!C27+SUM(Households!C30:D30)+NatParkPA!C27+Tourism!C26+Tourists!C25+ComRevSh!C25)/(1-SUM(D8:D12))</f>
        <v>66442.014270757732</v>
      </c>
      <c r="D45" s="365" t="s">
        <v>101</v>
      </c>
      <c r="F45" s="127" t="s">
        <v>453</v>
      </c>
      <c r="G45" s="127"/>
      <c r="H45" s="127"/>
    </row>
    <row r="46" spans="1:8" ht="16.5" customHeight="1" x14ac:dyDescent="0.2">
      <c r="A46" s="19"/>
      <c r="B46" s="361" t="s">
        <v>65</v>
      </c>
      <c r="C46" s="397">
        <f>C45-C44</f>
        <v>0</v>
      </c>
      <c r="D46" s="365" t="s">
        <v>102</v>
      </c>
      <c r="F46" s="127"/>
      <c r="G46" s="160">
        <f>(1-SUM(D8:D12))</f>
        <v>0.76198800000000011</v>
      </c>
    </row>
    <row r="47" spans="1:8" ht="16.5" customHeight="1" x14ac:dyDescent="0.2">
      <c r="A47" s="19"/>
      <c r="B47" s="361" t="s">
        <v>67</v>
      </c>
      <c r="C47" s="401">
        <f>C46/C45</f>
        <v>0</v>
      </c>
      <c r="D47" s="365" t="s">
        <v>103</v>
      </c>
      <c r="G47" s="108">
        <f>(Restaurants!C27+Lodges!C27+SUM(Households!C30:D30)+NatParkPA!C27+ Tourism!C26 + Tourists!C25 + ComRevSh!C25 )/0.6605</f>
        <v>76651.04855434694</v>
      </c>
    </row>
    <row r="48" spans="1:8" ht="33.75" customHeight="1" x14ac:dyDescent="0.2">
      <c r="A48" s="19"/>
      <c r="B48" s="402" t="s">
        <v>104</v>
      </c>
      <c r="C48" s="403">
        <f>C34/C45</f>
        <v>0.37200000000000005</v>
      </c>
      <c r="D48" s="376"/>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383</v>
      </c>
      <c r="E54" s="178">
        <v>0</v>
      </c>
      <c r="F54" s="178">
        <v>100</v>
      </c>
      <c r="G54" s="179">
        <v>0.01</v>
      </c>
      <c r="H54" s="8"/>
    </row>
    <row r="55" spans="1:8" ht="28" customHeight="1" x14ac:dyDescent="0.2">
      <c r="A55" s="19"/>
      <c r="B55" s="175" t="s">
        <v>73</v>
      </c>
      <c r="C55" s="176">
        <f t="shared" si="1"/>
        <v>0</v>
      </c>
      <c r="D55" s="180" t="s">
        <v>384</v>
      </c>
      <c r="E55" s="181">
        <v>0</v>
      </c>
      <c r="F55" s="181">
        <v>100</v>
      </c>
      <c r="G55" s="182">
        <v>0.01</v>
      </c>
      <c r="H55" s="8"/>
    </row>
    <row r="56" spans="1:8" ht="20" customHeight="1" x14ac:dyDescent="0.2">
      <c r="A56" s="19"/>
      <c r="B56" s="175" t="s">
        <v>74</v>
      </c>
      <c r="C56" s="176">
        <f t="shared" si="1"/>
        <v>5.3</v>
      </c>
      <c r="D56" s="180" t="s">
        <v>385</v>
      </c>
      <c r="E56" s="181">
        <v>0</v>
      </c>
      <c r="F56" s="181">
        <v>100</v>
      </c>
      <c r="G56" s="182">
        <v>0.01</v>
      </c>
      <c r="H56" s="8"/>
    </row>
    <row r="57" spans="1:8" ht="20" customHeight="1" x14ac:dyDescent="0.2">
      <c r="A57" s="19"/>
      <c r="B57" s="175" t="s">
        <v>75</v>
      </c>
      <c r="C57" s="176">
        <f t="shared" si="1"/>
        <v>0</v>
      </c>
      <c r="D57" s="180" t="s">
        <v>386</v>
      </c>
      <c r="E57" s="181">
        <v>0</v>
      </c>
      <c r="F57" s="181">
        <v>100</v>
      </c>
      <c r="G57" s="182">
        <v>0.01</v>
      </c>
      <c r="H57" s="8"/>
    </row>
    <row r="58" spans="1:8" ht="20" customHeight="1" x14ac:dyDescent="0.2">
      <c r="A58" s="19"/>
      <c r="B58" s="175" t="s">
        <v>107</v>
      </c>
      <c r="C58" s="176">
        <f t="shared" si="1"/>
        <v>5</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1.8000000000000003</v>
      </c>
      <c r="D61" s="180" t="s">
        <v>389</v>
      </c>
      <c r="E61" s="181">
        <v>0</v>
      </c>
      <c r="F61" s="181">
        <v>100</v>
      </c>
      <c r="G61" s="182">
        <v>0.01</v>
      </c>
      <c r="H61" s="8"/>
    </row>
    <row r="62" spans="1:8" ht="20" customHeight="1" x14ac:dyDescent="0.2">
      <c r="A62" s="19"/>
      <c r="B62" s="175" t="s">
        <v>109</v>
      </c>
      <c r="C62" s="176">
        <f t="shared" si="1"/>
        <v>31.1</v>
      </c>
      <c r="D62" s="180" t="s">
        <v>390</v>
      </c>
      <c r="E62" s="181">
        <v>0</v>
      </c>
      <c r="F62" s="181">
        <v>100</v>
      </c>
      <c r="G62" s="182">
        <v>0.01</v>
      </c>
      <c r="H62" s="8"/>
    </row>
    <row r="63" spans="1:8" ht="28" customHeight="1" x14ac:dyDescent="0.2">
      <c r="A63" s="19"/>
      <c r="B63" s="175" t="s">
        <v>110</v>
      </c>
      <c r="C63" s="176">
        <f t="shared" si="1"/>
        <v>29.300000000000004</v>
      </c>
      <c r="D63" s="180" t="s">
        <v>391</v>
      </c>
      <c r="E63" s="181">
        <v>0</v>
      </c>
      <c r="F63" s="181">
        <v>100</v>
      </c>
      <c r="G63" s="182">
        <v>0.01</v>
      </c>
      <c r="H63" s="8"/>
    </row>
    <row r="64" spans="1:8" ht="28" customHeight="1" x14ac:dyDescent="0.2">
      <c r="A64" s="19"/>
      <c r="B64" s="175" t="s">
        <v>570</v>
      </c>
      <c r="C64" s="176">
        <f t="shared" si="1"/>
        <v>3</v>
      </c>
      <c r="D64" s="180" t="s">
        <v>571</v>
      </c>
      <c r="E64" s="181">
        <v>0</v>
      </c>
      <c r="F64" s="181">
        <v>100</v>
      </c>
      <c r="G64" s="182">
        <v>0.01</v>
      </c>
      <c r="H64" s="8"/>
    </row>
    <row r="65" spans="1:8" ht="20" customHeight="1" x14ac:dyDescent="0.2">
      <c r="A65" s="19"/>
      <c r="B65" s="175" t="s">
        <v>82</v>
      </c>
      <c r="C65" s="176">
        <f t="shared" ref="C65" si="2">C15*100</f>
        <v>0</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37.200000000000003</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90" t="s">
        <v>497</v>
      </c>
      <c r="B4" s="212" t="s">
        <v>71</v>
      </c>
      <c r="C4" s="209">
        <v>0.13600000000000001</v>
      </c>
      <c r="D4" s="213">
        <f t="shared" ref="D4:D15" si="0">C4/$C$20*(1-$C$18)</f>
        <v>0.10045866666666668</v>
      </c>
      <c r="E4" s="29"/>
      <c r="F4" s="29"/>
      <c r="G4" s="30"/>
      <c r="H4" s="31" t="s">
        <v>72</v>
      </c>
    </row>
    <row r="5" spans="1:8" ht="36" customHeight="1" x14ac:dyDescent="0.2">
      <c r="A5" s="491"/>
      <c r="B5" s="214" t="s">
        <v>73</v>
      </c>
      <c r="C5" s="210">
        <v>0</v>
      </c>
      <c r="D5" s="213">
        <f t="shared" si="0"/>
        <v>0</v>
      </c>
      <c r="G5" s="16"/>
      <c r="H5" s="11"/>
    </row>
    <row r="6" spans="1:8" ht="33.75" customHeight="1" x14ac:dyDescent="0.2">
      <c r="A6" s="491"/>
      <c r="B6" s="214" t="s">
        <v>74</v>
      </c>
      <c r="C6" s="210">
        <v>8.0000000000000002E-3</v>
      </c>
      <c r="D6" s="213">
        <f t="shared" si="0"/>
        <v>5.9093333333333333E-3</v>
      </c>
      <c r="G6" s="16"/>
      <c r="H6" s="11"/>
    </row>
    <row r="7" spans="1:8" ht="33.75" customHeight="1" x14ac:dyDescent="0.2">
      <c r="A7" s="491"/>
      <c r="B7" s="214" t="s">
        <v>75</v>
      </c>
      <c r="C7" s="210">
        <v>0</v>
      </c>
      <c r="D7" s="213">
        <f t="shared" si="0"/>
        <v>0</v>
      </c>
      <c r="G7" s="16"/>
      <c r="H7" s="11"/>
    </row>
    <row r="8" spans="1:8" ht="33.75" customHeight="1" x14ac:dyDescent="0.2">
      <c r="A8" s="491"/>
      <c r="B8" s="215" t="s">
        <v>107</v>
      </c>
      <c r="C8" s="210">
        <v>0</v>
      </c>
      <c r="D8" s="213">
        <f t="shared" si="0"/>
        <v>0</v>
      </c>
      <c r="G8" s="16"/>
      <c r="H8" s="11"/>
    </row>
    <row r="9" spans="1:8" ht="33.75" customHeight="1" x14ac:dyDescent="0.2">
      <c r="A9" s="491"/>
      <c r="B9" s="215" t="s">
        <v>485</v>
      </c>
      <c r="C9" s="210">
        <v>0</v>
      </c>
      <c r="D9" s="213">
        <f t="shared" si="0"/>
        <v>0</v>
      </c>
      <c r="G9" s="16"/>
      <c r="H9" s="11"/>
    </row>
    <row r="10" spans="1:8" ht="18" customHeight="1" x14ac:dyDescent="0.2">
      <c r="A10" s="491"/>
      <c r="B10" s="215" t="s">
        <v>108</v>
      </c>
      <c r="C10" s="210">
        <v>0</v>
      </c>
      <c r="D10" s="213">
        <f t="shared" si="0"/>
        <v>0</v>
      </c>
      <c r="G10" s="16"/>
      <c r="H10" s="11"/>
    </row>
    <row r="11" spans="1:8" ht="27" customHeight="1" x14ac:dyDescent="0.2">
      <c r="A11" s="491"/>
      <c r="B11" s="215" t="s">
        <v>78</v>
      </c>
      <c r="C11" s="210">
        <v>3.0000000000000006E-2</v>
      </c>
      <c r="D11" s="213">
        <f t="shared" si="0"/>
        <v>2.2160000000000006E-2</v>
      </c>
      <c r="G11" s="16"/>
      <c r="H11" s="11"/>
    </row>
    <row r="12" spans="1:8" ht="18" customHeight="1" x14ac:dyDescent="0.2">
      <c r="A12" s="491"/>
      <c r="B12" s="215" t="s">
        <v>109</v>
      </c>
      <c r="C12" s="210">
        <v>7.400000000000001E-2</v>
      </c>
      <c r="D12" s="213">
        <f t="shared" si="0"/>
        <v>5.466133333333334E-2</v>
      </c>
      <c r="G12" s="16"/>
      <c r="H12" s="11"/>
    </row>
    <row r="13" spans="1:8" ht="41.25" customHeight="1" x14ac:dyDescent="0.2">
      <c r="A13" s="491"/>
      <c r="B13" s="215" t="s">
        <v>110</v>
      </c>
      <c r="C13" s="210">
        <v>0.67933333333333334</v>
      </c>
      <c r="D13" s="213">
        <f t="shared" si="0"/>
        <v>0.50180088888888896</v>
      </c>
      <c r="G13" s="16"/>
      <c r="H13" s="32"/>
    </row>
    <row r="14" spans="1:8" ht="16.5" customHeight="1" x14ac:dyDescent="0.2">
      <c r="A14" s="491"/>
      <c r="B14" s="466" t="s">
        <v>540</v>
      </c>
      <c r="C14" s="467">
        <v>2.7999999999999997E-2</v>
      </c>
      <c r="D14" s="468">
        <f t="shared" si="0"/>
        <v>2.0682666666666665E-2</v>
      </c>
      <c r="G14" s="16"/>
      <c r="H14" s="11"/>
    </row>
    <row r="15" spans="1:8" ht="16.5" customHeight="1" x14ac:dyDescent="0.2">
      <c r="A15" s="492"/>
      <c r="B15" s="216" t="s">
        <v>125</v>
      </c>
      <c r="C15" s="210">
        <v>4.4666666666666667E-2</v>
      </c>
      <c r="D15" s="213">
        <f t="shared" si="0"/>
        <v>3.2993777777777782E-2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0.76666666666666672</v>
      </c>
      <c r="D17" s="222">
        <f>C17</f>
        <v>0.76666666666666672</v>
      </c>
      <c r="E17" s="6"/>
      <c r="F17" s="6"/>
      <c r="G17" s="17"/>
      <c r="H17" s="18"/>
    </row>
    <row r="18" spans="1:8" ht="27" customHeight="1" x14ac:dyDescent="0.2">
      <c r="A18" s="231"/>
      <c r="B18" s="220" t="s">
        <v>374</v>
      </c>
      <c r="C18" s="122">
        <v>0.26133333333333331</v>
      </c>
      <c r="D18" s="223">
        <f>C18</f>
        <v>0.26133333333333331</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8" t="s">
        <v>112</v>
      </c>
      <c r="C25" s="389" t="s">
        <v>34</v>
      </c>
      <c r="D25" s="390"/>
    </row>
    <row r="26" spans="1:8" ht="16.5" customHeight="1" x14ac:dyDescent="0.2">
      <c r="A26" s="19"/>
      <c r="B26" s="330" t="s">
        <v>30</v>
      </c>
      <c r="C26" s="384">
        <f>$D$8*$C$45</f>
        <v>0</v>
      </c>
      <c r="D26" s="380" t="s">
        <v>128</v>
      </c>
    </row>
    <row r="27" spans="1:8" ht="14.25" customHeight="1" x14ac:dyDescent="0.2">
      <c r="B27" s="330" t="s">
        <v>32</v>
      </c>
      <c r="C27" s="382">
        <v>0</v>
      </c>
      <c r="D27" s="331" t="s">
        <v>129</v>
      </c>
    </row>
    <row r="28" spans="1:8" ht="16.5" customHeight="1" x14ac:dyDescent="0.2">
      <c r="A28" s="19"/>
      <c r="B28" s="330" t="s">
        <v>34</v>
      </c>
      <c r="C28" s="384">
        <f>SUM($D$11:$D$12)*$C$45</f>
        <v>115181.20272582587</v>
      </c>
      <c r="D28" s="380" t="s">
        <v>130</v>
      </c>
    </row>
    <row r="29" spans="1:8" ht="16.5" customHeight="1" x14ac:dyDescent="0.2">
      <c r="A29" s="19"/>
      <c r="B29" s="330" t="s">
        <v>36</v>
      </c>
      <c r="C29" s="384">
        <f>$D$10*$C$45</f>
        <v>0</v>
      </c>
      <c r="D29" s="380" t="s">
        <v>371</v>
      </c>
    </row>
    <row r="30" spans="1:8" ht="16.5" customHeight="1" x14ac:dyDescent="0.2">
      <c r="A30" s="19"/>
      <c r="B30" s="330" t="s">
        <v>38</v>
      </c>
      <c r="C30" s="384">
        <f>D4*$C$45*C17</f>
        <v>115476.53914307158</v>
      </c>
      <c r="D30" s="381" t="s">
        <v>89</v>
      </c>
    </row>
    <row r="31" spans="1:8" ht="16.5" customHeight="1" x14ac:dyDescent="0.2">
      <c r="A31" s="19"/>
      <c r="B31" s="330" t="s">
        <v>41</v>
      </c>
      <c r="C31" s="384">
        <f>D5*$C$45*C17</f>
        <v>0</v>
      </c>
      <c r="D31" s="381" t="s">
        <v>90</v>
      </c>
    </row>
    <row r="32" spans="1:8" ht="16.5" customHeight="1" x14ac:dyDescent="0.2">
      <c r="A32" s="19"/>
      <c r="B32" s="330" t="s">
        <v>40</v>
      </c>
      <c r="C32" s="384">
        <f>D6*$C$45*C17</f>
        <v>6792.7375966512682</v>
      </c>
      <c r="D32" s="381" t="s">
        <v>91</v>
      </c>
    </row>
    <row r="33" spans="1:8" ht="16.5" customHeight="1" x14ac:dyDescent="0.2">
      <c r="A33" s="19"/>
      <c r="B33" s="330" t="s">
        <v>42</v>
      </c>
      <c r="C33" s="384">
        <f>D7*$C$45*C17</f>
        <v>0</v>
      </c>
      <c r="D33" s="381" t="s">
        <v>92</v>
      </c>
    </row>
    <row r="34" spans="1:8" ht="16.5" customHeight="1" x14ac:dyDescent="0.2">
      <c r="A34" s="19"/>
      <c r="B34" s="330" t="s">
        <v>43</v>
      </c>
      <c r="C34" s="384">
        <f>$C$45*D18*C16</f>
        <v>391827.19616533368</v>
      </c>
      <c r="D34" s="381" t="s">
        <v>93</v>
      </c>
    </row>
    <row r="35" spans="1:8" ht="16.5" customHeight="1" x14ac:dyDescent="0.2">
      <c r="A35" s="19"/>
      <c r="B35" s="330" t="s">
        <v>45</v>
      </c>
      <c r="C35" s="384">
        <v>0</v>
      </c>
      <c r="D35" s="381" t="s">
        <v>131</v>
      </c>
    </row>
    <row r="36" spans="1:8" ht="16.5" customHeight="1" x14ac:dyDescent="0.2">
      <c r="A36" s="19"/>
      <c r="B36" s="330" t="s">
        <v>47</v>
      </c>
      <c r="C36" s="382">
        <v>0</v>
      </c>
      <c r="D36" s="381" t="s">
        <v>131</v>
      </c>
    </row>
    <row r="37" spans="1:8" ht="16.5" customHeight="1" x14ac:dyDescent="0.2">
      <c r="A37" s="19"/>
      <c r="B37" s="330" t="s">
        <v>48</v>
      </c>
      <c r="C37" s="382">
        <v>0</v>
      </c>
      <c r="D37" s="381" t="s">
        <v>132</v>
      </c>
    </row>
    <row r="38" spans="1:8" ht="16.5" customHeight="1" x14ac:dyDescent="0.2">
      <c r="A38" s="19"/>
      <c r="B38" s="330" t="s">
        <v>50</v>
      </c>
      <c r="C38" s="382">
        <v>0</v>
      </c>
      <c r="D38" s="381" t="s">
        <v>133</v>
      </c>
    </row>
    <row r="39" spans="1:8" ht="16.5" customHeight="1" x14ac:dyDescent="0.2">
      <c r="A39" s="19"/>
      <c r="B39" s="330" t="s">
        <v>52</v>
      </c>
      <c r="C39" s="382">
        <v>0</v>
      </c>
      <c r="D39" s="381" t="s">
        <v>134</v>
      </c>
    </row>
    <row r="40" spans="1:8" ht="16.5" customHeight="1" x14ac:dyDescent="0.2">
      <c r="A40" s="19"/>
      <c r="B40" s="330" t="s">
        <v>54</v>
      </c>
      <c r="C40" s="382">
        <v>0</v>
      </c>
      <c r="D40" s="381" t="s">
        <v>135</v>
      </c>
    </row>
    <row r="41" spans="1:8" ht="16.5" customHeight="1" x14ac:dyDescent="0.2">
      <c r="A41" s="19"/>
      <c r="B41" s="328" t="s">
        <v>551</v>
      </c>
      <c r="C41" s="475">
        <f>$D$14*$C$45</f>
        <v>31010.323810799266</v>
      </c>
      <c r="D41" s="345" t="s">
        <v>552</v>
      </c>
    </row>
    <row r="42" spans="1:8" ht="16.5" customHeight="1" x14ac:dyDescent="0.2">
      <c r="A42" s="19"/>
      <c r="B42" s="328" t="s">
        <v>57</v>
      </c>
      <c r="C42" s="475">
        <f>$D$15*$C$45</f>
        <v>49468.849888655976</v>
      </c>
      <c r="D42" s="353" t="s">
        <v>553</v>
      </c>
    </row>
    <row r="43" spans="1:8" ht="16.5" customHeight="1" x14ac:dyDescent="0.2">
      <c r="A43" s="19"/>
      <c r="B43" s="383" t="s">
        <v>59</v>
      </c>
      <c r="C43" s="384">
        <f>$D$13*$C$45 + C45*SUM(D4:D7)*(1-C17) + C45*C18*(1-C16)</f>
        <v>789581.91150639858</v>
      </c>
      <c r="D43" s="381" t="s">
        <v>136</v>
      </c>
    </row>
    <row r="44" spans="1:8" ht="16.5" customHeight="1" x14ac:dyDescent="0.2">
      <c r="A44" s="19"/>
      <c r="B44" s="330" t="s">
        <v>61</v>
      </c>
      <c r="C44" s="384">
        <f>SUM($C$26:$C$43)</f>
        <v>1499338.7608367363</v>
      </c>
      <c r="D44" s="381" t="s">
        <v>62</v>
      </c>
    </row>
    <row r="45" spans="1:8" ht="33" customHeight="1" x14ac:dyDescent="0.2">
      <c r="A45" s="19"/>
      <c r="B45" s="330" t="s">
        <v>63</v>
      </c>
      <c r="C45" s="382">
        <f>SUM(Tourists!C27, Tourism!C28, Lodges!C29,Restaurants!C29,SUM(Households!C32:D32) + NatParkPA!C29  + ComRevSh!C27)/(1-SUM(D8:D12))</f>
        <v>1499338.7608367361</v>
      </c>
      <c r="D45" s="381" t="s">
        <v>137</v>
      </c>
      <c r="E45" s="127" t="s">
        <v>372</v>
      </c>
    </row>
    <row r="46" spans="1:8" ht="16.5" customHeight="1" x14ac:dyDescent="0.2">
      <c r="A46" s="19"/>
      <c r="B46" s="330" t="s">
        <v>65</v>
      </c>
      <c r="C46" s="382">
        <f>C45-C44</f>
        <v>0</v>
      </c>
      <c r="D46" s="381" t="s">
        <v>102</v>
      </c>
    </row>
    <row r="47" spans="1:8" ht="16.5" customHeight="1" x14ac:dyDescent="0.2">
      <c r="A47" s="19"/>
      <c r="B47" s="385" t="s">
        <v>67</v>
      </c>
      <c r="C47" s="386">
        <f>C46/C45</f>
        <v>0</v>
      </c>
      <c r="D47" s="387"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13.600000000000001</v>
      </c>
      <c r="D54" s="199" t="s">
        <v>402</v>
      </c>
      <c r="E54" s="199">
        <v>0</v>
      </c>
      <c r="F54" s="199">
        <v>100</v>
      </c>
      <c r="G54" s="200">
        <v>0.01</v>
      </c>
      <c r="H54" s="8"/>
    </row>
    <row r="55" spans="1:8" ht="27" customHeight="1" x14ac:dyDescent="0.2">
      <c r="A55" s="19"/>
      <c r="B55" s="197" t="s">
        <v>73</v>
      </c>
      <c r="C55" s="198">
        <f t="shared" si="1"/>
        <v>0</v>
      </c>
      <c r="D55" s="181" t="s">
        <v>403</v>
      </c>
      <c r="E55" s="181">
        <v>0</v>
      </c>
      <c r="F55" s="181">
        <v>100</v>
      </c>
      <c r="G55" s="201">
        <v>0.01</v>
      </c>
      <c r="H55" s="8"/>
    </row>
    <row r="56" spans="1:8" ht="27" customHeight="1" x14ac:dyDescent="0.2">
      <c r="A56" s="19"/>
      <c r="B56" s="197" t="s">
        <v>74</v>
      </c>
      <c r="C56" s="198">
        <f t="shared" si="1"/>
        <v>0.8</v>
      </c>
      <c r="D56" s="199" t="s">
        <v>404</v>
      </c>
      <c r="E56" s="181">
        <v>0</v>
      </c>
      <c r="F56" s="181">
        <v>100</v>
      </c>
      <c r="G56" s="201">
        <v>0.01</v>
      </c>
      <c r="H56" s="8"/>
    </row>
    <row r="57" spans="1:8" ht="27" customHeight="1" x14ac:dyDescent="0.2">
      <c r="A57" s="19"/>
      <c r="B57" s="197" t="s">
        <v>75</v>
      </c>
      <c r="C57" s="198">
        <f t="shared" si="1"/>
        <v>0</v>
      </c>
      <c r="D57" s="181" t="s">
        <v>405</v>
      </c>
      <c r="E57" s="181">
        <v>0</v>
      </c>
      <c r="F57" s="181">
        <v>100</v>
      </c>
      <c r="G57" s="201">
        <v>0.01</v>
      </c>
      <c r="H57" s="8"/>
    </row>
    <row r="58" spans="1:8" ht="27" customHeight="1" x14ac:dyDescent="0.2">
      <c r="A58" s="19"/>
      <c r="B58" s="197" t="s">
        <v>107</v>
      </c>
      <c r="C58" s="198">
        <f t="shared" si="1"/>
        <v>0</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3.0000000000000004</v>
      </c>
      <c r="D61" s="181" t="s">
        <v>409</v>
      </c>
      <c r="E61" s="181">
        <v>0</v>
      </c>
      <c r="F61" s="181">
        <v>100</v>
      </c>
      <c r="G61" s="202">
        <v>0.01</v>
      </c>
      <c r="H61" s="8"/>
    </row>
    <row r="62" spans="1:8" ht="27" customHeight="1" x14ac:dyDescent="0.2">
      <c r="A62" s="19"/>
      <c r="B62" s="197" t="s">
        <v>109</v>
      </c>
      <c r="C62" s="198">
        <f t="shared" si="1"/>
        <v>7.4000000000000012</v>
      </c>
      <c r="D62" s="181" t="s">
        <v>410</v>
      </c>
      <c r="E62" s="181">
        <v>0</v>
      </c>
      <c r="F62" s="181">
        <v>100</v>
      </c>
      <c r="G62" s="202">
        <v>0.01</v>
      </c>
      <c r="H62" s="8"/>
    </row>
    <row r="63" spans="1:8" ht="27" customHeight="1" x14ac:dyDescent="0.2">
      <c r="A63" s="19"/>
      <c r="B63" s="197" t="s">
        <v>110</v>
      </c>
      <c r="C63" s="198">
        <f t="shared" si="1"/>
        <v>67.933333333333337</v>
      </c>
      <c r="D63" s="181" t="s">
        <v>411</v>
      </c>
      <c r="E63" s="181">
        <v>0</v>
      </c>
      <c r="F63" s="181">
        <v>100</v>
      </c>
      <c r="G63" s="202">
        <v>0.01</v>
      </c>
      <c r="H63" s="8"/>
    </row>
    <row r="64" spans="1:8" ht="27" customHeight="1" x14ac:dyDescent="0.2">
      <c r="A64" s="19"/>
      <c r="B64" s="197" t="s">
        <v>572</v>
      </c>
      <c r="C64" s="198">
        <f t="shared" si="1"/>
        <v>2.8</v>
      </c>
      <c r="D64" s="180" t="s">
        <v>573</v>
      </c>
      <c r="E64" s="181">
        <v>0</v>
      </c>
      <c r="F64" s="181">
        <v>100</v>
      </c>
      <c r="G64" s="182">
        <v>0.01</v>
      </c>
      <c r="H64" s="8"/>
    </row>
    <row r="65" spans="1:8" ht="27" customHeight="1" x14ac:dyDescent="0.2">
      <c r="A65" s="19"/>
      <c r="B65" s="204" t="s">
        <v>111</v>
      </c>
      <c r="C65" s="198">
        <f t="shared" ref="C65" si="2">C15*100</f>
        <v>4.4666666666666668</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76.666666666666671</v>
      </c>
      <c r="D67" s="189" t="s">
        <v>126</v>
      </c>
      <c r="E67" s="189">
        <v>0</v>
      </c>
      <c r="F67" s="189">
        <v>100</v>
      </c>
      <c r="G67" s="205">
        <v>0.01</v>
      </c>
      <c r="H67" s="8"/>
    </row>
    <row r="68" spans="1:8" ht="27" customHeight="1" x14ac:dyDescent="0.2">
      <c r="A68" s="19"/>
      <c r="B68" s="206" t="s">
        <v>374</v>
      </c>
      <c r="C68" s="207">
        <f>C18*100</f>
        <v>26.133333333333329</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90" t="s">
        <v>497</v>
      </c>
      <c r="B4" s="171" t="s">
        <v>71</v>
      </c>
      <c r="C4" s="241">
        <v>0</v>
      </c>
      <c r="D4" s="213">
        <f t="shared" ref="D4:D15" si="0">IF($C$20&lt;&gt;0,C4/$C$20*(1-$C$18),0)</f>
        <v>0</v>
      </c>
      <c r="H4" s="11" t="s">
        <v>72</v>
      </c>
    </row>
    <row r="5" spans="1:8" ht="32.25" customHeight="1" x14ac:dyDescent="0.2">
      <c r="A5" s="491"/>
      <c r="B5" s="171" t="s">
        <v>73</v>
      </c>
      <c r="C5" s="240">
        <v>0</v>
      </c>
      <c r="D5" s="213">
        <f t="shared" si="0"/>
        <v>0</v>
      </c>
      <c r="H5" s="11"/>
    </row>
    <row r="6" spans="1:8" ht="33" customHeight="1" x14ac:dyDescent="0.2">
      <c r="A6" s="491"/>
      <c r="B6" s="171" t="s">
        <v>74</v>
      </c>
      <c r="C6" s="240">
        <v>0</v>
      </c>
      <c r="D6" s="213">
        <f t="shared" si="0"/>
        <v>0</v>
      </c>
      <c r="H6" s="11"/>
    </row>
    <row r="7" spans="1:8" ht="33" customHeight="1" x14ac:dyDescent="0.2">
      <c r="A7" s="491"/>
      <c r="B7" s="171" t="s">
        <v>75</v>
      </c>
      <c r="C7" s="240">
        <v>0</v>
      </c>
      <c r="D7" s="213">
        <f t="shared" si="0"/>
        <v>0</v>
      </c>
      <c r="H7" s="11"/>
    </row>
    <row r="8" spans="1:8" ht="33" customHeight="1" x14ac:dyDescent="0.2">
      <c r="A8" s="491"/>
      <c r="B8" s="172" t="s">
        <v>140</v>
      </c>
      <c r="C8" s="240">
        <v>0</v>
      </c>
      <c r="D8" s="213">
        <f t="shared" si="0"/>
        <v>0</v>
      </c>
      <c r="H8" s="11"/>
    </row>
    <row r="9" spans="1:8" ht="33" customHeight="1" x14ac:dyDescent="0.2">
      <c r="A9" s="491"/>
      <c r="B9" s="172" t="s">
        <v>486</v>
      </c>
      <c r="C9" s="240">
        <v>0</v>
      </c>
      <c r="D9" s="213">
        <f t="shared" si="0"/>
        <v>0</v>
      </c>
      <c r="H9" s="11"/>
    </row>
    <row r="10" spans="1:8" ht="53.25" customHeight="1" x14ac:dyDescent="0.2">
      <c r="A10" s="491"/>
      <c r="B10" s="172" t="s">
        <v>141</v>
      </c>
      <c r="C10" s="240">
        <v>0</v>
      </c>
      <c r="D10" s="213">
        <f t="shared" si="0"/>
        <v>0</v>
      </c>
      <c r="H10" s="11"/>
    </row>
    <row r="11" spans="1:8" ht="30" customHeight="1" x14ac:dyDescent="0.2">
      <c r="A11" s="491"/>
      <c r="B11" s="172" t="s">
        <v>142</v>
      </c>
      <c r="C11" s="240">
        <v>0</v>
      </c>
      <c r="D11" s="213">
        <f t="shared" si="0"/>
        <v>0</v>
      </c>
      <c r="H11" s="493"/>
    </row>
    <row r="12" spans="1:8" ht="30" customHeight="1" x14ac:dyDescent="0.2">
      <c r="A12" s="491"/>
      <c r="B12" s="172" t="s">
        <v>143</v>
      </c>
      <c r="C12" s="240">
        <v>0</v>
      </c>
      <c r="D12" s="213">
        <f t="shared" si="0"/>
        <v>0</v>
      </c>
      <c r="H12" s="494"/>
    </row>
    <row r="13" spans="1:8" ht="56.25" customHeight="1" x14ac:dyDescent="0.2">
      <c r="A13" s="491"/>
      <c r="B13" s="172" t="s">
        <v>144</v>
      </c>
      <c r="C13" s="240">
        <v>1</v>
      </c>
      <c r="D13" s="213">
        <f t="shared" si="0"/>
        <v>1</v>
      </c>
      <c r="E13" s="127" t="s">
        <v>480</v>
      </c>
      <c r="H13" s="156"/>
    </row>
    <row r="14" spans="1:8" ht="15.75" customHeight="1" x14ac:dyDescent="0.2">
      <c r="A14" s="491"/>
      <c r="B14" s="173" t="s">
        <v>554</v>
      </c>
      <c r="C14" s="240">
        <v>0</v>
      </c>
      <c r="D14" s="213">
        <f t="shared" si="0"/>
        <v>0</v>
      </c>
      <c r="E14" s="127"/>
      <c r="H14" s="156"/>
    </row>
    <row r="15" spans="1:8" ht="18.75" customHeight="1" x14ac:dyDescent="0.2">
      <c r="A15" s="492"/>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v>
      </c>
      <c r="D18" s="223">
        <f>C18</f>
        <v>0</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7" t="s">
        <v>112</v>
      </c>
      <c r="C27" s="378" t="s">
        <v>148</v>
      </c>
      <c r="D27" s="379"/>
    </row>
    <row r="28" spans="1:8" ht="16.5" customHeight="1" x14ac:dyDescent="0.2">
      <c r="A28" s="19"/>
      <c r="B28" s="330" t="s">
        <v>30</v>
      </c>
      <c r="C28" s="364">
        <f>$C$47*$D$8</f>
        <v>0</v>
      </c>
      <c r="D28" s="380" t="s">
        <v>149</v>
      </c>
    </row>
    <row r="29" spans="1:8" ht="14.25" customHeight="1" x14ac:dyDescent="0.2">
      <c r="B29" s="330" t="s">
        <v>32</v>
      </c>
      <c r="C29" s="362">
        <v>0</v>
      </c>
      <c r="D29" s="331" t="s">
        <v>150</v>
      </c>
    </row>
    <row r="30" spans="1:8" ht="16.5" customHeight="1" x14ac:dyDescent="0.2">
      <c r="A30" s="19"/>
      <c r="B30" s="330" t="s">
        <v>34</v>
      </c>
      <c r="C30" s="364">
        <f>$C$47*$D$12</f>
        <v>0</v>
      </c>
      <c r="D30" s="380" t="s">
        <v>151</v>
      </c>
    </row>
    <row r="31" spans="1:8" ht="16.5" customHeight="1" x14ac:dyDescent="0.2">
      <c r="A31" s="19"/>
      <c r="B31" s="330" t="s">
        <v>36</v>
      </c>
      <c r="C31" s="364">
        <f>$C$47*D10</f>
        <v>0</v>
      </c>
      <c r="D31" s="380" t="s">
        <v>152</v>
      </c>
    </row>
    <row r="32" spans="1:8" ht="16.5" customHeight="1" x14ac:dyDescent="0.2">
      <c r="A32" s="19"/>
      <c r="B32" s="330" t="s">
        <v>38</v>
      </c>
      <c r="C32" s="364">
        <f>D4*$C$47*C17</f>
        <v>0</v>
      </c>
      <c r="D32" s="381" t="s">
        <v>89</v>
      </c>
    </row>
    <row r="33" spans="1:7" ht="16.5" customHeight="1" x14ac:dyDescent="0.2">
      <c r="A33" s="19"/>
      <c r="B33" s="330" t="s">
        <v>41</v>
      </c>
      <c r="C33" s="364">
        <f>D5*$C$47*C17</f>
        <v>0</v>
      </c>
      <c r="D33" s="381" t="s">
        <v>90</v>
      </c>
    </row>
    <row r="34" spans="1:7" ht="16.5" customHeight="1" x14ac:dyDescent="0.2">
      <c r="A34" s="19"/>
      <c r="B34" s="330" t="s">
        <v>40</v>
      </c>
      <c r="C34" s="364">
        <f>D6*$C$47*C17</f>
        <v>0</v>
      </c>
      <c r="D34" s="381" t="s">
        <v>91</v>
      </c>
    </row>
    <row r="35" spans="1:7" ht="16.5" customHeight="1" x14ac:dyDescent="0.2">
      <c r="A35" s="19"/>
      <c r="B35" s="330" t="s">
        <v>42</v>
      </c>
      <c r="C35" s="364">
        <f>D7*$C$47*C17</f>
        <v>0</v>
      </c>
      <c r="D35" s="381" t="s">
        <v>92</v>
      </c>
    </row>
    <row r="36" spans="1:7" ht="16.5" customHeight="1" x14ac:dyDescent="0.2">
      <c r="A36" s="19"/>
      <c r="B36" s="330" t="s">
        <v>43</v>
      </c>
      <c r="C36" s="364">
        <f>D18*C$47*C16</f>
        <v>0</v>
      </c>
      <c r="D36" s="381" t="s">
        <v>93</v>
      </c>
      <c r="G36" s="110">
        <f>SUM(Lodges!C30,Restaurants!C30,SUM(Households!C33:D33),NatParkPA!C30,Tourism!C29,ComRevSh!C28)/(1-C10-C8-C11-C12)</f>
        <v>36662.372114388367</v>
      </c>
    </row>
    <row r="37" spans="1:7" ht="16.5" customHeight="1" x14ac:dyDescent="0.2">
      <c r="A37" s="19"/>
      <c r="B37" s="330" t="s">
        <v>45</v>
      </c>
      <c r="C37" s="382">
        <v>0</v>
      </c>
      <c r="D37" s="381" t="s">
        <v>153</v>
      </c>
      <c r="G37" s="110">
        <f>SUM(Lodges!C30,Restaurants!C30,SUM(Households!C33:D33),NatParkPA!C30,Tourism!C29,ComRevSh!C28)</f>
        <v>36662.372114388367</v>
      </c>
    </row>
    <row r="38" spans="1:7" ht="16.5" customHeight="1" x14ac:dyDescent="0.2">
      <c r="A38" s="19"/>
      <c r="B38" s="330" t="s">
        <v>47</v>
      </c>
      <c r="C38" s="382">
        <v>0</v>
      </c>
      <c r="D38" s="381" t="s">
        <v>153</v>
      </c>
      <c r="G38" s="110"/>
    </row>
    <row r="39" spans="1:7" ht="16.5" customHeight="1" x14ac:dyDescent="0.2">
      <c r="A39" s="19"/>
      <c r="B39" s="330" t="s">
        <v>48</v>
      </c>
      <c r="C39" s="382">
        <v>0</v>
      </c>
      <c r="D39" s="381" t="s">
        <v>154</v>
      </c>
      <c r="G39" s="110"/>
    </row>
    <row r="40" spans="1:7" ht="16.5" customHeight="1" x14ac:dyDescent="0.2">
      <c r="A40" s="19"/>
      <c r="B40" s="330" t="s">
        <v>50</v>
      </c>
      <c r="C40" s="382">
        <v>0</v>
      </c>
      <c r="D40" s="381" t="s">
        <v>155</v>
      </c>
      <c r="G40" s="110"/>
    </row>
    <row r="41" spans="1:7" ht="16.5" customHeight="1" x14ac:dyDescent="0.2">
      <c r="A41" s="19"/>
      <c r="B41" s="330" t="s">
        <v>52</v>
      </c>
      <c r="C41" s="382">
        <v>0</v>
      </c>
      <c r="D41" s="381" t="s">
        <v>156</v>
      </c>
      <c r="G41" s="110"/>
    </row>
    <row r="42" spans="1:7" ht="16.5" customHeight="1" x14ac:dyDescent="0.2">
      <c r="A42" s="19"/>
      <c r="B42" s="330" t="s">
        <v>54</v>
      </c>
      <c r="C42" s="364">
        <v>0</v>
      </c>
      <c r="D42" s="381" t="s">
        <v>157</v>
      </c>
      <c r="G42" s="110"/>
    </row>
    <row r="43" spans="1:7" ht="16.5" customHeight="1" x14ac:dyDescent="0.2">
      <c r="A43" s="19"/>
      <c r="B43" s="328" t="s">
        <v>551</v>
      </c>
      <c r="C43" s="474">
        <f>$D$14*$C$47</f>
        <v>0</v>
      </c>
      <c r="D43" s="345" t="s">
        <v>552</v>
      </c>
      <c r="G43" s="110"/>
    </row>
    <row r="44" spans="1:7" ht="16.5" customHeight="1" x14ac:dyDescent="0.2">
      <c r="A44" s="19"/>
      <c r="B44" s="328" t="s">
        <v>57</v>
      </c>
      <c r="C44" s="474">
        <f>$D$15*$C$47</f>
        <v>0</v>
      </c>
      <c r="D44" s="353" t="s">
        <v>553</v>
      </c>
      <c r="G44" s="110"/>
    </row>
    <row r="45" spans="1:7" ht="16.5" customHeight="1" x14ac:dyDescent="0.2">
      <c r="A45" s="19"/>
      <c r="B45" s="383" t="s">
        <v>59</v>
      </c>
      <c r="C45" s="364">
        <f>$C$47*$D$13 + C47*SUM(D4:D7)*(1-D17) + C47*D18*(1-D16)</f>
        <v>36662.372114388367</v>
      </c>
      <c r="D45" s="381" t="s">
        <v>158</v>
      </c>
      <c r="G45" s="110"/>
    </row>
    <row r="46" spans="1:7" ht="16.5" customHeight="1" x14ac:dyDescent="0.2">
      <c r="A46" s="19"/>
      <c r="B46" s="330" t="s">
        <v>61</v>
      </c>
      <c r="C46" s="384">
        <f>SUM(C28:C45)</f>
        <v>36662.372114388367</v>
      </c>
      <c r="D46" s="381" t="s">
        <v>62</v>
      </c>
      <c r="G46" s="110"/>
    </row>
    <row r="47" spans="1:7" ht="47.25" customHeight="1" x14ac:dyDescent="0.2">
      <c r="A47" s="19"/>
      <c r="B47" s="330" t="s">
        <v>63</v>
      </c>
      <c r="C47" s="382">
        <f>SUM(Lodges!C30,Restaurants!C30,SUM(Households!C33:D33),NatParkPA!C30,Tourism!C29,ComRevSh!C28)/(1-SUM(D8:D12))</f>
        <v>36662.372114388367</v>
      </c>
      <c r="D47" s="381" t="s">
        <v>159</v>
      </c>
      <c r="F47" s="127" t="s">
        <v>372</v>
      </c>
    </row>
    <row r="48" spans="1:7" ht="16.5" customHeight="1" x14ac:dyDescent="0.2">
      <c r="A48" s="19"/>
      <c r="B48" s="330" t="s">
        <v>65</v>
      </c>
      <c r="C48" s="382">
        <f>C47-C46</f>
        <v>0</v>
      </c>
      <c r="D48" s="381" t="s">
        <v>102</v>
      </c>
    </row>
    <row r="49" spans="1:8" ht="16.5" customHeight="1" x14ac:dyDescent="0.2">
      <c r="A49" s="19"/>
      <c r="B49" s="385" t="s">
        <v>67</v>
      </c>
      <c r="C49" s="386">
        <f>C48/C47</f>
        <v>0</v>
      </c>
      <c r="D49" s="387"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0</v>
      </c>
      <c r="D54" s="181" t="s">
        <v>413</v>
      </c>
      <c r="E54" s="181">
        <v>0</v>
      </c>
      <c r="F54" s="181">
        <v>100</v>
      </c>
      <c r="G54" s="181">
        <v>0.01</v>
      </c>
      <c r="H54" s="8"/>
    </row>
    <row r="55" spans="1:8" ht="15.75" customHeight="1" x14ac:dyDescent="0.2">
      <c r="A55" s="19"/>
      <c r="B55" s="197" t="s">
        <v>73</v>
      </c>
      <c r="C55" s="198">
        <f t="shared" si="1"/>
        <v>0</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0</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0</v>
      </c>
      <c r="D60" s="181" t="s">
        <v>419</v>
      </c>
      <c r="E60" s="181">
        <v>0</v>
      </c>
      <c r="F60" s="181">
        <v>100</v>
      </c>
      <c r="G60" s="181">
        <v>0.01</v>
      </c>
      <c r="H60" s="8"/>
    </row>
    <row r="61" spans="1:8" ht="15.75" customHeight="1" x14ac:dyDescent="0.2">
      <c r="A61" s="19"/>
      <c r="B61" s="197" t="s">
        <v>142</v>
      </c>
      <c r="C61" s="198">
        <f t="shared" si="1"/>
        <v>0</v>
      </c>
      <c r="D61" s="181" t="s">
        <v>420</v>
      </c>
      <c r="E61" s="181">
        <v>0</v>
      </c>
      <c r="F61" s="181">
        <v>100</v>
      </c>
      <c r="G61" s="181">
        <v>0.01</v>
      </c>
      <c r="H61" s="8"/>
    </row>
    <row r="62" spans="1:8" ht="15.75" customHeight="1" x14ac:dyDescent="0.2">
      <c r="A62" s="19"/>
      <c r="B62" s="197" t="s">
        <v>143</v>
      </c>
      <c r="C62" s="198">
        <f t="shared" si="1"/>
        <v>0</v>
      </c>
      <c r="D62" s="181" t="s">
        <v>421</v>
      </c>
      <c r="E62" s="181">
        <v>0</v>
      </c>
      <c r="F62" s="181">
        <v>100</v>
      </c>
      <c r="G62" s="181">
        <v>0.01</v>
      </c>
      <c r="H62" s="8"/>
    </row>
    <row r="63" spans="1:8" ht="15.75" customHeight="1" x14ac:dyDescent="0.2">
      <c r="A63" s="19"/>
      <c r="B63" s="197" t="s">
        <v>144</v>
      </c>
      <c r="C63" s="198">
        <f t="shared" si="1"/>
        <v>100</v>
      </c>
      <c r="D63" s="181" t="s">
        <v>422</v>
      </c>
      <c r="E63" s="181">
        <v>0</v>
      </c>
      <c r="F63" s="181">
        <v>100</v>
      </c>
      <c r="G63" s="181">
        <v>0.01</v>
      </c>
      <c r="H63" s="8"/>
    </row>
    <row r="64" spans="1:8" ht="15.75" customHeight="1" x14ac:dyDescent="0.2">
      <c r="A64" s="19"/>
      <c r="B64" s="197" t="s">
        <v>575</v>
      </c>
      <c r="C64" s="198">
        <f t="shared" si="1"/>
        <v>0</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0</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90" t="s">
        <v>497</v>
      </c>
      <c r="B4" s="174" t="s">
        <v>71</v>
      </c>
      <c r="C4" s="209">
        <v>5.2999999999999999E-2</v>
      </c>
      <c r="D4" s="243">
        <f t="shared" ref="D4:D15" si="0">C4/$C$20*(1-$C$18)</f>
        <v>3.9750000000000001E-2</v>
      </c>
      <c r="E4" s="1"/>
      <c r="F4" s="1"/>
      <c r="G4" s="1"/>
      <c r="H4" s="37" t="s">
        <v>72</v>
      </c>
    </row>
    <row r="5" spans="1:8" ht="30.75" customHeight="1" x14ac:dyDescent="0.2">
      <c r="A5" s="491"/>
      <c r="B5" s="171" t="s">
        <v>73</v>
      </c>
      <c r="C5" s="210">
        <v>0</v>
      </c>
      <c r="D5" s="243">
        <f t="shared" si="0"/>
        <v>0</v>
      </c>
      <c r="E5" s="1"/>
      <c r="F5" s="1"/>
      <c r="G5" s="1"/>
      <c r="H5" s="11"/>
    </row>
    <row r="6" spans="1:8" ht="30.75" customHeight="1" x14ac:dyDescent="0.2">
      <c r="A6" s="491"/>
      <c r="B6" s="171" t="s">
        <v>74</v>
      </c>
      <c r="C6" s="210">
        <v>4.2999999999999997E-2</v>
      </c>
      <c r="D6" s="243">
        <f t="shared" si="0"/>
        <v>3.2250000000000001E-2</v>
      </c>
      <c r="E6" s="1"/>
      <c r="F6" s="1"/>
      <c r="G6" s="1"/>
      <c r="H6" s="11"/>
    </row>
    <row r="7" spans="1:8" ht="30.75" customHeight="1" x14ac:dyDescent="0.2">
      <c r="A7" s="491"/>
      <c r="B7" s="171" t="s">
        <v>75</v>
      </c>
      <c r="C7" s="210">
        <v>6.9999999999999993E-3</v>
      </c>
      <c r="D7" s="243">
        <f t="shared" si="0"/>
        <v>5.2499999999999995E-3</v>
      </c>
      <c r="E7" s="1"/>
      <c r="F7" s="1"/>
      <c r="G7" s="1"/>
      <c r="H7" s="11"/>
    </row>
    <row r="8" spans="1:8" ht="39" customHeight="1" x14ac:dyDescent="0.2">
      <c r="A8" s="491"/>
      <c r="B8" s="172" t="s">
        <v>163</v>
      </c>
      <c r="C8" s="210">
        <v>1.1000000000000001E-2</v>
      </c>
      <c r="D8" s="243">
        <f t="shared" si="0"/>
        <v>8.2500000000000004E-3</v>
      </c>
      <c r="E8" s="1"/>
      <c r="F8" s="1"/>
      <c r="G8" s="1"/>
      <c r="H8" s="37" t="s">
        <v>79</v>
      </c>
    </row>
    <row r="9" spans="1:8" ht="39" customHeight="1" x14ac:dyDescent="0.2">
      <c r="A9" s="491"/>
      <c r="B9" s="172" t="s">
        <v>486</v>
      </c>
      <c r="C9" s="210">
        <v>0</v>
      </c>
      <c r="D9" s="243">
        <f t="shared" si="0"/>
        <v>0</v>
      </c>
      <c r="E9" s="1"/>
      <c r="F9" s="1"/>
      <c r="G9" s="1"/>
      <c r="H9" s="37"/>
    </row>
    <row r="10" spans="1:8" ht="26.25" customHeight="1" x14ac:dyDescent="0.2">
      <c r="A10" s="491"/>
      <c r="B10" s="172" t="s">
        <v>108</v>
      </c>
      <c r="C10" s="210">
        <v>0</v>
      </c>
      <c r="D10" s="243">
        <f t="shared" si="0"/>
        <v>0</v>
      </c>
      <c r="E10" s="1"/>
      <c r="F10" s="1"/>
      <c r="G10" s="1"/>
      <c r="H10" s="11"/>
    </row>
    <row r="11" spans="1:8" ht="26.25" customHeight="1" x14ac:dyDescent="0.2">
      <c r="A11" s="491"/>
      <c r="B11" s="172" t="s">
        <v>164</v>
      </c>
      <c r="C11" s="210">
        <v>0.11299999999999999</v>
      </c>
      <c r="D11" s="243">
        <f t="shared" si="0"/>
        <v>8.4749999999999992E-2</v>
      </c>
      <c r="E11" s="1"/>
      <c r="F11" s="1"/>
      <c r="G11" s="1"/>
      <c r="H11" s="11"/>
    </row>
    <row r="12" spans="1:8" ht="26.25" customHeight="1" x14ac:dyDescent="0.2">
      <c r="A12" s="491"/>
      <c r="B12" s="172" t="s">
        <v>109</v>
      </c>
      <c r="C12" s="210">
        <v>0.30399999999999999</v>
      </c>
      <c r="D12" s="243">
        <f t="shared" si="0"/>
        <v>0.22799999999999998</v>
      </c>
      <c r="E12" s="1"/>
      <c r="F12" s="1"/>
      <c r="G12" s="1"/>
      <c r="H12" s="11"/>
    </row>
    <row r="13" spans="1:8" ht="26.25" customHeight="1" x14ac:dyDescent="0.2">
      <c r="A13" s="491"/>
      <c r="B13" s="172" t="s">
        <v>165</v>
      </c>
      <c r="C13" s="210">
        <v>0.39899999999999997</v>
      </c>
      <c r="D13" s="243">
        <f t="shared" si="0"/>
        <v>0.29924999999999996</v>
      </c>
      <c r="E13" s="1"/>
      <c r="F13" s="1"/>
      <c r="G13" s="1"/>
      <c r="H13" s="32">
        <f>SUM(C4:C15)</f>
        <v>1</v>
      </c>
    </row>
    <row r="14" spans="1:8" ht="26.25" customHeight="1" x14ac:dyDescent="0.2">
      <c r="A14" s="491"/>
      <c r="B14" s="469" t="s">
        <v>542</v>
      </c>
      <c r="C14" s="467">
        <v>2.4E-2</v>
      </c>
      <c r="D14" s="471">
        <f t="shared" si="0"/>
        <v>1.8000000000000002E-2</v>
      </c>
      <c r="E14" s="1"/>
      <c r="F14" s="1"/>
      <c r="G14" s="1"/>
      <c r="H14" s="11"/>
    </row>
    <row r="15" spans="1:8" ht="26.25" customHeight="1" x14ac:dyDescent="0.2">
      <c r="A15" s="492"/>
      <c r="B15" s="172" t="s">
        <v>166</v>
      </c>
      <c r="C15" s="210">
        <v>4.5999999999999999E-2</v>
      </c>
      <c r="D15" s="243">
        <f t="shared" si="0"/>
        <v>3.4500000000000003E-2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0.8</v>
      </c>
      <c r="D17" s="273">
        <f>C17</f>
        <v>0.8</v>
      </c>
      <c r="E17" s="1"/>
      <c r="F17" s="1"/>
      <c r="G17" s="1"/>
      <c r="H17" s="11"/>
    </row>
    <row r="18" spans="1:9" ht="26.25" customHeight="1" x14ac:dyDescent="0.2">
      <c r="A18" s="256"/>
      <c r="B18" s="226" t="s">
        <v>374</v>
      </c>
      <c r="C18" s="111">
        <v>0.25</v>
      </c>
      <c r="D18" s="274">
        <f>C18</f>
        <v>0.25</v>
      </c>
      <c r="I18" s="11"/>
    </row>
    <row r="19" spans="1:9" ht="15.75" customHeight="1" x14ac:dyDescent="0.2">
      <c r="B19" s="11"/>
      <c r="C19" s="127" t="s">
        <v>504</v>
      </c>
    </row>
    <row r="20" spans="1:9" ht="15.75" customHeight="1" x14ac:dyDescent="0.2">
      <c r="B20" s="11" t="s">
        <v>376</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937.91432678942351</v>
      </c>
      <c r="D27" s="360" t="s">
        <v>169</v>
      </c>
    </row>
    <row r="28" spans="1:9" ht="14.25" customHeight="1" x14ac:dyDescent="0.2">
      <c r="B28" s="361" t="s">
        <v>32</v>
      </c>
      <c r="C28" s="362">
        <v>0</v>
      </c>
      <c r="D28" s="363" t="s">
        <v>170</v>
      </c>
    </row>
    <row r="29" spans="1:9" ht="15.75" customHeight="1" x14ac:dyDescent="0.2">
      <c r="B29" s="359" t="s">
        <v>34</v>
      </c>
      <c r="C29" s="335">
        <f>($D11+$D$12)*$C$46</f>
        <v>35555.47947919905</v>
      </c>
      <c r="D29" s="360" t="s">
        <v>171</v>
      </c>
    </row>
    <row r="30" spans="1:9" ht="15.75" customHeight="1" x14ac:dyDescent="0.2">
      <c r="B30" s="359" t="s">
        <v>36</v>
      </c>
      <c r="C30" s="335">
        <f>$D10*$C$46</f>
        <v>0</v>
      </c>
      <c r="D30" s="360" t="s">
        <v>172</v>
      </c>
    </row>
    <row r="31" spans="1:9" ht="15.75" customHeight="1" x14ac:dyDescent="0.2">
      <c r="B31" s="330" t="s">
        <v>38</v>
      </c>
      <c r="C31" s="364">
        <f>D4*$C$46*C17</f>
        <v>3615.2334050792324</v>
      </c>
      <c r="D31" s="365" t="s">
        <v>89</v>
      </c>
    </row>
    <row r="32" spans="1:9" ht="15.75" customHeight="1" x14ac:dyDescent="0.2">
      <c r="B32" s="330" t="s">
        <v>41</v>
      </c>
      <c r="C32" s="364">
        <f>D5*$C$46*C17</f>
        <v>0</v>
      </c>
      <c r="D32" s="365" t="s">
        <v>90</v>
      </c>
    </row>
    <row r="33" spans="2:5" ht="15.75" customHeight="1" x14ac:dyDescent="0.2">
      <c r="B33" s="330" t="s">
        <v>40</v>
      </c>
      <c r="C33" s="364">
        <f>D6*$C$46*C17</f>
        <v>2933.1138946869246</v>
      </c>
      <c r="D33" s="365" t="s">
        <v>91</v>
      </c>
    </row>
    <row r="34" spans="2:5" ht="15.75" customHeight="1" x14ac:dyDescent="0.2">
      <c r="B34" s="330" t="s">
        <v>42</v>
      </c>
      <c r="C34" s="364">
        <f>D7*$C$46*C17</f>
        <v>477.48365727461555</v>
      </c>
      <c r="D34" s="365" t="s">
        <v>92</v>
      </c>
    </row>
    <row r="35" spans="2:5" ht="15.75" customHeight="1" x14ac:dyDescent="0.2">
      <c r="B35" s="359" t="s">
        <v>43</v>
      </c>
      <c r="C35" s="335">
        <f>D18*C46*C16</f>
        <v>28421.646266346164</v>
      </c>
      <c r="D35" s="365" t="s">
        <v>93</v>
      </c>
    </row>
    <row r="36" spans="2:5" ht="15.75" customHeight="1" x14ac:dyDescent="0.2">
      <c r="B36" s="359" t="s">
        <v>45</v>
      </c>
      <c r="C36" s="366">
        <v>0</v>
      </c>
      <c r="D36" s="365" t="s">
        <v>173</v>
      </c>
    </row>
    <row r="37" spans="2:5" ht="15.75" customHeight="1" x14ac:dyDescent="0.2">
      <c r="B37" s="359" t="s">
        <v>47</v>
      </c>
      <c r="C37" s="366">
        <v>0</v>
      </c>
      <c r="D37" s="365" t="s">
        <v>173</v>
      </c>
    </row>
    <row r="38" spans="2:5" ht="15.75" customHeight="1" x14ac:dyDescent="0.2">
      <c r="B38" s="359" t="s">
        <v>48</v>
      </c>
      <c r="C38" s="367">
        <v>0</v>
      </c>
      <c r="D38" s="365" t="s">
        <v>174</v>
      </c>
    </row>
    <row r="39" spans="2:5" ht="15.75" customHeight="1" x14ac:dyDescent="0.2">
      <c r="B39" s="359" t="s">
        <v>50</v>
      </c>
      <c r="C39" s="367">
        <v>0</v>
      </c>
      <c r="D39" s="365" t="s">
        <v>175</v>
      </c>
    </row>
    <row r="40" spans="2:5" ht="15.75" customHeight="1" x14ac:dyDescent="0.2">
      <c r="B40" s="359" t="s">
        <v>52</v>
      </c>
      <c r="C40" s="367">
        <v>0</v>
      </c>
      <c r="D40" s="365" t="s">
        <v>176</v>
      </c>
    </row>
    <row r="41" spans="2:5" ht="15.75" customHeight="1" x14ac:dyDescent="0.2">
      <c r="B41" s="359" t="s">
        <v>54</v>
      </c>
      <c r="C41" s="367">
        <v>0</v>
      </c>
      <c r="D41" s="365" t="s">
        <v>177</v>
      </c>
    </row>
    <row r="42" spans="2:5" ht="15.75" customHeight="1" x14ac:dyDescent="0.2">
      <c r="B42" s="328" t="s">
        <v>551</v>
      </c>
      <c r="C42" s="349">
        <f>$D$14*$C$46</f>
        <v>2046.3585311769241</v>
      </c>
      <c r="D42" s="345" t="s">
        <v>552</v>
      </c>
    </row>
    <row r="43" spans="2:5" ht="15.75" customHeight="1" x14ac:dyDescent="0.2">
      <c r="B43" s="328" t="s">
        <v>57</v>
      </c>
      <c r="C43" s="349">
        <f>$D$15*$C$46</f>
        <v>3922.1871847557709</v>
      </c>
      <c r="D43" s="353" t="s">
        <v>553</v>
      </c>
    </row>
    <row r="44" spans="2:5" ht="15.75" customHeight="1" x14ac:dyDescent="0.2">
      <c r="B44" s="369" t="s">
        <v>59</v>
      </c>
      <c r="C44" s="335">
        <f>D13*C46 + C46*SUM(D4:D7)*(1-C17) + C46*D18*(1-C16)</f>
        <v>35777.168320076547</v>
      </c>
      <c r="D44" s="370" t="s">
        <v>178</v>
      </c>
    </row>
    <row r="45" spans="2:5" ht="15.75" customHeight="1" x14ac:dyDescent="0.2">
      <c r="B45" s="359" t="s">
        <v>61</v>
      </c>
      <c r="C45" s="335">
        <f>SUM(C27:C44)</f>
        <v>113686.58506538466</v>
      </c>
      <c r="D45" s="368" t="s">
        <v>179</v>
      </c>
    </row>
    <row r="46" spans="2:5" ht="15.75" customHeight="1" x14ac:dyDescent="0.2">
      <c r="B46" s="359" t="s">
        <v>63</v>
      </c>
      <c r="C46" s="335">
        <f>Tourists!$C$36+SUM(Households!C41:D41) + Ag!C37 + Tourism!C37 + Nonag!C37 + Fishing!C39 + Lodges!C38 + ComRevSh!C36 + NatParkPA!C38</f>
        <v>113686.58506538466</v>
      </c>
      <c r="D46" s="368" t="s">
        <v>180</v>
      </c>
      <c r="E46" s="42" t="s">
        <v>373</v>
      </c>
    </row>
    <row r="47" spans="2:5" ht="15.75" customHeight="1" x14ac:dyDescent="0.2">
      <c r="B47" s="359" t="s">
        <v>65</v>
      </c>
      <c r="C47" s="366">
        <f>C46-C45</f>
        <v>0</v>
      </c>
      <c r="D47" s="371"/>
    </row>
    <row r="48" spans="2:5" ht="15.75" customHeight="1" x14ac:dyDescent="0.2">
      <c r="B48" s="359" t="s">
        <v>67</v>
      </c>
      <c r="C48" s="372">
        <f>C47/C46</f>
        <v>0</v>
      </c>
      <c r="D48" s="371"/>
    </row>
    <row r="49" spans="2:7" ht="15.75" customHeight="1" x14ac:dyDescent="0.2">
      <c r="B49" s="369" t="s">
        <v>59</v>
      </c>
      <c r="C49" s="373"/>
      <c r="D49" s="371"/>
    </row>
    <row r="50" spans="2:7" ht="15.75" customHeight="1" x14ac:dyDescent="0.2">
      <c r="B50" s="374" t="s">
        <v>181</v>
      </c>
      <c r="C50" s="375"/>
      <c r="D50" s="376"/>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5.3</v>
      </c>
      <c r="D54" s="181" t="s">
        <v>423</v>
      </c>
      <c r="E54" s="181">
        <v>0</v>
      </c>
      <c r="F54" s="181">
        <v>100</v>
      </c>
      <c r="G54" s="181">
        <v>0.01</v>
      </c>
    </row>
    <row r="55" spans="2:7" ht="15" customHeight="1" x14ac:dyDescent="0.2">
      <c r="B55" s="197" t="s">
        <v>73</v>
      </c>
      <c r="C55" s="198">
        <f t="shared" si="1"/>
        <v>0</v>
      </c>
      <c r="D55" s="181" t="s">
        <v>424</v>
      </c>
      <c r="E55" s="181">
        <v>0</v>
      </c>
      <c r="F55" s="181">
        <v>100</v>
      </c>
      <c r="G55" s="181">
        <v>0.01</v>
      </c>
    </row>
    <row r="56" spans="2:7" ht="15" customHeight="1" x14ac:dyDescent="0.2">
      <c r="B56" s="197" t="s">
        <v>74</v>
      </c>
      <c r="C56" s="198">
        <f t="shared" si="1"/>
        <v>4.3</v>
      </c>
      <c r="D56" s="181" t="s">
        <v>425</v>
      </c>
      <c r="E56" s="181">
        <v>0</v>
      </c>
      <c r="F56" s="181">
        <v>100</v>
      </c>
      <c r="G56" s="181">
        <v>0.01</v>
      </c>
    </row>
    <row r="57" spans="2:7" ht="15" customHeight="1" x14ac:dyDescent="0.2">
      <c r="B57" s="197" t="s">
        <v>75</v>
      </c>
      <c r="C57" s="198">
        <f t="shared" si="1"/>
        <v>0.7</v>
      </c>
      <c r="D57" s="181" t="s">
        <v>426</v>
      </c>
      <c r="E57" s="181">
        <v>0</v>
      </c>
      <c r="F57" s="181">
        <v>100</v>
      </c>
      <c r="G57" s="181">
        <v>0.01</v>
      </c>
    </row>
    <row r="58" spans="2:7" ht="15" customHeight="1" x14ac:dyDescent="0.2">
      <c r="B58" s="197" t="s">
        <v>163</v>
      </c>
      <c r="C58" s="198">
        <f t="shared" si="1"/>
        <v>1.1000000000000001</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0</v>
      </c>
      <c r="D60" s="181" t="s">
        <v>429</v>
      </c>
      <c r="E60" s="181">
        <v>0</v>
      </c>
      <c r="F60" s="181">
        <v>100</v>
      </c>
      <c r="G60" s="181">
        <v>0.01</v>
      </c>
    </row>
    <row r="61" spans="2:7" ht="15" customHeight="1" x14ac:dyDescent="0.2">
      <c r="B61" s="197" t="s">
        <v>164</v>
      </c>
      <c r="C61" s="198">
        <f t="shared" si="1"/>
        <v>11.299999999999999</v>
      </c>
      <c r="D61" s="181" t="s">
        <v>430</v>
      </c>
      <c r="E61" s="181">
        <v>0</v>
      </c>
      <c r="F61" s="181">
        <v>100</v>
      </c>
      <c r="G61" s="181">
        <v>0.01</v>
      </c>
    </row>
    <row r="62" spans="2:7" ht="15" customHeight="1" x14ac:dyDescent="0.2">
      <c r="B62" s="197" t="s">
        <v>109</v>
      </c>
      <c r="C62" s="198">
        <f t="shared" si="1"/>
        <v>30.4</v>
      </c>
      <c r="D62" s="181" t="s">
        <v>431</v>
      </c>
      <c r="E62" s="181">
        <v>0</v>
      </c>
      <c r="F62" s="181">
        <v>100</v>
      </c>
      <c r="G62" s="181">
        <v>0.01</v>
      </c>
    </row>
    <row r="63" spans="2:7" ht="15" customHeight="1" x14ac:dyDescent="0.2">
      <c r="B63" s="197" t="s">
        <v>165</v>
      </c>
      <c r="C63" s="198">
        <f t="shared" si="1"/>
        <v>39.9</v>
      </c>
      <c r="D63" s="181" t="s">
        <v>432</v>
      </c>
      <c r="E63" s="181">
        <v>0</v>
      </c>
      <c r="F63" s="181">
        <v>100</v>
      </c>
      <c r="G63" s="181">
        <v>0.01</v>
      </c>
    </row>
    <row r="64" spans="2:7" ht="15" customHeight="1" x14ac:dyDescent="0.2">
      <c r="B64" s="197" t="s">
        <v>572</v>
      </c>
      <c r="C64" s="198">
        <f t="shared" si="1"/>
        <v>2.4</v>
      </c>
      <c r="D64" s="180" t="s">
        <v>576</v>
      </c>
      <c r="E64" s="181">
        <v>0</v>
      </c>
      <c r="F64" s="181">
        <v>100</v>
      </c>
      <c r="G64" s="182">
        <v>0.01</v>
      </c>
    </row>
    <row r="65" spans="2:7" ht="15" customHeight="1" x14ac:dyDescent="0.2">
      <c r="B65" s="197" t="s">
        <v>166</v>
      </c>
      <c r="C65" s="198">
        <f t="shared" ref="C65" si="2">C15*100</f>
        <v>4.5999999999999996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80</v>
      </c>
      <c r="D67" s="181" t="s">
        <v>182</v>
      </c>
      <c r="E67" s="181">
        <v>0</v>
      </c>
      <c r="F67" s="181">
        <v>100</v>
      </c>
      <c r="G67" s="181">
        <v>0.01</v>
      </c>
    </row>
    <row r="68" spans="2:7" ht="15" customHeight="1" x14ac:dyDescent="0.2">
      <c r="B68" s="206" t="s">
        <v>374</v>
      </c>
      <c r="C68" s="207">
        <f>C18*100</f>
        <v>25</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0" t="s">
        <v>497</v>
      </c>
      <c r="B4" s="171" t="s">
        <v>71</v>
      </c>
      <c r="C4" s="277">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1"/>
      <c r="B5" s="171" t="s">
        <v>73</v>
      </c>
      <c r="C5" s="278">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1"/>
      <c r="B6" s="171" t="s">
        <v>74</v>
      </c>
      <c r="C6" s="278">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1"/>
      <c r="B7" s="171" t="s">
        <v>75</v>
      </c>
      <c r="C7" s="278">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1"/>
      <c r="B8" s="172" t="s">
        <v>186</v>
      </c>
      <c r="C8" s="278">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1"/>
      <c r="B9" s="172" t="s">
        <v>467</v>
      </c>
      <c r="C9" s="278">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1"/>
      <c r="B10" s="172" t="s">
        <v>468</v>
      </c>
      <c r="C10" s="278">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1"/>
      <c r="B11" s="172" t="s">
        <v>188</v>
      </c>
      <c r="C11" s="278">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1"/>
      <c r="B12" s="172" t="s">
        <v>109</v>
      </c>
      <c r="C12" s="278">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1"/>
      <c r="B13" s="172" t="s">
        <v>189</v>
      </c>
      <c r="C13" s="278">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1"/>
      <c r="B14" s="469" t="s">
        <v>543</v>
      </c>
      <c r="C14" s="472">
        <v>4.8814814814814811E-2</v>
      </c>
      <c r="D14" s="473">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2"/>
      <c r="B15" s="172" t="s">
        <v>544</v>
      </c>
      <c r="C15" s="278">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0.65820105820105823</v>
      </c>
      <c r="D16" s="276">
        <f>C16</f>
        <v>0.65820105820105823</v>
      </c>
      <c r="E16" s="37"/>
      <c r="F16" s="459"/>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0.81044973544973531</v>
      </c>
      <c r="D17" s="280">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0.23827513227513222</v>
      </c>
      <c r="D18" s="228">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524.96501343809587</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4062.8903875614774</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34.382852703698077</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1498.1604894432135</v>
      </c>
      <c r="D31" s="342" t="s">
        <v>89</v>
      </c>
      <c r="E31" s="460"/>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473.06482999988225</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1392.4662864842833</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679.74127298798135</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3900.7557046105544</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924.82856864232792</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1327.1981626733605</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10053.589256046545</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24872.042824591415</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24872.042824591415</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0</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0</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9.757142857142858</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3.0809523809523807</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9.0687830687830679</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4.4269841269841264</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2.770899470899471</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0.18148148148148149</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0</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8.228571428571426</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13.216402116402119</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37.382010582010579</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4.8814814814814813</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7.0052910052910065</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65.820105820105823</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81.04497354497353</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23.827513227513222</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90" t="s">
        <v>497</v>
      </c>
      <c r="B4" s="174" t="s">
        <v>71</v>
      </c>
      <c r="C4" s="167">
        <v>0.11</v>
      </c>
      <c r="D4" s="213">
        <f t="shared" ref="D4:D15" si="0">C4/$C$20*(1-$C$18)</f>
        <v>7.0766666666666658E-2</v>
      </c>
      <c r="E4" s="29"/>
      <c r="F4" s="157"/>
      <c r="G4" s="30"/>
      <c r="H4" s="31" t="s">
        <v>72</v>
      </c>
    </row>
    <row r="5" spans="1:8" ht="36" customHeight="1" x14ac:dyDescent="0.2">
      <c r="A5" s="491"/>
      <c r="B5" s="171" t="s">
        <v>73</v>
      </c>
      <c r="C5" s="167">
        <v>0.10333333333333333</v>
      </c>
      <c r="D5" s="213">
        <f t="shared" si="0"/>
        <v>6.6477777777777775E-2</v>
      </c>
      <c r="F5" s="157"/>
      <c r="G5" s="16"/>
      <c r="H5" s="11"/>
    </row>
    <row r="6" spans="1:8" ht="33.75" customHeight="1" x14ac:dyDescent="0.2">
      <c r="A6" s="491"/>
      <c r="B6" s="171" t="s">
        <v>74</v>
      </c>
      <c r="C6" s="167">
        <v>0.01</v>
      </c>
      <c r="D6" s="213">
        <f t="shared" si="0"/>
        <v>6.4333333333333334E-3</v>
      </c>
      <c r="F6" s="157"/>
      <c r="G6" s="16"/>
      <c r="H6" s="11"/>
    </row>
    <row r="7" spans="1:8" ht="33.75" customHeight="1" x14ac:dyDescent="0.2">
      <c r="A7" s="491"/>
      <c r="B7" s="171" t="s">
        <v>75</v>
      </c>
      <c r="C7" s="167">
        <v>1.5333333333333334E-2</v>
      </c>
      <c r="D7" s="213">
        <f t="shared" si="0"/>
        <v>9.8644444444444448E-3</v>
      </c>
      <c r="F7" s="157"/>
      <c r="G7" s="16"/>
      <c r="H7" s="11"/>
    </row>
    <row r="8" spans="1:8" ht="33.75" customHeight="1" x14ac:dyDescent="0.2">
      <c r="A8" s="491"/>
      <c r="B8" s="172" t="s">
        <v>107</v>
      </c>
      <c r="C8" s="167">
        <v>6.6666666666666662E-3</v>
      </c>
      <c r="D8" s="213">
        <f t="shared" si="0"/>
        <v>4.2888888888888881E-3</v>
      </c>
      <c r="F8" s="157"/>
      <c r="G8" s="16"/>
      <c r="H8" s="11"/>
    </row>
    <row r="9" spans="1:8" ht="33.75" customHeight="1" x14ac:dyDescent="0.2">
      <c r="A9" s="491"/>
      <c r="B9" s="172" t="s">
        <v>484</v>
      </c>
      <c r="C9" s="167">
        <v>0</v>
      </c>
      <c r="D9" s="213">
        <f t="shared" si="0"/>
        <v>0</v>
      </c>
      <c r="F9" s="157"/>
      <c r="G9" s="16"/>
      <c r="H9" s="11"/>
    </row>
    <row r="10" spans="1:8" ht="18" customHeight="1" x14ac:dyDescent="0.2">
      <c r="A10" s="491"/>
      <c r="B10" s="172" t="s">
        <v>108</v>
      </c>
      <c r="C10" s="167">
        <v>0</v>
      </c>
      <c r="D10" s="213">
        <f t="shared" si="0"/>
        <v>0</v>
      </c>
      <c r="F10" s="157"/>
      <c r="G10" s="16"/>
      <c r="H10" s="11"/>
    </row>
    <row r="11" spans="1:8" ht="27" customHeight="1" x14ac:dyDescent="0.2">
      <c r="A11" s="491"/>
      <c r="B11" s="172" t="s">
        <v>78</v>
      </c>
      <c r="C11" s="167">
        <v>0.128</v>
      </c>
      <c r="D11" s="213">
        <f t="shared" si="0"/>
        <v>8.2346666666666665E-2</v>
      </c>
      <c r="F11" s="157"/>
      <c r="G11" s="16"/>
      <c r="H11" s="11"/>
    </row>
    <row r="12" spans="1:8" ht="18" customHeight="1" x14ac:dyDescent="0.2">
      <c r="A12" s="491"/>
      <c r="B12" s="172" t="s">
        <v>109</v>
      </c>
      <c r="C12" s="167">
        <v>0.15733333333333333</v>
      </c>
      <c r="D12" s="213">
        <f t="shared" si="0"/>
        <v>0.10121777777777777</v>
      </c>
      <c r="F12" s="157"/>
      <c r="G12" s="16"/>
      <c r="H12" s="11"/>
    </row>
    <row r="13" spans="1:8" ht="41.25" customHeight="1" x14ac:dyDescent="0.2">
      <c r="A13" s="491"/>
      <c r="B13" s="172" t="s">
        <v>110</v>
      </c>
      <c r="C13" s="167">
        <v>0.40933333333333333</v>
      </c>
      <c r="D13" s="213">
        <f t="shared" si="0"/>
        <v>0.26333777777777778</v>
      </c>
      <c r="F13" s="157"/>
      <c r="G13" s="16"/>
      <c r="H13" s="32"/>
    </row>
    <row r="14" spans="1:8" ht="16.5" customHeight="1" x14ac:dyDescent="0.2">
      <c r="A14" s="491"/>
      <c r="B14" s="469" t="s">
        <v>541</v>
      </c>
      <c r="C14" s="470">
        <v>2.2000000000000002E-2</v>
      </c>
      <c r="D14" s="468">
        <f t="shared" si="0"/>
        <v>1.4153333333333334E-2</v>
      </c>
      <c r="G14" s="16"/>
      <c r="H14" s="11"/>
    </row>
    <row r="15" spans="1:8" ht="16.5" customHeight="1" x14ac:dyDescent="0.2">
      <c r="A15" s="492"/>
      <c r="B15" s="172" t="s">
        <v>111</v>
      </c>
      <c r="C15" s="167">
        <v>3.7999999999999999E-2</v>
      </c>
      <c r="D15" s="213">
        <f t="shared" si="0"/>
        <v>2.4446666666666665E-2</v>
      </c>
      <c r="G15" s="16"/>
      <c r="H15" s="11"/>
    </row>
    <row r="16" spans="1:8" ht="16.5" customHeight="1" x14ac:dyDescent="0.2">
      <c r="A16" s="233"/>
      <c r="B16" s="165" t="s">
        <v>83</v>
      </c>
      <c r="C16" s="113">
        <v>0.9946666666666667</v>
      </c>
      <c r="D16" s="234">
        <f>C16</f>
        <v>0.9946666666666667</v>
      </c>
      <c r="E16" s="114"/>
      <c r="G16" s="16"/>
      <c r="H16" s="11"/>
    </row>
    <row r="17" spans="1:8" ht="16.5" customHeight="1" x14ac:dyDescent="0.2">
      <c r="A17" s="233"/>
      <c r="B17" s="238" t="s">
        <v>84</v>
      </c>
      <c r="C17" s="113">
        <v>0.66666666666666674</v>
      </c>
      <c r="D17" s="235">
        <f>C17</f>
        <v>0.66666666666666674</v>
      </c>
      <c r="E17" s="6"/>
      <c r="F17" s="6"/>
      <c r="G17" s="17"/>
      <c r="H17" s="18"/>
    </row>
    <row r="18" spans="1:8" ht="27" customHeight="1" x14ac:dyDescent="0.2">
      <c r="A18" s="236"/>
      <c r="B18" s="226" t="s">
        <v>374</v>
      </c>
      <c r="C18" s="217">
        <v>0.35666666666666663</v>
      </c>
      <c r="D18" s="223">
        <f>C18</f>
        <v>0.35666666666666663</v>
      </c>
      <c r="H18" s="8"/>
    </row>
    <row r="19" spans="1:8" ht="16.5" customHeight="1" x14ac:dyDescent="0.2">
      <c r="A19" s="19"/>
      <c r="B19" s="11"/>
      <c r="C19" s="127" t="s">
        <v>504</v>
      </c>
      <c r="D19" s="8"/>
    </row>
    <row r="20" spans="1:8" ht="16.5" customHeight="1" x14ac:dyDescent="0.2">
      <c r="A20" s="19"/>
      <c r="B20" s="11" t="s">
        <v>376</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8" t="s">
        <v>112</v>
      </c>
      <c r="C25" s="389" t="s">
        <v>32</v>
      </c>
      <c r="D25" s="390"/>
    </row>
    <row r="26" spans="1:8" ht="16.5" customHeight="1" x14ac:dyDescent="0.2">
      <c r="A26" s="19"/>
      <c r="B26" s="330" t="s">
        <v>30</v>
      </c>
      <c r="C26" s="364">
        <f>$D$8*$C$46</f>
        <v>2101.1881256969564</v>
      </c>
      <c r="D26" s="380" t="s">
        <v>113</v>
      </c>
    </row>
    <row r="27" spans="1:8" ht="16.5" customHeight="1" x14ac:dyDescent="0.2">
      <c r="A27" s="19"/>
      <c r="B27" s="330" t="s">
        <v>32</v>
      </c>
      <c r="C27" s="364">
        <v>0</v>
      </c>
      <c r="D27" s="381" t="s">
        <v>114</v>
      </c>
    </row>
    <row r="28" spans="1:8" ht="16.5" customHeight="1" x14ac:dyDescent="0.2">
      <c r="A28" s="19"/>
      <c r="B28" s="330" t="s">
        <v>34</v>
      </c>
      <c r="C28" s="364">
        <f>SUM($D$11:$D$12)*$C$46</f>
        <v>89930.85177982974</v>
      </c>
      <c r="D28" s="380" t="s">
        <v>115</v>
      </c>
    </row>
    <row r="29" spans="1:8" ht="16.5" customHeight="1" x14ac:dyDescent="0.2">
      <c r="A29" s="19"/>
      <c r="B29" s="330" t="s">
        <v>36</v>
      </c>
      <c r="C29" s="364">
        <f>$D$10*$C$46</f>
        <v>0</v>
      </c>
      <c r="D29" s="380" t="s">
        <v>116</v>
      </c>
    </row>
    <row r="30" spans="1:8" ht="16.5" customHeight="1" x14ac:dyDescent="0.2">
      <c r="A30" s="19"/>
      <c r="B30" s="330" t="s">
        <v>38</v>
      </c>
      <c r="C30" s="364">
        <f>D4*$C$46*C17</f>
        <v>23113.069382666527</v>
      </c>
      <c r="D30" s="381" t="s">
        <v>89</v>
      </c>
    </row>
    <row r="31" spans="1:8" ht="16.5" customHeight="1" x14ac:dyDescent="0.2">
      <c r="A31" s="19"/>
      <c r="B31" s="330" t="s">
        <v>41</v>
      </c>
      <c r="C31" s="364">
        <f>D5*$C$46*C17</f>
        <v>21712.277298868557</v>
      </c>
      <c r="D31" s="381" t="s">
        <v>90</v>
      </c>
    </row>
    <row r="32" spans="1:8" ht="16.5" customHeight="1" x14ac:dyDescent="0.2">
      <c r="A32" s="19"/>
      <c r="B32" s="330" t="s">
        <v>40</v>
      </c>
      <c r="C32" s="364">
        <f>D6*$C$46*C17</f>
        <v>2101.1881256969573</v>
      </c>
      <c r="D32" s="381" t="s">
        <v>91</v>
      </c>
    </row>
    <row r="33" spans="1:4" ht="16.5" customHeight="1" x14ac:dyDescent="0.2">
      <c r="A33" s="19"/>
      <c r="B33" s="330" t="s">
        <v>42</v>
      </c>
      <c r="C33" s="364">
        <f>D7*$C$46*C17</f>
        <v>3221.8217927353339</v>
      </c>
      <c r="D33" s="381" t="s">
        <v>92</v>
      </c>
    </row>
    <row r="34" spans="1:4" ht="16.5" customHeight="1" x14ac:dyDescent="0.2">
      <c r="A34" s="19"/>
      <c r="B34" s="330" t="s">
        <v>43</v>
      </c>
      <c r="C34" s="364">
        <f>D18*$C$46*C16</f>
        <v>173804.1850459922</v>
      </c>
      <c r="D34" s="381" t="s">
        <v>93</v>
      </c>
    </row>
    <row r="35" spans="1:4" ht="16.5" customHeight="1" x14ac:dyDescent="0.2">
      <c r="A35" s="19"/>
      <c r="B35" s="330" t="s">
        <v>45</v>
      </c>
      <c r="C35" s="364">
        <v>0</v>
      </c>
      <c r="D35" s="381" t="s">
        <v>117</v>
      </c>
    </row>
    <row r="36" spans="1:4" ht="16.5" customHeight="1" x14ac:dyDescent="0.2">
      <c r="A36" s="19"/>
      <c r="B36" s="330" t="s">
        <v>47</v>
      </c>
      <c r="C36" s="382">
        <v>0</v>
      </c>
      <c r="D36" s="381" t="s">
        <v>117</v>
      </c>
    </row>
    <row r="37" spans="1:4" ht="16.5" customHeight="1" x14ac:dyDescent="0.2">
      <c r="A37" s="19"/>
      <c r="B37" s="330" t="s">
        <v>48</v>
      </c>
      <c r="C37" s="382">
        <v>0</v>
      </c>
      <c r="D37" s="381" t="s">
        <v>118</v>
      </c>
    </row>
    <row r="38" spans="1:4" ht="16.5" customHeight="1" x14ac:dyDescent="0.2">
      <c r="A38" s="19"/>
      <c r="B38" s="330" t="s">
        <v>50</v>
      </c>
      <c r="C38" s="382">
        <v>0</v>
      </c>
      <c r="D38" s="381" t="s">
        <v>119</v>
      </c>
    </row>
    <row r="39" spans="1:4" ht="16.5" customHeight="1" x14ac:dyDescent="0.2">
      <c r="A39" s="19"/>
      <c r="B39" s="330" t="s">
        <v>52</v>
      </c>
      <c r="C39" s="382">
        <v>0</v>
      </c>
      <c r="D39" s="381" t="s">
        <v>120</v>
      </c>
    </row>
    <row r="40" spans="1:4" ht="16.5" customHeight="1" x14ac:dyDescent="0.2">
      <c r="A40" s="19"/>
      <c r="B40" s="330" t="s">
        <v>54</v>
      </c>
      <c r="C40" s="382">
        <v>0</v>
      </c>
      <c r="D40" s="381" t="s">
        <v>121</v>
      </c>
    </row>
    <row r="41" spans="1:4" ht="16.5" customHeight="1" x14ac:dyDescent="0.2">
      <c r="A41" s="19"/>
      <c r="B41" s="330" t="s">
        <v>55</v>
      </c>
      <c r="C41" s="364">
        <v>0</v>
      </c>
      <c r="D41" s="381" t="s">
        <v>122</v>
      </c>
    </row>
    <row r="42" spans="1:4" ht="16.5" customHeight="1" x14ac:dyDescent="0.2">
      <c r="A42" s="19"/>
      <c r="B42" s="328" t="s">
        <v>551</v>
      </c>
      <c r="C42" s="349">
        <f>$D$14*$C$46</f>
        <v>6933.920814799958</v>
      </c>
      <c r="D42" s="345" t="s">
        <v>552</v>
      </c>
    </row>
    <row r="43" spans="1:4" ht="16.5" customHeight="1" x14ac:dyDescent="0.2">
      <c r="A43" s="19"/>
      <c r="B43" s="328" t="s">
        <v>57</v>
      </c>
      <c r="C43" s="349">
        <f>$D$15*$C$46</f>
        <v>11976.772316472654</v>
      </c>
      <c r="D43" s="353" t="s">
        <v>553</v>
      </c>
    </row>
    <row r="44" spans="1:4" ht="16.5" customHeight="1" x14ac:dyDescent="0.2">
      <c r="A44" s="19"/>
      <c r="B44" s="383" t="s">
        <v>59</v>
      </c>
      <c r="C44" s="364">
        <f>$D$13*$C$46 + C46*SUM(D4:D7)*(1-C17) + C46*C18*(1-C16)</f>
        <v>155019.05514295644</v>
      </c>
      <c r="D44" s="381" t="s">
        <v>123</v>
      </c>
    </row>
    <row r="45" spans="1:4" ht="16.5" customHeight="1" x14ac:dyDescent="0.2">
      <c r="A45" s="19"/>
      <c r="B45" s="330" t="s">
        <v>61</v>
      </c>
      <c r="C45" s="384">
        <f>SUM($C$26:$C$44)</f>
        <v>489914.32982571534</v>
      </c>
      <c r="D45" s="381" t="s">
        <v>62</v>
      </c>
    </row>
    <row r="46" spans="1:4" ht="33" customHeight="1" x14ac:dyDescent="0.2">
      <c r="A46" s="19"/>
      <c r="B46" s="330" t="s">
        <v>63</v>
      </c>
      <c r="C46" s="382">
        <f>SUM(Tourists!C26)</f>
        <v>489914.32982571534</v>
      </c>
      <c r="D46" s="381" t="s">
        <v>124</v>
      </c>
    </row>
    <row r="47" spans="1:4" ht="16.5" customHeight="1" x14ac:dyDescent="0.2">
      <c r="A47" s="19"/>
      <c r="B47" s="330" t="s">
        <v>65</v>
      </c>
      <c r="C47" s="382">
        <f>C46-C45</f>
        <v>0</v>
      </c>
      <c r="D47" s="381" t="s">
        <v>102</v>
      </c>
    </row>
    <row r="48" spans="1:4" ht="16.5" customHeight="1" x14ac:dyDescent="0.2">
      <c r="A48" s="19"/>
      <c r="B48" s="385" t="s">
        <v>67</v>
      </c>
      <c r="C48" s="386">
        <f>C47/C46</f>
        <v>0</v>
      </c>
      <c r="D48" s="387" t="s">
        <v>103</v>
      </c>
    </row>
    <row r="49" spans="1:8" ht="27" customHeight="1" x14ac:dyDescent="0.2">
      <c r="A49" s="19"/>
      <c r="B49" s="307" t="s">
        <v>104</v>
      </c>
      <c r="C49" s="308">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11</v>
      </c>
      <c r="D54" s="199" t="s">
        <v>392</v>
      </c>
      <c r="E54" s="199">
        <v>0</v>
      </c>
      <c r="F54" s="199">
        <v>100</v>
      </c>
      <c r="G54" s="200">
        <v>0.01</v>
      </c>
      <c r="H54" s="8"/>
    </row>
    <row r="55" spans="1:8" ht="27" customHeight="1" x14ac:dyDescent="0.2">
      <c r="A55" s="19"/>
      <c r="B55" s="197" t="s">
        <v>73</v>
      </c>
      <c r="C55" s="198">
        <f t="shared" si="1"/>
        <v>10.333333333333334</v>
      </c>
      <c r="D55" s="181" t="s">
        <v>393</v>
      </c>
      <c r="E55" s="181">
        <v>0</v>
      </c>
      <c r="F55" s="181">
        <v>100</v>
      </c>
      <c r="G55" s="201">
        <v>0.01</v>
      </c>
      <c r="H55" s="8"/>
    </row>
    <row r="56" spans="1:8" ht="27" customHeight="1" x14ac:dyDescent="0.2">
      <c r="A56" s="19"/>
      <c r="B56" s="197" t="s">
        <v>74</v>
      </c>
      <c r="C56" s="198">
        <f t="shared" si="1"/>
        <v>1</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0.66666666666666663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v>
      </c>
      <c r="D60" s="181" t="s">
        <v>398</v>
      </c>
      <c r="E60" s="181">
        <v>0</v>
      </c>
      <c r="F60" s="181">
        <v>100</v>
      </c>
      <c r="G60" s="202">
        <v>0.01</v>
      </c>
      <c r="H60" s="8"/>
    </row>
    <row r="61" spans="1:8" ht="27" customHeight="1" x14ac:dyDescent="0.2">
      <c r="A61" s="19"/>
      <c r="B61" s="197" t="s">
        <v>78</v>
      </c>
      <c r="C61" s="198">
        <f t="shared" si="1"/>
        <v>12.8</v>
      </c>
      <c r="D61" s="181" t="s">
        <v>399</v>
      </c>
      <c r="E61" s="181">
        <v>0</v>
      </c>
      <c r="F61" s="181">
        <v>100</v>
      </c>
      <c r="G61" s="202">
        <v>0.01</v>
      </c>
      <c r="H61" s="8"/>
    </row>
    <row r="62" spans="1:8" ht="27" customHeight="1" x14ac:dyDescent="0.2">
      <c r="A62" s="19"/>
      <c r="B62" s="197" t="s">
        <v>109</v>
      </c>
      <c r="C62" s="198">
        <f t="shared" si="1"/>
        <v>15.733333333333333</v>
      </c>
      <c r="D62" s="181" t="s">
        <v>400</v>
      </c>
      <c r="E62" s="181">
        <v>0</v>
      </c>
      <c r="F62" s="181">
        <v>100</v>
      </c>
      <c r="G62" s="202">
        <v>0.01</v>
      </c>
      <c r="H62" s="8"/>
    </row>
    <row r="63" spans="1:8" ht="27" customHeight="1" x14ac:dyDescent="0.2">
      <c r="A63" s="19"/>
      <c r="B63" s="197" t="s">
        <v>110</v>
      </c>
      <c r="C63" s="198">
        <f t="shared" si="1"/>
        <v>40.93333333333333</v>
      </c>
      <c r="D63" s="181" t="s">
        <v>401</v>
      </c>
      <c r="E63" s="181">
        <v>0</v>
      </c>
      <c r="F63" s="181">
        <v>100</v>
      </c>
      <c r="G63" s="202">
        <v>0.01</v>
      </c>
      <c r="H63" s="8"/>
    </row>
    <row r="64" spans="1:8" ht="27" customHeight="1" x14ac:dyDescent="0.2">
      <c r="A64" s="19"/>
      <c r="B64" s="197" t="s">
        <v>572</v>
      </c>
      <c r="C64" s="198">
        <f>C14*100</f>
        <v>2.2000000000000002</v>
      </c>
      <c r="D64" s="180" t="s">
        <v>578</v>
      </c>
      <c r="E64" s="181">
        <v>0</v>
      </c>
      <c r="F64" s="181">
        <v>100</v>
      </c>
      <c r="G64" s="182">
        <v>0.01</v>
      </c>
      <c r="H64" s="8"/>
    </row>
    <row r="65" spans="1:8" ht="27" customHeight="1" x14ac:dyDescent="0.2">
      <c r="A65" s="19"/>
      <c r="B65" s="204" t="s">
        <v>125</v>
      </c>
      <c r="C65" s="198">
        <f t="shared" ref="C65" si="2">C15*100</f>
        <v>3.8</v>
      </c>
      <c r="D65" s="181" t="s">
        <v>444</v>
      </c>
      <c r="E65" s="181">
        <v>0</v>
      </c>
      <c r="F65" s="181">
        <v>100</v>
      </c>
      <c r="G65" s="202">
        <v>0.01</v>
      </c>
      <c r="H65" s="8"/>
    </row>
    <row r="66" spans="1:8" ht="27" customHeight="1" x14ac:dyDescent="0.2">
      <c r="A66" s="19"/>
      <c r="B66" s="204" t="s">
        <v>83</v>
      </c>
      <c r="C66" s="198">
        <f t="shared" ref="C66:C67" si="3">D16*100</f>
        <v>99.466666666666669</v>
      </c>
      <c r="D66" s="181" t="s">
        <v>487</v>
      </c>
      <c r="E66" s="181">
        <v>0</v>
      </c>
      <c r="F66" s="181">
        <v>100</v>
      </c>
      <c r="G66" s="202">
        <v>0.01</v>
      </c>
      <c r="H66" s="8"/>
    </row>
    <row r="67" spans="1:8" ht="27" customHeight="1" x14ac:dyDescent="0.2">
      <c r="A67" s="19"/>
      <c r="B67" s="204" t="s">
        <v>84</v>
      </c>
      <c r="C67" s="198">
        <f t="shared" si="3"/>
        <v>66.666666666666671</v>
      </c>
      <c r="D67" s="189" t="s">
        <v>368</v>
      </c>
      <c r="E67" s="189">
        <v>0</v>
      </c>
      <c r="F67" s="189">
        <v>100</v>
      </c>
      <c r="G67" s="205">
        <v>0.01</v>
      </c>
      <c r="H67" s="8"/>
    </row>
    <row r="68" spans="1:8" ht="27" customHeight="1" x14ac:dyDescent="0.2">
      <c r="A68" s="19"/>
      <c r="B68" s="206" t="s">
        <v>374</v>
      </c>
      <c r="C68" s="207">
        <f>C18*100</f>
        <v>35.666666666666664</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3" t="s">
        <v>630</v>
      </c>
      <c r="D4" s="127" t="s">
        <v>526</v>
      </c>
      <c r="E4" s="10"/>
      <c r="F4" s="10"/>
      <c r="G4" s="10"/>
    </row>
    <row r="5" spans="1:7" ht="26.25" customHeight="1" x14ac:dyDescent="0.2">
      <c r="A5" s="256"/>
      <c r="B5" s="298" t="s">
        <v>224</v>
      </c>
      <c r="C5" s="299">
        <v>233560.61958731618</v>
      </c>
      <c r="E5" s="43"/>
      <c r="F5" s="6"/>
      <c r="G5" s="17"/>
    </row>
    <row r="6" spans="1:7" ht="26.25" customHeight="1" x14ac:dyDescent="0.2">
      <c r="A6" s="296"/>
      <c r="B6" s="300" t="s">
        <v>226</v>
      </c>
      <c r="C6" s="299">
        <v>112627.02326260571</v>
      </c>
      <c r="D6" s="45" t="s">
        <v>528</v>
      </c>
      <c r="E6" s="46"/>
      <c r="F6" s="46"/>
      <c r="G6" s="47"/>
    </row>
    <row r="7" spans="1:7" ht="26.25" customHeight="1" x14ac:dyDescent="0.2">
      <c r="A7" s="296"/>
      <c r="B7" s="300" t="s">
        <v>466</v>
      </c>
      <c r="C7" s="451">
        <v>9.377855947922209E-2</v>
      </c>
      <c r="D7" s="45" t="s">
        <v>529</v>
      </c>
      <c r="E7" s="148"/>
      <c r="F7" s="148"/>
      <c r="G7" s="148"/>
    </row>
    <row r="8" spans="1:7" ht="26.25" customHeight="1" x14ac:dyDescent="0.2">
      <c r="A8" s="256"/>
      <c r="B8" s="300" t="s">
        <v>227</v>
      </c>
      <c r="C8" s="301">
        <f>C6-C5</f>
        <v>-120933.59632471047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90" t="s">
        <v>505</v>
      </c>
      <c r="B11" s="171" t="s">
        <v>71</v>
      </c>
      <c r="C11" s="302">
        <v>3.3948189497581154E-2</v>
      </c>
      <c r="D11" s="11"/>
      <c r="E11" s="284"/>
      <c r="F11" s="286"/>
    </row>
    <row r="12" spans="1:7" ht="34.5" customHeight="1" x14ac:dyDescent="0.2">
      <c r="A12" s="491"/>
      <c r="B12" s="171" t="s">
        <v>73</v>
      </c>
      <c r="C12" s="302">
        <v>0.46746941226447436</v>
      </c>
      <c r="D12" s="11"/>
      <c r="E12" s="284"/>
      <c r="F12" s="286"/>
    </row>
    <row r="13" spans="1:7" ht="30.75" customHeight="1" x14ac:dyDescent="0.2">
      <c r="A13" s="491"/>
      <c r="B13" s="171" t="s">
        <v>74</v>
      </c>
      <c r="C13" s="302">
        <v>0</v>
      </c>
      <c r="E13" s="284"/>
      <c r="F13" s="286"/>
    </row>
    <row r="14" spans="1:7" ht="30.75" customHeight="1" x14ac:dyDescent="0.2">
      <c r="A14" s="491"/>
      <c r="B14" s="171" t="s">
        <v>75</v>
      </c>
      <c r="C14" s="302">
        <v>7.7370258910427869E-2</v>
      </c>
      <c r="E14" s="284"/>
      <c r="F14" s="286"/>
    </row>
    <row r="15" spans="1:7" ht="30.75" customHeight="1" x14ac:dyDescent="0.2">
      <c r="A15" s="491"/>
      <c r="B15" s="171" t="s">
        <v>208</v>
      </c>
      <c r="C15" s="302">
        <v>0</v>
      </c>
      <c r="E15" s="284"/>
      <c r="F15" s="286"/>
    </row>
    <row r="16" spans="1:7" ht="27" customHeight="1" x14ac:dyDescent="0.2">
      <c r="A16" s="491"/>
      <c r="B16" s="171" t="s">
        <v>163</v>
      </c>
      <c r="C16" s="302">
        <v>0</v>
      </c>
      <c r="D16" s="11"/>
      <c r="E16" s="284"/>
      <c r="F16" s="286"/>
    </row>
    <row r="17" spans="1:8" ht="26.25" customHeight="1" x14ac:dyDescent="0.2">
      <c r="A17" s="491"/>
      <c r="B17" s="171" t="s">
        <v>209</v>
      </c>
      <c r="C17" s="302">
        <v>0</v>
      </c>
      <c r="D17" s="11"/>
      <c r="E17" s="284"/>
      <c r="F17" s="286"/>
    </row>
    <row r="18" spans="1:8" ht="26.25" customHeight="1" x14ac:dyDescent="0.2">
      <c r="A18" s="491"/>
      <c r="B18" s="171" t="s">
        <v>164</v>
      </c>
      <c r="C18" s="302">
        <v>0.26177327191572408</v>
      </c>
      <c r="E18" s="284"/>
      <c r="F18" s="286"/>
    </row>
    <row r="19" spans="1:8" ht="33" customHeight="1" x14ac:dyDescent="0.2">
      <c r="A19" s="491"/>
      <c r="B19" s="171" t="s">
        <v>109</v>
      </c>
      <c r="C19" s="302">
        <v>4.8058805239994846E-2</v>
      </c>
      <c r="E19" s="284"/>
      <c r="F19" s="286"/>
    </row>
    <row r="20" spans="1:8" ht="20.25" customHeight="1" x14ac:dyDescent="0.2">
      <c r="A20" s="492"/>
      <c r="B20" s="171" t="s">
        <v>210</v>
      </c>
      <c r="C20" s="302">
        <v>0.11138006217179786</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3">
        <f>C16*C5</f>
        <v>0</v>
      </c>
      <c r="D27" s="343" t="s">
        <v>318</v>
      </c>
    </row>
    <row r="28" spans="1:8" ht="14.25" customHeight="1" x14ac:dyDescent="0.2">
      <c r="B28" s="330" t="s">
        <v>32</v>
      </c>
      <c r="C28" s="424">
        <v>0</v>
      </c>
      <c r="D28" s="345" t="s">
        <v>319</v>
      </c>
    </row>
    <row r="29" spans="1:8" ht="15.75" customHeight="1" x14ac:dyDescent="0.2">
      <c r="B29" s="328" t="s">
        <v>34</v>
      </c>
      <c r="C29" s="423">
        <f>SUM(C18:C19)*C5</f>
        <v>72364.571908514859</v>
      </c>
      <c r="D29" s="343" t="s">
        <v>320</v>
      </c>
    </row>
    <row r="30" spans="1:8" ht="15.75" customHeight="1" x14ac:dyDescent="0.2">
      <c r="B30" s="328" t="s">
        <v>36</v>
      </c>
      <c r="C30" s="423">
        <f>C17*C5</f>
        <v>0</v>
      </c>
      <c r="D30" s="343" t="s">
        <v>321</v>
      </c>
    </row>
    <row r="31" spans="1:8" ht="15.75" customHeight="1" x14ac:dyDescent="0.2">
      <c r="B31" s="330" t="s">
        <v>38</v>
      </c>
      <c r="C31" s="423">
        <f>C11*C5*C21</f>
        <v>7928.9601729226742</v>
      </c>
      <c r="D31" s="347" t="s">
        <v>89</v>
      </c>
    </row>
    <row r="32" spans="1:8" ht="15.75" customHeight="1" x14ac:dyDescent="0.2">
      <c r="B32" s="330" t="s">
        <v>41</v>
      </c>
      <c r="C32" s="423">
        <f>C12*C5*C21</f>
        <v>109182.44556660917</v>
      </c>
      <c r="D32" s="347" t="s">
        <v>90</v>
      </c>
    </row>
    <row r="33" spans="2:6" ht="15.75" customHeight="1" x14ac:dyDescent="0.2">
      <c r="B33" s="330" t="s">
        <v>40</v>
      </c>
      <c r="C33" s="423">
        <f>C13*C5*C21</f>
        <v>0</v>
      </c>
      <c r="D33" s="347" t="s">
        <v>91</v>
      </c>
    </row>
    <row r="34" spans="2:6" ht="15.75" customHeight="1" x14ac:dyDescent="0.2">
      <c r="B34" s="330" t="s">
        <v>42</v>
      </c>
      <c r="C34" s="423">
        <f>C14*C5*C21</f>
        <v>18070.645608750605</v>
      </c>
      <c r="D34" s="347" t="s">
        <v>92</v>
      </c>
    </row>
    <row r="35" spans="2:6" ht="15.75" customHeight="1" x14ac:dyDescent="0.2">
      <c r="B35" s="328" t="s">
        <v>43</v>
      </c>
      <c r="C35" s="423">
        <f>C15*C5</f>
        <v>0</v>
      </c>
      <c r="D35" s="347" t="s">
        <v>93</v>
      </c>
    </row>
    <row r="36" spans="2:6" ht="15.75" customHeight="1" x14ac:dyDescent="0.2">
      <c r="B36" s="328" t="s">
        <v>45</v>
      </c>
      <c r="C36" s="425">
        <v>0</v>
      </c>
      <c r="D36" s="347" t="s">
        <v>322</v>
      </c>
    </row>
    <row r="37" spans="2:6" ht="15.75" customHeight="1" x14ac:dyDescent="0.2">
      <c r="B37" s="328" t="s">
        <v>47</v>
      </c>
      <c r="C37" s="425">
        <v>0</v>
      </c>
      <c r="D37" s="347" t="s">
        <v>322</v>
      </c>
    </row>
    <row r="38" spans="2:6" ht="15.75" customHeight="1" x14ac:dyDescent="0.2">
      <c r="B38" s="328" t="s">
        <v>48</v>
      </c>
      <c r="C38" s="423">
        <v>0</v>
      </c>
      <c r="D38" s="347" t="s">
        <v>323</v>
      </c>
    </row>
    <row r="39" spans="2:6" ht="15.75" customHeight="1" x14ac:dyDescent="0.2">
      <c r="B39" s="328" t="s">
        <v>50</v>
      </c>
      <c r="C39" s="423">
        <v>0</v>
      </c>
      <c r="D39" s="347" t="s">
        <v>324</v>
      </c>
    </row>
    <row r="40" spans="2:6" ht="15.75" customHeight="1" x14ac:dyDescent="0.2">
      <c r="B40" s="328" t="s">
        <v>52</v>
      </c>
      <c r="C40" s="423">
        <v>0</v>
      </c>
      <c r="D40" s="347" t="s">
        <v>325</v>
      </c>
    </row>
    <row r="41" spans="2:6" ht="15.75" customHeight="1" x14ac:dyDescent="0.2">
      <c r="B41" s="328" t="s">
        <v>54</v>
      </c>
      <c r="C41" s="423">
        <v>0</v>
      </c>
      <c r="D41" s="347" t="s">
        <v>323</v>
      </c>
    </row>
    <row r="42" spans="2:6" ht="15.75" customHeight="1" x14ac:dyDescent="0.2">
      <c r="B42" s="328" t="s">
        <v>326</v>
      </c>
      <c r="C42" s="423">
        <f>C7*C6</f>
        <v>10562</v>
      </c>
      <c r="D42" s="350" t="s">
        <v>530</v>
      </c>
    </row>
    <row r="43" spans="2:6" ht="15.75" customHeight="1" x14ac:dyDescent="0.2">
      <c r="B43" s="328" t="s">
        <v>57</v>
      </c>
      <c r="C43" s="423">
        <f>IF(C8-C42&gt;0,C8-C42,0)</f>
        <v>0</v>
      </c>
      <c r="D43" s="350" t="s">
        <v>327</v>
      </c>
    </row>
    <row r="44" spans="2:6" ht="15.75" customHeight="1" x14ac:dyDescent="0.2">
      <c r="B44" s="332" t="s">
        <v>59</v>
      </c>
      <c r="C44" s="423">
        <f>C20*C5 + C5*SUM(C11:C14)*(1-C21)</f>
        <v>26013.996330518905</v>
      </c>
      <c r="D44" s="351" t="s">
        <v>178</v>
      </c>
    </row>
    <row r="45" spans="2:6" ht="15.75" customHeight="1" x14ac:dyDescent="0.2">
      <c r="B45" s="328" t="s">
        <v>61</v>
      </c>
      <c r="C45" s="423">
        <f>SUM(C27:C44)</f>
        <v>244122.61958731621</v>
      </c>
      <c r="D45" s="350" t="s">
        <v>179</v>
      </c>
      <c r="F45" s="100">
        <f>C45-C5</f>
        <v>10562.000000000029</v>
      </c>
    </row>
    <row r="46" spans="2:6" ht="15.75" customHeight="1" x14ac:dyDescent="0.2">
      <c r="B46" s="328" t="s">
        <v>63</v>
      </c>
      <c r="C46" s="423">
        <f>C6</f>
        <v>112627.02326260571</v>
      </c>
      <c r="D46" s="350" t="s">
        <v>180</v>
      </c>
    </row>
    <row r="47" spans="2:6" ht="15.75" customHeight="1" x14ac:dyDescent="0.2">
      <c r="B47" s="328" t="s">
        <v>222</v>
      </c>
      <c r="C47" s="425">
        <f>MAX(0,(C45-C46))</f>
        <v>131495.5963247105</v>
      </c>
      <c r="D47" s="341"/>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4" t="str">
        <f>C4</f>
        <v>Park Name Here</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112627.02326260571</v>
      </c>
      <c r="D59" s="185" t="s">
        <v>465</v>
      </c>
      <c r="E59" s="316">
        <v>0</v>
      </c>
      <c r="F59" s="185">
        <v>100000000</v>
      </c>
      <c r="G59" s="186">
        <v>1</v>
      </c>
    </row>
    <row r="60" spans="2:8" ht="15.75" customHeight="1" x14ac:dyDescent="0.2">
      <c r="B60" s="314" t="s">
        <v>224</v>
      </c>
      <c r="C60" s="315">
        <f>C5</f>
        <v>233560.61958731618</v>
      </c>
      <c r="D60" s="185" t="s">
        <v>225</v>
      </c>
      <c r="E60" s="316">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3.3948189497581152</v>
      </c>
      <c r="D64" s="181" t="s">
        <v>354</v>
      </c>
      <c r="E64" s="181">
        <v>0</v>
      </c>
      <c r="F64" s="181">
        <v>10000000</v>
      </c>
      <c r="G64" s="181">
        <v>1</v>
      </c>
      <c r="H64" s="11"/>
    </row>
    <row r="65" spans="2:8" ht="26.25" customHeight="1" x14ac:dyDescent="0.2">
      <c r="B65" s="197" t="s">
        <v>73</v>
      </c>
      <c r="C65" s="317">
        <f t="shared" si="0"/>
        <v>46.746941226447433</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7.7370258910427872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26.17732719157241</v>
      </c>
      <c r="D72" s="181" t="s">
        <v>231</v>
      </c>
      <c r="E72" s="181">
        <v>0</v>
      </c>
      <c r="F72" s="181">
        <v>10000000</v>
      </c>
      <c r="G72" s="181">
        <v>1</v>
      </c>
    </row>
    <row r="73" spans="2:8" ht="26.25" customHeight="1" x14ac:dyDescent="0.2">
      <c r="B73" s="312" t="s">
        <v>109</v>
      </c>
      <c r="C73" s="317">
        <f>C19*100</f>
        <v>4.8058805239994848</v>
      </c>
      <c r="D73" s="181" t="s">
        <v>232</v>
      </c>
      <c r="E73" s="181">
        <v>0</v>
      </c>
      <c r="F73" s="181">
        <v>10000000</v>
      </c>
      <c r="G73" s="181">
        <v>1</v>
      </c>
    </row>
    <row r="74" spans="2:8" ht="26.25" customHeight="1" x14ac:dyDescent="0.2">
      <c r="B74" s="312" t="s">
        <v>513</v>
      </c>
      <c r="C74" s="319">
        <f>C42</f>
        <v>10562</v>
      </c>
      <c r="D74" s="181" t="s">
        <v>367</v>
      </c>
      <c r="E74" s="181">
        <v>0</v>
      </c>
      <c r="F74" s="181">
        <v>10000000</v>
      </c>
      <c r="G74" s="181">
        <v>1</v>
      </c>
      <c r="H74" s="45"/>
    </row>
    <row r="75" spans="2:8" ht="26.25" customHeight="1" x14ac:dyDescent="0.2">
      <c r="B75" s="312" t="s">
        <v>210</v>
      </c>
      <c r="C75" s="317">
        <f>C20*100</f>
        <v>11.138006217179786</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10562</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629</v>
      </c>
      <c r="C7" s="293" t="s">
        <v>503</v>
      </c>
    </row>
    <row r="8" spans="1:7" ht="37.5" customHeight="1" x14ac:dyDescent="0.2">
      <c r="A8" s="244"/>
      <c r="B8" s="164" t="s">
        <v>0</v>
      </c>
      <c r="C8" s="168" t="s">
        <v>1</v>
      </c>
      <c r="D8" s="163"/>
      <c r="E8" s="10"/>
      <c r="F8" s="283" t="s">
        <v>498</v>
      </c>
      <c r="G8" s="283"/>
    </row>
    <row r="9" spans="1:7" ht="34.5" customHeight="1" x14ac:dyDescent="0.2">
      <c r="A9" s="490" t="s">
        <v>499</v>
      </c>
      <c r="B9" s="171" t="s">
        <v>469</v>
      </c>
      <c r="C9" s="210">
        <v>0</v>
      </c>
      <c r="D9" s="11"/>
      <c r="F9" s="284">
        <v>62254.150565008706</v>
      </c>
      <c r="G9" s="285">
        <f>F9/SUM($F$9:$F$17)</f>
        <v>7.3913043478260859E-2</v>
      </c>
    </row>
    <row r="10" spans="1:7" ht="34.5" customHeight="1" x14ac:dyDescent="0.2">
      <c r="A10" s="491"/>
      <c r="B10" s="171" t="s">
        <v>470</v>
      </c>
      <c r="C10" s="210">
        <v>0.11</v>
      </c>
      <c r="D10" s="493"/>
      <c r="F10" s="284">
        <v>29296.070854121743</v>
      </c>
      <c r="G10" s="285">
        <f t="shared" ref="G10:G18" si="0">F10/SUM($F$9:$F$17)</f>
        <v>3.4782608695652167E-2</v>
      </c>
    </row>
    <row r="11" spans="1:7" ht="30.75" customHeight="1" x14ac:dyDescent="0.2">
      <c r="A11" s="491"/>
      <c r="B11" s="171" t="s">
        <v>471</v>
      </c>
      <c r="C11" s="210">
        <v>0</v>
      </c>
      <c r="D11" s="494"/>
      <c r="F11" s="284">
        <v>274650.66425739136</v>
      </c>
      <c r="G11" s="285">
        <f t="shared" si="0"/>
        <v>0.32608695652173914</v>
      </c>
    </row>
    <row r="12" spans="1:7" ht="30.75" customHeight="1" x14ac:dyDescent="0.2">
      <c r="A12" s="491"/>
      <c r="B12" s="171" t="s">
        <v>472</v>
      </c>
      <c r="C12" s="210">
        <v>0.01</v>
      </c>
      <c r="D12" s="494"/>
      <c r="F12" s="284">
        <v>0</v>
      </c>
      <c r="G12" s="285">
        <f t="shared" si="0"/>
        <v>0</v>
      </c>
    </row>
    <row r="13" spans="1:7" ht="30.75" customHeight="1" x14ac:dyDescent="0.2">
      <c r="A13" s="491"/>
      <c r="B13" s="171" t="s">
        <v>473</v>
      </c>
      <c r="C13" s="210">
        <v>0</v>
      </c>
      <c r="D13" s="494"/>
      <c r="F13" s="284">
        <v>0</v>
      </c>
      <c r="G13" s="285">
        <f t="shared" si="0"/>
        <v>0</v>
      </c>
    </row>
    <row r="14" spans="1:7" ht="27" customHeight="1" x14ac:dyDescent="0.2">
      <c r="A14" s="491"/>
      <c r="B14" s="171" t="s">
        <v>474</v>
      </c>
      <c r="C14" s="210">
        <v>0</v>
      </c>
      <c r="D14" s="11"/>
      <c r="F14" s="284">
        <v>91550.221419130437</v>
      </c>
      <c r="G14" s="285">
        <f t="shared" si="0"/>
        <v>0.10869565217391303</v>
      </c>
    </row>
    <row r="15" spans="1:7" ht="26.25" customHeight="1" x14ac:dyDescent="0.2">
      <c r="A15" s="491"/>
      <c r="B15" s="171" t="s">
        <v>475</v>
      </c>
      <c r="C15" s="210">
        <v>0</v>
      </c>
      <c r="D15" s="493"/>
      <c r="F15" s="284">
        <v>0</v>
      </c>
      <c r="G15" s="285">
        <f t="shared" si="0"/>
        <v>0</v>
      </c>
    </row>
    <row r="16" spans="1:7" ht="26.25" customHeight="1" x14ac:dyDescent="0.2">
      <c r="A16" s="491"/>
      <c r="B16" s="171" t="s">
        <v>476</v>
      </c>
      <c r="C16" s="210">
        <v>0</v>
      </c>
      <c r="D16" s="494"/>
      <c r="F16" s="284">
        <v>36620.088567652172</v>
      </c>
      <c r="G16" s="285">
        <f t="shared" si="0"/>
        <v>4.3478260869565202E-2</v>
      </c>
    </row>
    <row r="17" spans="1:8" ht="33" customHeight="1" x14ac:dyDescent="0.2">
      <c r="A17" s="491"/>
      <c r="B17" s="171" t="s">
        <v>477</v>
      </c>
      <c r="C17" s="210">
        <v>0.05</v>
      </c>
      <c r="D17" s="494"/>
      <c r="F17" s="284">
        <v>347890.84139269573</v>
      </c>
      <c r="G17" s="285">
        <f t="shared" si="0"/>
        <v>0.41304347826086957</v>
      </c>
    </row>
    <row r="18" spans="1:8" ht="20.25" customHeight="1" x14ac:dyDescent="0.2">
      <c r="A18" s="492"/>
      <c r="B18" s="171" t="s">
        <v>478</v>
      </c>
      <c r="C18" s="210">
        <v>0.83</v>
      </c>
      <c r="D18" s="494"/>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528.1</v>
      </c>
      <c r="D27" s="343" t="s">
        <v>215</v>
      </c>
    </row>
    <row r="28" spans="1:8" ht="15.75" customHeight="1" x14ac:dyDescent="0.2">
      <c r="B28" s="328" t="s">
        <v>36</v>
      </c>
      <c r="C28" s="342">
        <f>C15*C4</f>
        <v>0</v>
      </c>
      <c r="D28" s="343" t="s">
        <v>216</v>
      </c>
    </row>
    <row r="29" spans="1:8" ht="15.75" customHeight="1" x14ac:dyDescent="0.2">
      <c r="B29" s="330" t="s">
        <v>38</v>
      </c>
      <c r="C29" s="346">
        <f>C9*C4</f>
        <v>0</v>
      </c>
      <c r="D29" s="347" t="s">
        <v>89</v>
      </c>
    </row>
    <row r="30" spans="1:8" ht="15.75" customHeight="1" x14ac:dyDescent="0.2">
      <c r="B30" s="330" t="s">
        <v>41</v>
      </c>
      <c r="C30" s="346">
        <f>C10*C4</f>
        <v>1161.82</v>
      </c>
      <c r="D30" s="347" t="s">
        <v>90</v>
      </c>
    </row>
    <row r="31" spans="1:8" ht="15.75" customHeight="1" x14ac:dyDescent="0.2">
      <c r="B31" s="330" t="s">
        <v>40</v>
      </c>
      <c r="C31" s="346">
        <f>C11*C4</f>
        <v>0</v>
      </c>
      <c r="D31" s="347" t="s">
        <v>91</v>
      </c>
    </row>
    <row r="32" spans="1:8" ht="15.75" customHeight="1" x14ac:dyDescent="0.2">
      <c r="B32" s="330" t="s">
        <v>42</v>
      </c>
      <c r="C32" s="346">
        <f>C12*C4</f>
        <v>105.62</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0.83</v>
      </c>
      <c r="D42" s="351" t="s">
        <v>178</v>
      </c>
    </row>
    <row r="43" spans="2:5" ht="15.75" customHeight="1" x14ac:dyDescent="0.2">
      <c r="B43" s="328" t="s">
        <v>61</v>
      </c>
      <c r="C43" s="342">
        <f>SUM(C25:C42)</f>
        <v>1796.37</v>
      </c>
      <c r="D43" s="350" t="s">
        <v>179</v>
      </c>
      <c r="E43" s="53">
        <f>C4-C45</f>
        <v>8765.630000000001</v>
      </c>
    </row>
    <row r="44" spans="2:5" ht="15.75" customHeight="1" x14ac:dyDescent="0.2">
      <c r="B44" s="328" t="s">
        <v>63</v>
      </c>
      <c r="C44" s="342">
        <f>C5</f>
        <v>0</v>
      </c>
      <c r="D44" s="350" t="s">
        <v>370</v>
      </c>
    </row>
    <row r="45" spans="2:5" ht="15.75" customHeight="1" x14ac:dyDescent="0.2">
      <c r="B45" s="328" t="s">
        <v>222</v>
      </c>
      <c r="C45" s="348">
        <f>-1*(C44-C43)</f>
        <v>1796.37</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0</v>
      </c>
      <c r="D59" s="181" t="s">
        <v>618</v>
      </c>
      <c r="E59" s="181">
        <v>0</v>
      </c>
      <c r="F59" s="181">
        <v>100</v>
      </c>
      <c r="G59" s="181">
        <v>1</v>
      </c>
      <c r="H59" s="11"/>
    </row>
    <row r="60" spans="2:8" ht="26.25" customHeight="1" x14ac:dyDescent="0.2">
      <c r="B60" s="197" t="s">
        <v>73</v>
      </c>
      <c r="C60" s="309">
        <f t="shared" si="1"/>
        <v>11</v>
      </c>
      <c r="D60" s="181" t="s">
        <v>619</v>
      </c>
      <c r="E60" s="181">
        <v>0</v>
      </c>
      <c r="F60" s="181">
        <v>100</v>
      </c>
      <c r="G60" s="181">
        <v>1</v>
      </c>
      <c r="H60" s="493"/>
    </row>
    <row r="61" spans="2:8" ht="26.25" customHeight="1" x14ac:dyDescent="0.2">
      <c r="B61" s="197" t="s">
        <v>74</v>
      </c>
      <c r="C61" s="309">
        <f t="shared" si="1"/>
        <v>0</v>
      </c>
      <c r="D61" s="181" t="s">
        <v>620</v>
      </c>
      <c r="E61" s="181">
        <v>0</v>
      </c>
      <c r="F61" s="181">
        <v>100</v>
      </c>
      <c r="G61" s="181">
        <v>1</v>
      </c>
      <c r="H61" s="493"/>
    </row>
    <row r="62" spans="2:8" ht="26.25" customHeight="1" x14ac:dyDescent="0.2">
      <c r="B62" s="197" t="s">
        <v>75</v>
      </c>
      <c r="C62" s="309">
        <f t="shared" si="1"/>
        <v>1</v>
      </c>
      <c r="D62" s="181" t="s">
        <v>621</v>
      </c>
      <c r="E62" s="181">
        <v>0</v>
      </c>
      <c r="F62" s="181">
        <v>100</v>
      </c>
      <c r="G62" s="181">
        <v>1</v>
      </c>
      <c r="H62" s="493"/>
    </row>
    <row r="63" spans="2:8" ht="26.25" customHeight="1" x14ac:dyDescent="0.2">
      <c r="B63" s="312" t="s">
        <v>208</v>
      </c>
      <c r="C63" s="309">
        <f t="shared" si="1"/>
        <v>0</v>
      </c>
      <c r="D63" s="181" t="s">
        <v>622</v>
      </c>
      <c r="E63" s="181">
        <v>0</v>
      </c>
      <c r="F63" s="181">
        <v>100</v>
      </c>
      <c r="G63" s="181">
        <v>1</v>
      </c>
      <c r="H63" s="494"/>
    </row>
    <row r="64" spans="2:8" ht="26.25" customHeight="1" x14ac:dyDescent="0.2">
      <c r="B64" s="313" t="s">
        <v>349</v>
      </c>
      <c r="C64" s="309">
        <f t="shared" si="1"/>
        <v>0</v>
      </c>
      <c r="D64" s="181" t="s">
        <v>623</v>
      </c>
      <c r="E64" s="181">
        <v>0</v>
      </c>
      <c r="F64" s="181">
        <v>100</v>
      </c>
      <c r="G64" s="181">
        <v>1</v>
      </c>
      <c r="H64" s="11"/>
    </row>
    <row r="65" spans="2:8" ht="26.25" customHeight="1" x14ac:dyDescent="0.2">
      <c r="B65" s="197" t="s">
        <v>482</v>
      </c>
      <c r="C65" s="309">
        <v>0</v>
      </c>
      <c r="D65" s="181" t="s">
        <v>624</v>
      </c>
      <c r="E65" s="181">
        <v>0</v>
      </c>
      <c r="F65" s="181">
        <v>100</v>
      </c>
      <c r="G65" s="181">
        <v>1</v>
      </c>
      <c r="H65" s="11"/>
    </row>
    <row r="66" spans="2:8" ht="26.25" customHeight="1" x14ac:dyDescent="0.2">
      <c r="B66" s="197" t="s">
        <v>350</v>
      </c>
      <c r="C66" s="309">
        <f>C15*100</f>
        <v>0</v>
      </c>
      <c r="D66" s="181" t="s">
        <v>625</v>
      </c>
      <c r="E66" s="181">
        <v>0</v>
      </c>
      <c r="F66" s="181">
        <v>100</v>
      </c>
      <c r="G66" s="181">
        <v>1</v>
      </c>
      <c r="H66" s="11"/>
    </row>
    <row r="67" spans="2:8" ht="26.25" customHeight="1" x14ac:dyDescent="0.2">
      <c r="B67" s="197" t="s">
        <v>351</v>
      </c>
      <c r="C67" s="309">
        <f t="shared" ref="C67:C69" si="2">C16*100</f>
        <v>0</v>
      </c>
      <c r="D67" s="181" t="s">
        <v>626</v>
      </c>
      <c r="E67" s="181">
        <v>0</v>
      </c>
      <c r="F67" s="181">
        <v>100</v>
      </c>
      <c r="G67" s="181">
        <v>1</v>
      </c>
      <c r="H67" s="37"/>
    </row>
    <row r="68" spans="2:8" ht="26.25" customHeight="1" x14ac:dyDescent="0.2">
      <c r="B68" s="197" t="s">
        <v>352</v>
      </c>
      <c r="C68" s="309">
        <f t="shared" si="2"/>
        <v>5</v>
      </c>
      <c r="D68" s="181" t="s">
        <v>627</v>
      </c>
      <c r="E68" s="181">
        <v>0</v>
      </c>
      <c r="F68" s="181">
        <v>100</v>
      </c>
      <c r="G68" s="181">
        <v>1</v>
      </c>
    </row>
    <row r="69" spans="2:8" ht="26.25" customHeight="1" x14ac:dyDescent="0.2">
      <c r="B69" s="197" t="s">
        <v>353</v>
      </c>
      <c r="C69" s="309">
        <f t="shared" si="2"/>
        <v>83</v>
      </c>
      <c r="D69" s="181" t="s">
        <v>628</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36836</v>
      </c>
      <c r="D4" s="127" t="s">
        <v>615</v>
      </c>
      <c r="E4" s="43"/>
      <c r="F4" s="6"/>
      <c r="G4" s="17"/>
    </row>
    <row r="5" spans="1:7" ht="26.25" customHeight="1" x14ac:dyDescent="0.2">
      <c r="A5" s="296"/>
      <c r="B5" s="300" t="s">
        <v>613</v>
      </c>
      <c r="C5" s="301">
        <f>Tourists!C41+Ag!C41+Nonag!C41+Fishing!C43+Restaurants!C42+Lodges!C42+Tourism!C42</f>
        <v>42167.199274279556</v>
      </c>
      <c r="D5" s="45" t="s">
        <v>616</v>
      </c>
      <c r="E5" s="46"/>
      <c r="F5" s="488"/>
      <c r="G5" s="47"/>
    </row>
    <row r="6" spans="1:7" ht="26.25" customHeight="1" x14ac:dyDescent="0.2">
      <c r="A6" s="256"/>
      <c r="B6" s="300" t="s">
        <v>614</v>
      </c>
      <c r="C6" s="301">
        <f>C5-C4</f>
        <v>5331.1992742795555</v>
      </c>
      <c r="D6" s="489" t="s">
        <v>617</v>
      </c>
      <c r="E6" s="48"/>
      <c r="F6" s="49"/>
      <c r="G6" s="49"/>
    </row>
    <row r="7" spans="1:7" ht="26.25" customHeight="1" x14ac:dyDescent="0.2">
      <c r="A7" s="295" t="s">
        <v>8</v>
      </c>
      <c r="B7" s="297" t="s">
        <v>629</v>
      </c>
      <c r="C7" s="297"/>
    </row>
    <row r="8" spans="1:7" ht="37.5" customHeight="1" x14ac:dyDescent="0.2">
      <c r="A8" s="244"/>
      <c r="B8" s="164" t="s">
        <v>0</v>
      </c>
      <c r="C8" s="168" t="s">
        <v>479</v>
      </c>
      <c r="E8" s="283" t="s">
        <v>506</v>
      </c>
      <c r="F8" s="283"/>
      <c r="G8" s="10"/>
    </row>
    <row r="9" spans="1:7" ht="34.5" customHeight="1" x14ac:dyDescent="0.2">
      <c r="A9" s="490" t="s">
        <v>505</v>
      </c>
      <c r="B9" s="171" t="s">
        <v>548</v>
      </c>
      <c r="C9" s="302">
        <v>0.08</v>
      </c>
      <c r="D9" s="11"/>
      <c r="E9" s="284"/>
      <c r="F9" s="286"/>
    </row>
    <row r="10" spans="1:7" ht="34.5" customHeight="1" x14ac:dyDescent="0.2">
      <c r="A10" s="491"/>
      <c r="B10" s="171" t="s">
        <v>547</v>
      </c>
      <c r="C10" s="302">
        <v>0.48</v>
      </c>
      <c r="D10" s="11"/>
      <c r="E10" s="284"/>
      <c r="F10" s="286"/>
    </row>
    <row r="11" spans="1:7" ht="30.75" customHeight="1" x14ac:dyDescent="0.2">
      <c r="A11" s="491"/>
      <c r="B11" s="171" t="s">
        <v>549</v>
      </c>
      <c r="C11" s="302">
        <v>0.02</v>
      </c>
      <c r="E11" s="284"/>
      <c r="F11" s="286"/>
    </row>
    <row r="12" spans="1:7" ht="30.75" customHeight="1" x14ac:dyDescent="0.2">
      <c r="A12" s="491"/>
      <c r="B12" s="171" t="s">
        <v>550</v>
      </c>
      <c r="C12" s="302">
        <v>0.09</v>
      </c>
      <c r="E12" s="284"/>
      <c r="F12" s="286"/>
    </row>
    <row r="13" spans="1:7" ht="30.75" customHeight="1" x14ac:dyDescent="0.2">
      <c r="A13" s="491"/>
      <c r="B13" s="171" t="s">
        <v>208</v>
      </c>
      <c r="C13" s="302">
        <v>0</v>
      </c>
      <c r="E13" s="284"/>
      <c r="F13" s="286"/>
    </row>
    <row r="14" spans="1:7" ht="27" customHeight="1" x14ac:dyDescent="0.2">
      <c r="A14" s="491"/>
      <c r="B14" s="171" t="s">
        <v>163</v>
      </c>
      <c r="C14" s="302">
        <v>0</v>
      </c>
      <c r="D14" s="11"/>
      <c r="E14" s="284"/>
      <c r="F14" s="286"/>
    </row>
    <row r="15" spans="1:7" ht="26.25" customHeight="1" x14ac:dyDescent="0.2">
      <c r="A15" s="491"/>
      <c r="B15" s="171" t="s">
        <v>209</v>
      </c>
      <c r="C15" s="302">
        <v>0</v>
      </c>
      <c r="D15" s="11"/>
      <c r="E15" s="284"/>
      <c r="F15" s="286"/>
    </row>
    <row r="16" spans="1:7" ht="26.25" customHeight="1" x14ac:dyDescent="0.2">
      <c r="A16" s="491"/>
      <c r="B16" s="171" t="s">
        <v>164</v>
      </c>
      <c r="C16" s="302">
        <v>0.25</v>
      </c>
      <c r="E16" s="284"/>
      <c r="F16" s="286"/>
    </row>
    <row r="17" spans="1:8" ht="33" customHeight="1" x14ac:dyDescent="0.2">
      <c r="A17" s="491"/>
      <c r="B17" s="171" t="s">
        <v>109</v>
      </c>
      <c r="C17" s="302">
        <v>0.04</v>
      </c>
      <c r="E17" s="284"/>
      <c r="F17" s="286"/>
    </row>
    <row r="18" spans="1:8" ht="20.25" customHeight="1" x14ac:dyDescent="0.2">
      <c r="A18" s="492"/>
      <c r="B18" s="171" t="s">
        <v>210</v>
      </c>
      <c r="C18" s="302">
        <v>0.04</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3">
        <f>C14*C5</f>
        <v>0</v>
      </c>
      <c r="D25" s="343" t="s">
        <v>588</v>
      </c>
    </row>
    <row r="26" spans="1:8" ht="14.25" customHeight="1" x14ac:dyDescent="0.2">
      <c r="B26" s="330" t="s">
        <v>32</v>
      </c>
      <c r="C26" s="424">
        <v>0</v>
      </c>
      <c r="D26" s="345" t="s">
        <v>596</v>
      </c>
    </row>
    <row r="27" spans="1:8" ht="15.75" customHeight="1" x14ac:dyDescent="0.2">
      <c r="B27" s="328" t="s">
        <v>34</v>
      </c>
      <c r="C27" s="423">
        <f>SUM(C16:C17)*C5</f>
        <v>12228.48778954107</v>
      </c>
      <c r="D27" s="343" t="s">
        <v>589</v>
      </c>
    </row>
    <row r="28" spans="1:8" ht="15.75" customHeight="1" x14ac:dyDescent="0.2">
      <c r="B28" s="328" t="s">
        <v>36</v>
      </c>
      <c r="C28" s="423">
        <f>C15*C5</f>
        <v>0</v>
      </c>
      <c r="D28" s="343" t="s">
        <v>590</v>
      </c>
    </row>
    <row r="29" spans="1:8" ht="15.75" customHeight="1" x14ac:dyDescent="0.2">
      <c r="B29" s="330" t="s">
        <v>38</v>
      </c>
      <c r="C29" s="423">
        <f>C9*C5*C19</f>
        <v>3373.3759419423645</v>
      </c>
      <c r="D29" s="347" t="s">
        <v>89</v>
      </c>
    </row>
    <row r="30" spans="1:8" ht="15.75" customHeight="1" x14ac:dyDescent="0.2">
      <c r="B30" s="330" t="s">
        <v>41</v>
      </c>
      <c r="C30" s="423">
        <f>C10*C5*C19</f>
        <v>20240.255651654184</v>
      </c>
      <c r="D30" s="347" t="s">
        <v>90</v>
      </c>
    </row>
    <row r="31" spans="1:8" ht="15.75" customHeight="1" x14ac:dyDescent="0.2">
      <c r="B31" s="330" t="s">
        <v>40</v>
      </c>
      <c r="C31" s="423">
        <f>C11*C5*C19</f>
        <v>843.34398548559113</v>
      </c>
      <c r="D31" s="347" t="s">
        <v>91</v>
      </c>
    </row>
    <row r="32" spans="1:8" ht="15.75" customHeight="1" x14ac:dyDescent="0.2">
      <c r="B32" s="330" t="s">
        <v>42</v>
      </c>
      <c r="C32" s="423">
        <f>C12*C5*C19</f>
        <v>3795.0479346851598</v>
      </c>
      <c r="D32" s="347" t="s">
        <v>92</v>
      </c>
    </row>
    <row r="33" spans="2:6" ht="15.75" customHeight="1" x14ac:dyDescent="0.2">
      <c r="B33" s="328" t="s">
        <v>43</v>
      </c>
      <c r="C33" s="423">
        <f>C13*C5</f>
        <v>0</v>
      </c>
      <c r="D33" s="347" t="s">
        <v>93</v>
      </c>
    </row>
    <row r="34" spans="2:6" ht="15.75" customHeight="1" x14ac:dyDescent="0.2">
      <c r="B34" s="328" t="s">
        <v>45</v>
      </c>
      <c r="C34" s="425">
        <v>0</v>
      </c>
      <c r="D34" s="347" t="s">
        <v>591</v>
      </c>
    </row>
    <row r="35" spans="2:6" ht="15.75" customHeight="1" x14ac:dyDescent="0.2">
      <c r="B35" s="328" t="s">
        <v>47</v>
      </c>
      <c r="C35" s="425">
        <v>0</v>
      </c>
      <c r="D35" s="347" t="s">
        <v>591</v>
      </c>
    </row>
    <row r="36" spans="2:6" ht="15.75" customHeight="1" x14ac:dyDescent="0.2">
      <c r="B36" s="328" t="s">
        <v>48</v>
      </c>
      <c r="C36" s="423">
        <v>0</v>
      </c>
      <c r="D36" s="347" t="s">
        <v>592</v>
      </c>
    </row>
    <row r="37" spans="2:6" ht="15.75" customHeight="1" x14ac:dyDescent="0.2">
      <c r="B37" s="328" t="s">
        <v>50</v>
      </c>
      <c r="C37" s="423">
        <v>0</v>
      </c>
      <c r="D37" s="347" t="s">
        <v>593</v>
      </c>
    </row>
    <row r="38" spans="2:6" ht="15.75" customHeight="1" x14ac:dyDescent="0.2">
      <c r="B38" s="328" t="s">
        <v>52</v>
      </c>
      <c r="C38" s="423">
        <v>0</v>
      </c>
      <c r="D38" s="347" t="s">
        <v>594</v>
      </c>
    </row>
    <row r="39" spans="2:6" ht="15.75" customHeight="1" x14ac:dyDescent="0.2">
      <c r="B39" s="328" t="s">
        <v>54</v>
      </c>
      <c r="C39" s="423">
        <v>0</v>
      </c>
      <c r="D39" s="347" t="s">
        <v>592</v>
      </c>
    </row>
    <row r="40" spans="2:6" ht="15.75" customHeight="1" x14ac:dyDescent="0.2">
      <c r="B40" s="328" t="s">
        <v>326</v>
      </c>
      <c r="C40" s="423">
        <v>0</v>
      </c>
      <c r="D40" s="350" t="s">
        <v>597</v>
      </c>
    </row>
    <row r="41" spans="2:6" ht="15.75" customHeight="1" x14ac:dyDescent="0.2">
      <c r="B41" s="328" t="s">
        <v>551</v>
      </c>
      <c r="C41" s="423" t="s">
        <v>610</v>
      </c>
      <c r="D41" s="350" t="s">
        <v>611</v>
      </c>
    </row>
    <row r="42" spans="2:6" ht="15.75" customHeight="1" x14ac:dyDescent="0.2">
      <c r="B42" s="328" t="s">
        <v>57</v>
      </c>
      <c r="C42" s="423">
        <v>0</v>
      </c>
      <c r="D42" s="350" t="s">
        <v>595</v>
      </c>
    </row>
    <row r="43" spans="2:6" ht="15.75" customHeight="1" x14ac:dyDescent="0.2">
      <c r="B43" s="332" t="s">
        <v>59</v>
      </c>
      <c r="C43" s="423">
        <f>C18*C5 + C5*SUM(C9:C12)*(1-C19)</f>
        <v>1686.6879709711823</v>
      </c>
      <c r="D43" s="351" t="s">
        <v>178</v>
      </c>
    </row>
    <row r="44" spans="2:6" ht="15.75" customHeight="1" x14ac:dyDescent="0.2">
      <c r="B44" s="328" t="s">
        <v>61</v>
      </c>
      <c r="C44" s="423">
        <f>SUM(C25:C43)</f>
        <v>42167.199274279541</v>
      </c>
      <c r="D44" s="350" t="s">
        <v>179</v>
      </c>
      <c r="F44" s="100">
        <f>C44-C4</f>
        <v>5331.199274279541</v>
      </c>
    </row>
    <row r="45" spans="2:6" ht="15.75" customHeight="1" x14ac:dyDescent="0.2">
      <c r="B45" s="328" t="s">
        <v>63</v>
      </c>
      <c r="C45" s="423">
        <f>C5</f>
        <v>42167.199274279556</v>
      </c>
      <c r="D45" s="350" t="s">
        <v>180</v>
      </c>
    </row>
    <row r="46" spans="2:6" ht="15.75" customHeight="1" x14ac:dyDescent="0.2">
      <c r="B46" s="328" t="s">
        <v>222</v>
      </c>
      <c r="C46" s="425">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0"/>
      <c r="C53" s="481"/>
      <c r="D53" s="482"/>
    </row>
    <row r="54" spans="2:8" ht="15.75" customHeight="1" x14ac:dyDescent="0.2">
      <c r="B54" s="483"/>
      <c r="C54" s="484"/>
      <c r="D54" s="485"/>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42167.199274279556</v>
      </c>
      <c r="D57" s="185" t="s">
        <v>586</v>
      </c>
      <c r="E57" s="316">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585</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8</v>
      </c>
      <c r="D62" s="181" t="s">
        <v>598</v>
      </c>
      <c r="E62" s="181">
        <v>0</v>
      </c>
      <c r="F62" s="181">
        <v>10000000</v>
      </c>
      <c r="G62" s="181">
        <v>1</v>
      </c>
      <c r="H62" s="11"/>
    </row>
    <row r="63" spans="2:8" ht="26.25" customHeight="1" x14ac:dyDescent="0.2">
      <c r="B63" s="197" t="s">
        <v>73</v>
      </c>
      <c r="C63" s="317">
        <f t="shared" si="0"/>
        <v>48</v>
      </c>
      <c r="D63" s="181" t="s">
        <v>599</v>
      </c>
      <c r="E63" s="181">
        <v>0</v>
      </c>
      <c r="F63" s="181">
        <v>10000000</v>
      </c>
      <c r="G63" s="181">
        <v>1</v>
      </c>
      <c r="H63" s="11"/>
    </row>
    <row r="64" spans="2:8" ht="26.25" customHeight="1" x14ac:dyDescent="0.2">
      <c r="B64" s="197" t="s">
        <v>74</v>
      </c>
      <c r="C64" s="317">
        <f t="shared" si="0"/>
        <v>2</v>
      </c>
      <c r="D64" s="181" t="s">
        <v>600</v>
      </c>
      <c r="E64" s="181">
        <v>0</v>
      </c>
      <c r="F64" s="181">
        <v>10000000</v>
      </c>
      <c r="G64" s="181">
        <v>1</v>
      </c>
      <c r="H64" s="11"/>
    </row>
    <row r="65" spans="2:8" ht="26.25" customHeight="1" x14ac:dyDescent="0.2">
      <c r="B65" s="197" t="s">
        <v>75</v>
      </c>
      <c r="C65" s="317">
        <f t="shared" si="0"/>
        <v>9</v>
      </c>
      <c r="D65" s="181" t="s">
        <v>601</v>
      </c>
      <c r="E65" s="181">
        <v>0</v>
      </c>
      <c r="F65" s="181">
        <v>10000000</v>
      </c>
      <c r="G65" s="181">
        <v>1</v>
      </c>
      <c r="H65" s="11"/>
    </row>
    <row r="66" spans="2:8" ht="26.25" customHeight="1" x14ac:dyDescent="0.2">
      <c r="B66" s="312" t="s">
        <v>208</v>
      </c>
      <c r="C66" s="317">
        <f t="shared" si="0"/>
        <v>0</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25</v>
      </c>
      <c r="D70" s="181" t="s">
        <v>608</v>
      </c>
      <c r="E70" s="181">
        <v>0</v>
      </c>
      <c r="F70" s="181">
        <v>10000000</v>
      </c>
      <c r="G70" s="181">
        <v>1</v>
      </c>
    </row>
    <row r="71" spans="2:8" ht="26.25" customHeight="1" x14ac:dyDescent="0.2">
      <c r="B71" s="312" t="s">
        <v>109</v>
      </c>
      <c r="C71" s="317">
        <f>C17*100</f>
        <v>4</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4</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8" t="s">
        <v>235</v>
      </c>
      <c r="C1" s="429" t="s">
        <v>236</v>
      </c>
      <c r="D1" s="429" t="s">
        <v>237</v>
      </c>
      <c r="E1" s="450" t="s">
        <v>504</v>
      </c>
      <c r="F1" s="1" t="s">
        <v>238</v>
      </c>
      <c r="H1" s="1">
        <v>590</v>
      </c>
      <c r="I1" s="1" t="s">
        <v>239</v>
      </c>
      <c r="J1" s="1" t="s">
        <v>240</v>
      </c>
    </row>
    <row r="2" spans="1:17" ht="14.25" customHeight="1" x14ac:dyDescent="0.2">
      <c r="A2" s="232"/>
      <c r="B2" s="427" t="s">
        <v>241</v>
      </c>
      <c r="C2" s="430">
        <f>N11</f>
        <v>7764</v>
      </c>
      <c r="D2" s="430">
        <f>O11</f>
        <v>1941</v>
      </c>
      <c r="E2" s="450"/>
      <c r="F2" s="55">
        <v>8</v>
      </c>
      <c r="G2" s="56">
        <v>6</v>
      </c>
      <c r="H2" s="57">
        <v>0.14199999999999999</v>
      </c>
      <c r="I2" s="1" t="s">
        <v>242</v>
      </c>
      <c r="J2" s="1">
        <f>44.9301897177261*12</f>
        <v>539.16227661271319</v>
      </c>
      <c r="K2" s="1">
        <f>134.790569153178*12</f>
        <v>1617.4868298381361</v>
      </c>
      <c r="M2" t="s">
        <v>558</v>
      </c>
    </row>
    <row r="3" spans="1:17" ht="14.25" customHeight="1" x14ac:dyDescent="0.2">
      <c r="A3" s="232"/>
      <c r="B3" s="427" t="s">
        <v>243</v>
      </c>
      <c r="C3" s="430">
        <f>P11</f>
        <v>1827.2</v>
      </c>
      <c r="D3" s="430">
        <f>Q11</f>
        <v>456.8</v>
      </c>
      <c r="E3" s="163"/>
      <c r="M3" t="s">
        <v>559</v>
      </c>
      <c r="N3" t="s">
        <v>560</v>
      </c>
      <c r="O3" t="s">
        <v>561</v>
      </c>
    </row>
    <row r="4" spans="1:17" ht="14.25" customHeight="1" x14ac:dyDescent="0.2">
      <c r="A4" s="232"/>
      <c r="B4" s="427" t="s">
        <v>244</v>
      </c>
      <c r="C4" s="431">
        <f>J2/F2</f>
        <v>67.395284576589148</v>
      </c>
      <c r="D4" s="431">
        <f>K2/G2</f>
        <v>269.58113830635602</v>
      </c>
      <c r="E4" s="163"/>
      <c r="G4" s="127" t="s">
        <v>512</v>
      </c>
      <c r="M4" t="s">
        <v>562</v>
      </c>
      <c r="N4">
        <v>108266</v>
      </c>
      <c r="O4">
        <v>33636</v>
      </c>
    </row>
    <row r="5" spans="1:17" ht="14.25" customHeight="1" x14ac:dyDescent="0.2">
      <c r="A5" s="232"/>
      <c r="B5" s="427" t="s">
        <v>245</v>
      </c>
      <c r="C5" s="431">
        <f>C4*0.02</f>
        <v>1.3479056915317831</v>
      </c>
      <c r="D5" s="431">
        <f>D4*0.01</f>
        <v>2.6958113830635604</v>
      </c>
      <c r="E5" s="163"/>
      <c r="F5" s="1" t="s">
        <v>246</v>
      </c>
      <c r="G5" s="1" t="s">
        <v>247</v>
      </c>
      <c r="H5" s="1"/>
      <c r="M5" t="s">
        <v>563</v>
      </c>
      <c r="N5">
        <v>9705</v>
      </c>
      <c r="O5">
        <v>2284</v>
      </c>
    </row>
    <row r="6" spans="1:17" ht="14.25" customHeight="1" x14ac:dyDescent="0.2">
      <c r="A6" s="498"/>
      <c r="B6" s="442" t="s">
        <v>248</v>
      </c>
      <c r="C6" s="432">
        <v>0.4</v>
      </c>
      <c r="D6" s="432">
        <v>0.1</v>
      </c>
      <c r="E6" s="497" t="s">
        <v>249</v>
      </c>
      <c r="F6" s="1" t="s">
        <v>250</v>
      </c>
      <c r="G6" s="443" t="s">
        <v>38</v>
      </c>
      <c r="H6" s="443" t="s">
        <v>41</v>
      </c>
      <c r="I6" s="443" t="s">
        <v>40</v>
      </c>
      <c r="J6" s="443" t="s">
        <v>42</v>
      </c>
      <c r="K6" s="444" t="s">
        <v>251</v>
      </c>
      <c r="M6" t="s">
        <v>564</v>
      </c>
    </row>
    <row r="7" spans="1:17" ht="13.5" customHeight="1" x14ac:dyDescent="0.2">
      <c r="A7" s="499"/>
      <c r="B7" s="442" t="s">
        <v>252</v>
      </c>
      <c r="C7" s="432">
        <v>7.0000000000000007E-2</v>
      </c>
      <c r="D7" s="432">
        <v>0.1</v>
      </c>
      <c r="E7" s="497"/>
      <c r="F7" s="58" t="s">
        <v>45</v>
      </c>
      <c r="G7" s="445">
        <f>$C$6/SUM($C$6:$C$11)*$C$2*$C$4/($C$6/SUM($C$6:$C$11)*$C$2*$C$4+$D$6/SUM($D$6:$D$11)*$D$2*$D$4)</f>
        <v>0.8016194331983808</v>
      </c>
      <c r="H7" s="445">
        <f>$C$7/SUM($C$6:$C$11)*$C$2*$C$4/($C$7/SUM($C$6:$C$11)*$C$2*$C$4+$D$7/SUM($D$6:$D$11)*$D$2*$D$4)</f>
        <v>0.41422594142259461</v>
      </c>
      <c r="I7" s="445">
        <f>$C$8/SUM($C$6:$C$11)*$C$2*$C$4/($C$8/SUM($C$6:$C$11)*$C$2*$C$4+$D$8/SUM($D$6:$D$11)*$D$2*$D$4)</f>
        <v>0.79333614508646177</v>
      </c>
      <c r="J7" s="445">
        <f>$C$9/SUM($C$6:$C$11)*$C$2*$C$4/($C$9/SUM($C$6:$C$11)*$C$2*$C$4+$D$9/SUM($D$6:$D$11)*$D$2*$D$4)</f>
        <v>0.8016194331983808</v>
      </c>
      <c r="K7" s="446">
        <f>$C$10/SUM($C$6:$C$11)*$C$2*$C$4/($C$10/SUM($C$6:$C$11)*$C$2*$C$4+$D$10/SUM($D$6:$D$11)*$D$2*$D$4)</f>
        <v>8.1840727473133229E-2</v>
      </c>
    </row>
    <row r="8" spans="1:17" ht="15.75" customHeight="1" x14ac:dyDescent="0.2">
      <c r="A8" s="499"/>
      <c r="B8" s="442" t="s">
        <v>253</v>
      </c>
      <c r="C8" s="432">
        <v>0.38</v>
      </c>
      <c r="D8" s="432">
        <v>0.1</v>
      </c>
      <c r="E8" s="497"/>
      <c r="F8" s="58" t="s">
        <v>47</v>
      </c>
      <c r="G8" s="445">
        <f>$D$6/SUM($D$6:$D$11)*$D$2*$D$4/($C$6/SUM($C$6:$C$11)*$C$2*$C$4+$D$6/SUM($D$6:$D$11)*$D$2*$D$4)</f>
        <v>0.19838056680161908</v>
      </c>
      <c r="H8" s="445">
        <f>$D$7/SUM($D$6:$D$11)*$D$2*$D$4/($C$7/SUM($C$6:$C$11)*$C$2*$C$4+$D$7/SUM($D$6:$D$11)*$D$2*$D$4)</f>
        <v>0.58577405857740528</v>
      </c>
      <c r="I8" s="445">
        <f>$D$8/SUM($D$6:$D$11)*$D$2*$D$4/($C$8/SUM($C$6:$C$11)*$C$2*$C$4+$D$8/SUM($D$6:$D$11)*$D$2*$D$4)</f>
        <v>0.20666385491353828</v>
      </c>
      <c r="J8" s="445">
        <f>$D$9/SUM($D$6:$D$11)*$D$2*$D$4/($C$9/SUM($C$6:$C$11)*$C$2*$C$4+$D$9/SUM($D$6:$D$11)*$D$2*$D$4)</f>
        <v>0.19838056680161914</v>
      </c>
      <c r="K8" s="446">
        <f>$D$10/SUM($D$6:$D$11)*$D$2*$D$4/($C$10/SUM($C$6:$C$11)*$C$2*$C$4+$D$10/SUM($D$6:$D$11)*$D$2*$D$4)</f>
        <v>0.9181592725268668</v>
      </c>
      <c r="M8" s="478" t="s">
        <v>565</v>
      </c>
      <c r="N8">
        <v>80</v>
      </c>
    </row>
    <row r="9" spans="1:17" ht="28.5" customHeight="1" x14ac:dyDescent="0.2">
      <c r="A9" s="499"/>
      <c r="B9" s="442" t="s">
        <v>254</v>
      </c>
      <c r="C9" s="432">
        <v>0.04</v>
      </c>
      <c r="D9" s="432">
        <v>0.01</v>
      </c>
      <c r="E9" s="497"/>
      <c r="F9" s="58"/>
      <c r="G9" s="447">
        <f>G8+G7</f>
        <v>0.99999999999999989</v>
      </c>
      <c r="H9" s="447">
        <f t="shared" ref="H9:K9" si="0">H8+H7</f>
        <v>0.99999999999999989</v>
      </c>
      <c r="I9" s="447">
        <f t="shared" si="0"/>
        <v>1</v>
      </c>
      <c r="J9" s="447">
        <f t="shared" si="0"/>
        <v>1</v>
      </c>
      <c r="K9" s="447">
        <f t="shared" si="0"/>
        <v>1</v>
      </c>
      <c r="M9" t="s">
        <v>559</v>
      </c>
      <c r="N9" s="479" t="s">
        <v>566</v>
      </c>
      <c r="O9" s="479" t="s">
        <v>567</v>
      </c>
      <c r="P9" s="479" t="s">
        <v>568</v>
      </c>
      <c r="Q9" s="479" t="s">
        <v>569</v>
      </c>
    </row>
    <row r="10" spans="1:17" ht="14.25" customHeight="1" x14ac:dyDescent="0.2">
      <c r="A10" s="499"/>
      <c r="B10" s="442" t="s">
        <v>255</v>
      </c>
      <c r="C10" s="432">
        <v>0.06</v>
      </c>
      <c r="D10" s="432">
        <v>0.68</v>
      </c>
      <c r="E10" s="497"/>
      <c r="G10" s="22"/>
      <c r="H10" s="22"/>
      <c r="M10" t="s">
        <v>562</v>
      </c>
      <c r="N10">
        <f>N4*N8/100</f>
        <v>86612.800000000003</v>
      </c>
      <c r="O10">
        <f>N4*(100-N8)/100</f>
        <v>21653.200000000001</v>
      </c>
      <c r="P10">
        <f>O4*N8/100</f>
        <v>26908.799999999999</v>
      </c>
      <c r="Q10">
        <f>O4*(100-O8)/100</f>
        <v>33636</v>
      </c>
    </row>
    <row r="11" spans="1:17" ht="14.25" customHeight="1" x14ac:dyDescent="0.2">
      <c r="A11" s="500"/>
      <c r="B11" s="442" t="s">
        <v>256</v>
      </c>
      <c r="C11" s="432">
        <v>0.03</v>
      </c>
      <c r="D11" s="432">
        <v>0</v>
      </c>
      <c r="E11" s="497"/>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8">
        <f>$C$6/SUM($C$6:$C$11)*$C$2*$C$4</f>
        <v>213574.28140924004</v>
      </c>
      <c r="H12" s="448">
        <f>$D$6/SUM($D$6:$D$11)*$D$2*$D$4</f>
        <v>52854.241358852225</v>
      </c>
    </row>
    <row r="13" spans="1:17" ht="14.25" customHeight="1" x14ac:dyDescent="0.2">
      <c r="A13" s="495" t="s">
        <v>509</v>
      </c>
      <c r="B13" s="426" t="s">
        <v>259</v>
      </c>
      <c r="C13" s="432">
        <v>0.46</v>
      </c>
      <c r="D13" s="432">
        <v>0.5</v>
      </c>
      <c r="E13" s="501" t="s">
        <v>249</v>
      </c>
      <c r="F13" s="22" t="s">
        <v>251</v>
      </c>
      <c r="G13" s="448">
        <f>$C$10/SUM($C$6:$C$11)*$C$2*$C$4</f>
        <v>32036.142211385999</v>
      </c>
      <c r="H13" s="448">
        <f>$D$10/SUM($D$6:$D$11)*$D$2*$D$4</f>
        <v>359408.84124019515</v>
      </c>
    </row>
    <row r="14" spans="1:17" ht="14.25" customHeight="1" x14ac:dyDescent="0.2">
      <c r="A14" s="496"/>
      <c r="B14" s="426" t="s">
        <v>260</v>
      </c>
      <c r="C14" s="432">
        <v>0</v>
      </c>
      <c r="D14" s="432">
        <v>0</v>
      </c>
      <c r="E14" s="501"/>
      <c r="F14" s="22" t="s">
        <v>261</v>
      </c>
      <c r="G14" s="449">
        <f t="shared" ref="G14:H14" si="1">C11/SUM(C6:C11)*C2*C4</f>
        <v>16018.071105692999</v>
      </c>
      <c r="H14" s="449">
        <f t="shared" si="1"/>
        <v>0</v>
      </c>
    </row>
    <row r="15" spans="1:17" ht="14.25" customHeight="1" x14ac:dyDescent="0.2">
      <c r="A15" s="496"/>
      <c r="B15" s="426" t="s">
        <v>262</v>
      </c>
      <c r="C15" s="432">
        <v>0</v>
      </c>
      <c r="D15" s="432">
        <v>0</v>
      </c>
      <c r="E15" s="501"/>
      <c r="F15" s="22" t="s">
        <v>181</v>
      </c>
      <c r="G15" s="449">
        <f t="shared" ref="G15:H15" si="2">C2*C4</f>
        <v>523256.98945263814</v>
      </c>
      <c r="H15" s="449">
        <f t="shared" si="2"/>
        <v>523256.98945263703</v>
      </c>
    </row>
    <row r="16" spans="1:17" ht="14.25" customHeight="1" x14ac:dyDescent="0.2">
      <c r="A16" s="496"/>
      <c r="B16" s="426" t="s">
        <v>263</v>
      </c>
      <c r="C16" s="432">
        <v>7.0000000000000007E-2</v>
      </c>
      <c r="D16" s="432">
        <v>0.02</v>
      </c>
      <c r="E16" s="501"/>
      <c r="G16" s="448">
        <f t="shared" ref="G16:H16" si="3">SUM(G12:G14)</f>
        <v>261628.49472631904</v>
      </c>
      <c r="H16" s="448">
        <f t="shared" si="3"/>
        <v>412263.0825990474</v>
      </c>
    </row>
    <row r="17" spans="1:5" ht="14.25" customHeight="1" x14ac:dyDescent="0.2">
      <c r="A17" s="496"/>
      <c r="B17" s="426" t="s">
        <v>264</v>
      </c>
      <c r="C17" s="432">
        <v>7.0000000000000007E-2</v>
      </c>
      <c r="D17" s="432">
        <v>0</v>
      </c>
      <c r="E17" s="501"/>
    </row>
    <row r="18" spans="1:5" ht="14.25" customHeight="1" x14ac:dyDescent="0.2">
      <c r="A18" s="496"/>
      <c r="B18" s="426" t="s">
        <v>265</v>
      </c>
      <c r="C18" s="432">
        <v>0</v>
      </c>
      <c r="D18" s="432">
        <v>0</v>
      </c>
      <c r="E18" s="501"/>
    </row>
    <row r="19" spans="1:5" ht="14.25" customHeight="1" x14ac:dyDescent="0.2">
      <c r="A19" s="496"/>
      <c r="B19" s="426" t="s">
        <v>266</v>
      </c>
      <c r="C19" s="432">
        <v>0</v>
      </c>
      <c r="D19" s="432">
        <v>0</v>
      </c>
      <c r="E19" s="501"/>
    </row>
    <row r="20" spans="1:5" ht="14.25" customHeight="1" x14ac:dyDescent="0.2">
      <c r="A20" s="496"/>
      <c r="B20" s="426" t="s">
        <v>267</v>
      </c>
      <c r="C20" s="432">
        <v>0.13</v>
      </c>
      <c r="D20" s="432">
        <v>0.2</v>
      </c>
      <c r="E20" s="501"/>
    </row>
    <row r="21" spans="1:5" ht="14.25" customHeight="1" x14ac:dyDescent="0.2">
      <c r="A21" s="496"/>
      <c r="B21" s="434" t="s">
        <v>268</v>
      </c>
      <c r="C21" s="432">
        <v>0.12000000000000001</v>
      </c>
      <c r="D21" s="441">
        <v>0.23</v>
      </c>
      <c r="E21" s="501"/>
    </row>
    <row r="22" spans="1:5" ht="14.25" customHeight="1" x14ac:dyDescent="0.2">
      <c r="A22" s="496"/>
      <c r="B22" s="435" t="s">
        <v>269</v>
      </c>
      <c r="C22" s="433">
        <v>0.12</v>
      </c>
      <c r="D22" s="440">
        <v>0.04</v>
      </c>
      <c r="E22" s="501"/>
    </row>
    <row r="23" spans="1:5" ht="14.25" customHeight="1" x14ac:dyDescent="0.2">
      <c r="A23" s="496"/>
      <c r="B23" s="435" t="s">
        <v>537</v>
      </c>
      <c r="C23" s="433">
        <v>0.02</v>
      </c>
      <c r="D23" s="440">
        <v>0.01</v>
      </c>
      <c r="E23" s="501"/>
    </row>
    <row r="24" spans="1:5" ht="14.25" customHeight="1" x14ac:dyDescent="0.2">
      <c r="A24" s="496"/>
      <c r="B24" s="436" t="s">
        <v>556</v>
      </c>
      <c r="C24" s="433">
        <v>0</v>
      </c>
      <c r="D24" s="437">
        <v>0</v>
      </c>
      <c r="E24" s="501"/>
    </row>
    <row r="25" spans="1:5" ht="14.25" customHeight="1" x14ac:dyDescent="0.2">
      <c r="A25" s="496"/>
      <c r="B25" s="436" t="s">
        <v>557</v>
      </c>
      <c r="C25" s="440">
        <v>0.01</v>
      </c>
      <c r="D25" s="437">
        <v>2.7959999999999999E-3</v>
      </c>
      <c r="E25" s="501"/>
    </row>
    <row r="26" spans="1:5" ht="14.25" customHeight="1" x14ac:dyDescent="0.2">
      <c r="A26" s="438"/>
      <c r="B26" s="439" t="s">
        <v>270</v>
      </c>
      <c r="C26" s="487">
        <f>SUM(C13:C25)</f>
        <v>1</v>
      </c>
      <c r="D26" s="486">
        <f>SUM(D13:D25)</f>
        <v>1.002796</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36627.98926168467</v>
      </c>
      <c r="D30" s="329">
        <f>D$2*D$4*D16/SUM(D13:D25)</f>
        <v>10435.960842537006</v>
      </c>
      <c r="E30" s="1" t="s">
        <v>272</v>
      </c>
    </row>
    <row r="31" spans="1:5" ht="14.25" customHeight="1" x14ac:dyDescent="0.2">
      <c r="B31" s="330" t="s">
        <v>32</v>
      </c>
      <c r="C31" s="461">
        <f>C$2*C$4*C23/SUM(C13:C25)</f>
        <v>10465.139789052762</v>
      </c>
      <c r="D31" s="462">
        <f>D$2*D$4*D23/SUM(D13:D25)</f>
        <v>5217.9804212685031</v>
      </c>
      <c r="E31" s="127" t="s">
        <v>538</v>
      </c>
    </row>
    <row r="32" spans="1:5" ht="14.25" customHeight="1" x14ac:dyDescent="0.2">
      <c r="B32" s="328" t="s">
        <v>34</v>
      </c>
      <c r="C32" s="329">
        <f>C2*C4*SUM(C13:C15,C18,C20)/SUM(C13:C25)</f>
        <v>308721.62377705652</v>
      </c>
      <c r="D32" s="329">
        <f>D2*D4*SUM(D13:D15,D18,D20)/SUM(D13:D25)</f>
        <v>365258.62948879524</v>
      </c>
      <c r="E32" s="1" t="s">
        <v>273</v>
      </c>
    </row>
    <row r="33" spans="2:5" ht="14.25" customHeight="1" x14ac:dyDescent="0.2">
      <c r="B33" s="328" t="s">
        <v>36</v>
      </c>
      <c r="C33" s="329">
        <f t="shared" ref="C33:D33" si="4">C2*C4*C17/SUM(C13:C25)</f>
        <v>36627.98926168467</v>
      </c>
      <c r="D33" s="329">
        <f t="shared" si="4"/>
        <v>0</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62790.838734316574</v>
      </c>
      <c r="D38" s="329">
        <f t="shared" si="5"/>
        <v>20871.921685074012</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5232.5698945263812</v>
      </c>
      <c r="D45" s="329">
        <f>D2*D4*D25/SUM(D13:D25)</f>
        <v>1458.9473257866734</v>
      </c>
      <c r="E45" s="1" t="s">
        <v>282</v>
      </c>
    </row>
    <row r="46" spans="2:5" ht="14.25" customHeight="1" x14ac:dyDescent="0.2">
      <c r="B46" s="332" t="s">
        <v>59</v>
      </c>
      <c r="C46" s="329">
        <f>C2*C4*C21/SUM(C13:C25)</f>
        <v>62790.838734316581</v>
      </c>
      <c r="D46" s="329">
        <f>D2*D4*D21/SUM(D13:D25)</f>
        <v>120013.54968917559</v>
      </c>
      <c r="E46" s="1" t="s">
        <v>283</v>
      </c>
    </row>
    <row r="47" spans="2:5" ht="14.25" customHeight="1" x14ac:dyDescent="0.2">
      <c r="B47" s="328" t="s">
        <v>61</v>
      </c>
      <c r="C47" s="329">
        <f>SUM(C30:C46)</f>
        <v>523256.98945263814</v>
      </c>
      <c r="D47" s="333">
        <f t="shared" ref="D47" si="7">SUM(D30:D46)</f>
        <v>523256.98945263703</v>
      </c>
      <c r="E47" s="1" t="s">
        <v>284</v>
      </c>
    </row>
    <row r="48" spans="2:5" ht="14.25" customHeight="1" x14ac:dyDescent="0.2">
      <c r="B48" s="328" t="s">
        <v>63</v>
      </c>
      <c r="C48" s="334">
        <f>C2*C4</f>
        <v>523256.98945263814</v>
      </c>
      <c r="D48" s="335">
        <f>D2*D4</f>
        <v>523256.98945263703</v>
      </c>
      <c r="E48" s="1" t="s">
        <v>285</v>
      </c>
    </row>
    <row r="49" spans="2:14" ht="14.25" customHeight="1" x14ac:dyDescent="0.2">
      <c r="B49" s="328" t="s">
        <v>65</v>
      </c>
      <c r="C49" s="329">
        <f t="shared" ref="C49:D49" si="8">C48-C47</f>
        <v>0</v>
      </c>
      <c r="D49" s="333">
        <f t="shared" si="8"/>
        <v>0</v>
      </c>
    </row>
    <row r="50" spans="2:14" ht="14.25" customHeight="1" x14ac:dyDescent="0.2">
      <c r="B50" s="336" t="s">
        <v>67</v>
      </c>
      <c r="C50" s="337">
        <f t="shared" ref="C50:D50" si="9">C49/C48</f>
        <v>0</v>
      </c>
      <c r="D50" s="338">
        <f t="shared" si="9"/>
        <v>0</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7764</v>
      </c>
      <c r="D55" s="181" t="s">
        <v>287</v>
      </c>
      <c r="E55" s="181">
        <v>0</v>
      </c>
      <c r="F55" s="181">
        <v>1000000</v>
      </c>
      <c r="G55" s="181">
        <v>1</v>
      </c>
      <c r="I55" s="181" t="str">
        <f>B2</f>
        <v>What is the population of the communities constituting this local economy? (Number of people)</v>
      </c>
      <c r="J55" s="323">
        <f>D2</f>
        <v>1941</v>
      </c>
      <c r="K55" s="181" t="s">
        <v>286</v>
      </c>
      <c r="L55" s="181">
        <v>0</v>
      </c>
      <c r="M55" s="181">
        <v>1000000</v>
      </c>
      <c r="N55" s="181">
        <v>1</v>
      </c>
    </row>
    <row r="56" spans="2:14" ht="14.25" customHeight="1" x14ac:dyDescent="0.2">
      <c r="B56" s="181" t="str">
        <f t="shared" si="10"/>
        <v>How many households are in this local economy? (Number of households)</v>
      </c>
      <c r="C56" s="324">
        <f t="shared" si="10"/>
        <v>1827.2</v>
      </c>
      <c r="D56" s="181" t="s">
        <v>289</v>
      </c>
      <c r="E56" s="181">
        <v>0</v>
      </c>
      <c r="F56" s="181">
        <v>1000000</v>
      </c>
      <c r="G56" s="181">
        <v>1</v>
      </c>
      <c r="I56" s="181" t="str">
        <f>B3</f>
        <v>How many households are in this local economy? (Number of households)</v>
      </c>
      <c r="J56" s="323">
        <f>D3</f>
        <v>456.8</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67.395284576589148</v>
      </c>
      <c r="D57" s="181" t="s">
        <v>291</v>
      </c>
      <c r="E57" s="181">
        <v>0</v>
      </c>
      <c r="F57" s="181">
        <v>1000000</v>
      </c>
      <c r="G57" s="181">
        <v>1</v>
      </c>
      <c r="I57" s="181" t="str">
        <f>B4</f>
        <v>About what is the average annual per-capita income of households in this region (US$)?</v>
      </c>
      <c r="J57" s="324">
        <f>D4</f>
        <v>269.58113830635602</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1.3479056915317831</v>
      </c>
      <c r="D58" s="181" t="s">
        <v>293</v>
      </c>
      <c r="E58" s="181">
        <v>0</v>
      </c>
      <c r="F58" s="181">
        <v>1000000</v>
      </c>
      <c r="G58" s="181">
        <v>1</v>
      </c>
      <c r="I58" s="181" t="str">
        <f>B5</f>
        <v>About what is the average annual government transfers (e.g., SCTs) to households in this region?</v>
      </c>
      <c r="J58" s="324">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40</v>
      </c>
      <c r="D60" s="181" t="s">
        <v>359</v>
      </c>
      <c r="E60" s="181">
        <v>0</v>
      </c>
      <c r="F60" s="181">
        <v>100</v>
      </c>
      <c r="G60" s="181">
        <v>0.01</v>
      </c>
      <c r="I60" s="181" t="str">
        <f>B60</f>
        <v>About what % of household income comes from wages earned by male unskilled workers in the household?</v>
      </c>
      <c r="J60" s="181">
        <f t="shared" ref="J60:J65" si="13">D6*100</f>
        <v>10</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7.0000000000000009</v>
      </c>
      <c r="D61" s="181" t="s">
        <v>360</v>
      </c>
      <c r="E61" s="181">
        <v>0</v>
      </c>
      <c r="F61" s="181">
        <v>100</v>
      </c>
      <c r="G61" s="181">
        <v>0.01</v>
      </c>
      <c r="I61" s="181" t="str">
        <f t="shared" ref="I61:I65" si="14">B61</f>
        <v>About what % of household income comes from wages earned by male skilled workers in the household?</v>
      </c>
      <c r="J61" s="181">
        <f t="shared" si="13"/>
        <v>10</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38</v>
      </c>
      <c r="D62" s="181" t="s">
        <v>361</v>
      </c>
      <c r="E62" s="181">
        <v>0</v>
      </c>
      <c r="F62" s="181">
        <v>100</v>
      </c>
      <c r="G62" s="181">
        <v>0.01</v>
      </c>
      <c r="I62" s="181" t="str">
        <f t="shared" si="14"/>
        <v>About what % of household income comes from wages earned by female unskilled workers in the household?</v>
      </c>
      <c r="J62" s="181">
        <f t="shared" si="13"/>
        <v>10</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4</v>
      </c>
      <c r="D63" s="181" t="s">
        <v>362</v>
      </c>
      <c r="E63" s="181">
        <v>0</v>
      </c>
      <c r="F63" s="181">
        <v>100</v>
      </c>
      <c r="G63" s="181">
        <v>0.01</v>
      </c>
      <c r="I63" s="181" t="str">
        <f t="shared" si="14"/>
        <v>About what % of household income comes from wages earned by female skilled workers in the household?</v>
      </c>
      <c r="J63" s="181">
        <f t="shared" si="13"/>
        <v>1</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6</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68</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3</v>
      </c>
      <c r="D65" s="181" t="s">
        <v>297</v>
      </c>
      <c r="E65" s="181">
        <v>0</v>
      </c>
      <c r="F65" s="181">
        <v>100</v>
      </c>
      <c r="G65" s="181">
        <v>0.01</v>
      </c>
      <c r="I65" s="181" t="str">
        <f t="shared" si="14"/>
        <v>About what % of household incomes comes from migrant remittances (domestic and foreign?</v>
      </c>
      <c r="J65" s="181">
        <f t="shared" si="13"/>
        <v>0</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46</v>
      </c>
      <c r="D68" s="181" t="s">
        <v>299</v>
      </c>
      <c r="E68" s="181">
        <v>0</v>
      </c>
      <c r="F68" s="181">
        <v>100</v>
      </c>
      <c r="G68" s="181">
        <v>0.01</v>
      </c>
      <c r="I68" s="181" t="str">
        <f t="shared" ref="I68:I79" si="17">B13</f>
        <v>Food bought from Local grocery stores</v>
      </c>
      <c r="J68" s="181">
        <f t="shared" ref="J68:J79" si="18">D13*100</f>
        <v>50</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7.0000000000000009</v>
      </c>
      <c r="D71" s="181" t="s">
        <v>305</v>
      </c>
      <c r="E71" s="181">
        <v>0</v>
      </c>
      <c r="F71" s="181">
        <v>100</v>
      </c>
      <c r="G71" s="181">
        <v>0.01</v>
      </c>
      <c r="I71" s="181" t="str">
        <f t="shared" si="17"/>
        <v>Buying food direct from local farmers or your own farm</v>
      </c>
      <c r="J71" s="181">
        <f t="shared" si="18"/>
        <v>2</v>
      </c>
      <c r="K71" s="181" t="s">
        <v>304</v>
      </c>
      <c r="L71" s="181">
        <v>0</v>
      </c>
      <c r="M71" s="181">
        <v>100</v>
      </c>
      <c r="N71" s="181">
        <v>0.01</v>
      </c>
    </row>
    <row r="72" spans="2:14" ht="14.25" customHeight="1" x14ac:dyDescent="0.2">
      <c r="B72" s="181" t="str">
        <f t="shared" si="15"/>
        <v>Buying local fish</v>
      </c>
      <c r="C72" s="181">
        <f t="shared" si="16"/>
        <v>7.0000000000000009</v>
      </c>
      <c r="D72" s="181" t="s">
        <v>307</v>
      </c>
      <c r="E72" s="181">
        <v>0</v>
      </c>
      <c r="F72" s="181">
        <v>100</v>
      </c>
      <c r="G72" s="181">
        <v>0.01</v>
      </c>
      <c r="I72" s="181" t="str">
        <f t="shared" si="17"/>
        <v>Buying local fish</v>
      </c>
      <c r="J72" s="181">
        <f t="shared" si="18"/>
        <v>0</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13</v>
      </c>
      <c r="D75" s="181" t="s">
        <v>313</v>
      </c>
      <c r="E75" s="181">
        <v>0</v>
      </c>
      <c r="F75" s="181">
        <v>100</v>
      </c>
      <c r="G75" s="181">
        <v>0.01</v>
      </c>
      <c r="I75" s="181" t="str">
        <f t="shared" si="17"/>
        <v>Things besides food that are sold by people or businesses in your community, including services</v>
      </c>
      <c r="J75" s="181">
        <f t="shared" si="18"/>
        <v>20</v>
      </c>
      <c r="K75" s="181" t="s">
        <v>312</v>
      </c>
      <c r="L75" s="181">
        <v>0</v>
      </c>
      <c r="M75" s="181">
        <v>100</v>
      </c>
      <c r="N75" s="181">
        <v>0.01</v>
      </c>
    </row>
    <row r="76" spans="2:14" ht="14.25" customHeight="1" x14ac:dyDescent="0.2">
      <c r="B76" s="181" t="str">
        <f t="shared" si="15"/>
        <v>Things you buy from businesses, etc., in places outside your community</v>
      </c>
      <c r="C76" s="181">
        <f t="shared" si="16"/>
        <v>12.000000000000002</v>
      </c>
      <c r="D76" s="181" t="s">
        <v>315</v>
      </c>
      <c r="E76" s="181">
        <v>0</v>
      </c>
      <c r="F76" s="181">
        <v>100</v>
      </c>
      <c r="G76" s="181">
        <v>0.01</v>
      </c>
      <c r="I76" s="181" t="str">
        <f t="shared" si="17"/>
        <v>Things you buy from businesses, etc., in places outside your community</v>
      </c>
      <c r="J76" s="181">
        <f t="shared" si="18"/>
        <v>23</v>
      </c>
      <c r="K76" s="181" t="s">
        <v>314</v>
      </c>
      <c r="L76" s="181">
        <v>0</v>
      </c>
      <c r="M76" s="181">
        <v>100</v>
      </c>
      <c r="N76" s="181">
        <v>0.01</v>
      </c>
    </row>
    <row r="77" spans="2:14" ht="14.25" customHeight="1" x14ac:dyDescent="0.2">
      <c r="B77" s="181" t="str">
        <f t="shared" si="15"/>
        <v>Rent (if household rents its house; don't include business rentals here)</v>
      </c>
      <c r="C77" s="181">
        <f t="shared" si="16"/>
        <v>12</v>
      </c>
      <c r="D77" s="181" t="s">
        <v>317</v>
      </c>
      <c r="E77" s="181">
        <v>0</v>
      </c>
      <c r="F77" s="181">
        <v>100</v>
      </c>
      <c r="G77" s="181">
        <v>0.01</v>
      </c>
      <c r="I77" s="181" t="str">
        <f t="shared" si="17"/>
        <v>Rent (if household rents its house; don't include business rentals here)</v>
      </c>
      <c r="J77" s="181">
        <f t="shared" si="18"/>
        <v>4</v>
      </c>
      <c r="K77" s="181" t="s">
        <v>316</v>
      </c>
      <c r="L77" s="181">
        <v>0</v>
      </c>
      <c r="M77" s="181">
        <v>100</v>
      </c>
      <c r="N77" s="181">
        <v>0.01</v>
      </c>
    </row>
    <row r="78" spans="2:14" ht="14.25" customHeight="1" x14ac:dyDescent="0.2">
      <c r="B78" s="181" t="str">
        <f t="shared" si="15"/>
        <v>Tourism Products</v>
      </c>
      <c r="C78" s="181">
        <f t="shared" si="16"/>
        <v>2</v>
      </c>
      <c r="D78" s="181" t="s">
        <v>579</v>
      </c>
      <c r="E78" s="181">
        <v>0</v>
      </c>
      <c r="F78" s="181">
        <v>100</v>
      </c>
      <c r="G78" s="181">
        <v>0.01</v>
      </c>
      <c r="I78" s="181" t="str">
        <f t="shared" si="17"/>
        <v>Tourism Products</v>
      </c>
      <c r="J78" s="181">
        <f t="shared" si="18"/>
        <v>1</v>
      </c>
      <c r="K78" s="181" t="s">
        <v>582</v>
      </c>
      <c r="L78" s="181">
        <v>0</v>
      </c>
      <c r="M78" s="181">
        <v>100</v>
      </c>
      <c r="N78" s="181">
        <v>0.01</v>
      </c>
    </row>
    <row r="79" spans="2:14" ht="14.25" customHeight="1" x14ac:dyDescent="0.2">
      <c r="B79" s="181" t="str">
        <f t="shared" si="15"/>
        <v>Household local income tax payments</v>
      </c>
      <c r="C79" s="181">
        <f t="shared" si="16"/>
        <v>0</v>
      </c>
      <c r="D79" s="181" t="s">
        <v>580</v>
      </c>
      <c r="E79" s="181">
        <v>0</v>
      </c>
      <c r="F79" s="181">
        <v>100</v>
      </c>
      <c r="G79" s="181">
        <v>0.01</v>
      </c>
      <c r="I79" s="181" t="str">
        <f t="shared" si="17"/>
        <v>Household local income tax payments</v>
      </c>
      <c r="J79" s="181">
        <f t="shared" si="18"/>
        <v>0</v>
      </c>
      <c r="K79" s="181" t="s">
        <v>583</v>
      </c>
      <c r="L79" s="181">
        <v>0</v>
      </c>
      <c r="M79" s="181">
        <v>100</v>
      </c>
      <c r="N79" s="181">
        <v>0.01</v>
      </c>
    </row>
    <row r="80" spans="2:14" ht="14.25" customHeight="1" x14ac:dyDescent="0.2">
      <c r="B80" s="181" t="str">
        <f t="shared" ref="B80:B81" si="19">B25</f>
        <v>Household federal income tax payments</v>
      </c>
      <c r="C80" s="181">
        <f t="shared" ref="C80:C81" si="20">C25*100</f>
        <v>1</v>
      </c>
      <c r="D80" s="181" t="s">
        <v>581</v>
      </c>
      <c r="E80" s="181">
        <v>0</v>
      </c>
      <c r="F80" s="181">
        <v>100</v>
      </c>
      <c r="G80" s="181">
        <v>0.01</v>
      </c>
      <c r="I80" s="181" t="str">
        <f t="shared" ref="I80:I81" si="21">B25</f>
        <v>Household federal income tax payments</v>
      </c>
      <c r="J80" s="181">
        <f t="shared" ref="J80:J81" si="22">D25*100</f>
        <v>0.27959999999999996</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12228.48778954107</v>
      </c>
      <c r="S5" s="72">
        <v>0</v>
      </c>
      <c r="T5" s="72">
        <v>0</v>
      </c>
      <c r="U5" s="70">
        <f t="shared" si="0"/>
        <v>1525294.9660787871</v>
      </c>
      <c r="V5" s="52">
        <f>U5/D22</f>
        <v>1.0173117683074941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3373.3759419423645</v>
      </c>
      <c r="S7" s="72">
        <v>0</v>
      </c>
      <c r="T7" s="72">
        <v>0</v>
      </c>
      <c r="U7" s="70">
        <f t="shared" si="0"/>
        <v>165228.10685082438</v>
      </c>
      <c r="V7" s="52">
        <f>U7/F22</f>
        <v>1</v>
      </c>
      <c r="W7" s="502"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20240.255651654184</v>
      </c>
      <c r="S8" s="72"/>
      <c r="T8" s="72"/>
      <c r="U8" s="70">
        <f t="shared" si="0"/>
        <v>152769.86334713179</v>
      </c>
      <c r="V8" s="52">
        <f>U8/G22</f>
        <v>1.0000000000000002</v>
      </c>
      <c r="W8" s="494"/>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843.34398548559113</v>
      </c>
      <c r="S9" s="72"/>
      <c r="T9" s="72"/>
      <c r="U9" s="70">
        <f t="shared" si="0"/>
        <v>16274.305891992924</v>
      </c>
      <c r="V9" s="52">
        <f>U9/H22</f>
        <v>1</v>
      </c>
      <c r="W9" s="494"/>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3795.0479346851598</v>
      </c>
      <c r="S10" s="72"/>
      <c r="T10" s="72"/>
      <c r="U10" s="70">
        <f t="shared" si="0"/>
        <v>26350.360266433694</v>
      </c>
      <c r="V10" s="52">
        <f>U10/I22</f>
        <v>1</v>
      </c>
      <c r="W10" s="494"/>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4"/>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132450.06136219934</v>
      </c>
      <c r="G12" s="74">
        <f>Households!H7*SUM($B$8:$T$8)</f>
        <v>63281.240465966795</v>
      </c>
      <c r="H12" s="74">
        <f>Households!I7*SUM($B$9:$T$9)</f>
        <v>12910.995100311558</v>
      </c>
      <c r="I12" s="74">
        <f>Households!J7*SUM($B$10:$T$10)</f>
        <v>21122.960861351712</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303590.13323677005</v>
      </c>
      <c r="V12" s="52">
        <f>U12/K22</f>
        <v>0.59203385045206725</v>
      </c>
      <c r="W12" s="494"/>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32778.045488625023</v>
      </c>
      <c r="G13" s="74">
        <f>Households!H8*SUM($B$8:$T$8)</f>
        <v>89488.622881164978</v>
      </c>
      <c r="H13" s="74">
        <f>Households!I8*SUM($B$9:$T$9)</f>
        <v>3363.3107916813669</v>
      </c>
      <c r="I13" s="74">
        <f>Households!J8*SUM($B$10:$T$10)</f>
        <v>5227.3994050819801</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779383.54713570082</v>
      </c>
      <c r="V13" s="52">
        <f>U13/L22</f>
        <v>1.504488143842672</v>
      </c>
      <c r="W13" s="494"/>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4"/>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4"/>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4"/>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4"/>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4"/>
      <c r="X18" s="59"/>
      <c r="Y18" s="59"/>
      <c r="Z18" s="59"/>
      <c r="AA18" s="59"/>
      <c r="AB18" s="59"/>
      <c r="AC18" s="59"/>
      <c r="AD18" s="59"/>
      <c r="AE18" s="59"/>
      <c r="AF18" s="59"/>
    </row>
    <row r="19" spans="1:32" ht="14.25" customHeight="1" x14ac:dyDescent="0.2">
      <c r="A19" s="476" t="s">
        <v>555</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7">
        <f t="shared" si="0"/>
        <v>42167.199274279548</v>
      </c>
      <c r="V19" s="52"/>
      <c r="W19" s="494"/>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4"/>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1686.6879709711823</v>
      </c>
      <c r="S21" s="104">
        <f>IF(SUM(B20:P20)-SUM(S3:S17)&gt;0,SUM(B20:P20)-SUM(S3:S17),0)</f>
        <v>0</v>
      </c>
      <c r="T21" s="70"/>
      <c r="U21" s="70">
        <f t="shared" si="0"/>
        <v>1249825.5954587255</v>
      </c>
      <c r="V21" s="52">
        <f>U21/T22</f>
        <v>0.98811888621854127</v>
      </c>
      <c r="W21" s="494"/>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165228.10685082438</v>
      </c>
      <c r="G22" s="70">
        <f t="shared" si="1"/>
        <v>152769.86334713176</v>
      </c>
      <c r="H22" s="70">
        <f t="shared" si="1"/>
        <v>16274.305891992924</v>
      </c>
      <c r="I22" s="70">
        <f t="shared" si="1"/>
        <v>26350.360266433694</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7">
        <f t="shared" si="1"/>
        <v>42167.199274279541</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1525294.9660787871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165228.10685082438</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132450.06136219934</v>
      </c>
      <c r="G12" s="80">
        <f>'SAM(LEWIE Input)'!G12</f>
        <v>63281.240465966795</v>
      </c>
      <c r="H12" s="80">
        <f>'SAM(LEWIE Input)'!H12</f>
        <v>12910.995100311558</v>
      </c>
      <c r="I12" s="80">
        <f>'SAM(LEWIE Input)'!I12</f>
        <v>21122.960861351712</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303590.13323677005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32778.045488625023</v>
      </c>
      <c r="G13" s="80">
        <f>'SAM(LEWIE Input)'!G13</f>
        <v>89488.622881164978</v>
      </c>
      <c r="H13" s="80">
        <f>'SAM(LEWIE Input)'!H13</f>
        <v>3363.3107916813669</v>
      </c>
      <c r="I13" s="80">
        <f>'SAM(LEWIE Input)'!I13</f>
        <v>5227.3994050819801</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779383.54713570082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1249825.5954587255</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165228.10685082438</v>
      </c>
      <c r="G21" s="80">
        <f>'SAM(LEWIE Input)'!G22</f>
        <v>152769.86334713176</v>
      </c>
      <c r="H21" s="80">
        <f>'SAM(LEWIE Input)'!H22</f>
        <v>16274.305891992924</v>
      </c>
      <c r="I21" s="80">
        <f>'SAM(LEWIE Input)'!I22</f>
        <v>26350.360266433694</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0.8016194331983808</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0.19838056680161908</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0.99999999999999989</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-0.8016194331983808</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-0.19838056680161908</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1.8809188307236113E-2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0.96433969747130965</v>
      </c>
      <c r="C83" s="81">
        <v>0.79041319781655794</v>
      </c>
      <c r="D83" s="81">
        <v>1.4983612151970573</v>
      </c>
      <c r="E83" s="81">
        <v>0</v>
      </c>
      <c r="F83" s="81">
        <v>1.1106566285105866</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2.0086511064276277E-2</v>
      </c>
      <c r="C84" s="81">
        <v>1.2256481528105042E-2</v>
      </c>
      <c r="D84" s="81">
        <v>9.7202672898514062E-3</v>
      </c>
      <c r="E84" s="81">
        <v>1</v>
      </c>
      <c r="F84" s="81">
        <v>6.5999490030136776E-2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0.23858101221229033</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7.7437461290560689E-3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0.71230135285129281</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0.28121115489986787</v>
      </c>
      <c r="C90" s="81">
        <v>0.17159074139347061</v>
      </c>
      <c r="D90" s="81">
        <v>0.1360837420579197</v>
      </c>
      <c r="E90" s="81">
        <v>0</v>
      </c>
      <c r="F90" s="81">
        <v>0.92399286042191497</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0.70958457906418049</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2023-11-30T15:09:25Z</dcterms:modified>
</cp:coreProperties>
</file>