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usti\Dropbox\WB PA LEWIE Scale-up\Kagin's\Madagascar\Latest LEWIE-Lite Model\"/>
    </mc:Choice>
  </mc:AlternateContent>
  <xr:revisionPtr revIDLastSave="0" documentId="13_ncr:1_{F95C36EC-DD4E-4FAB-A43D-3E914C121C71}" xr6:coauthVersionLast="47" xr6:coauthVersionMax="47" xr10:uidLastSave="{00000000-0000-0000-0000-000000000000}"/>
  <bookViews>
    <workbookView xWindow="57495" yWindow="0" windowWidth="14610" windowHeight="17385" firstSheet="7" activeTab="9"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9" l="1"/>
  <c r="C2" i="9"/>
  <c r="D3" i="9"/>
  <c r="C3" i="9"/>
  <c r="Q11" i="9"/>
  <c r="Q10" i="9"/>
  <c r="O11" i="9"/>
  <c r="O10" i="9"/>
  <c r="P11" i="9"/>
  <c r="P10" i="9"/>
  <c r="N11" i="9"/>
  <c r="N10" i="9"/>
  <c r="R7" i="11"/>
  <c r="R22" i="11" s="1"/>
  <c r="R8" i="11"/>
  <c r="R9" i="11"/>
  <c r="R10" i="11"/>
  <c r="R11" i="11"/>
  <c r="R12" i="11"/>
  <c r="R13" i="11"/>
  <c r="R14" i="11"/>
  <c r="R15" i="11"/>
  <c r="R16" i="11"/>
  <c r="R17" i="11"/>
  <c r="R18" i="11"/>
  <c r="R19" i="11"/>
  <c r="R20" i="11"/>
  <c r="R21" i="11"/>
  <c r="R6" i="11"/>
  <c r="L19" i="11"/>
  <c r="K19" i="11"/>
  <c r="C19" i="11"/>
  <c r="N19" i="11"/>
  <c r="N20" i="11"/>
  <c r="C74" i="15"/>
  <c r="C73" i="15"/>
  <c r="C71" i="15"/>
  <c r="C70" i="15"/>
  <c r="C69" i="15"/>
  <c r="C67" i="15"/>
  <c r="C66" i="15"/>
  <c r="C65" i="15"/>
  <c r="C64" i="15"/>
  <c r="C63" i="15"/>
  <c r="C62" i="15"/>
  <c r="C58" i="15"/>
  <c r="C57" i="15"/>
  <c r="C59" i="15" s="1"/>
  <c r="B53" i="15"/>
  <c r="C44" i="15"/>
  <c r="C42" i="15"/>
  <c r="C72" i="15"/>
  <c r="C33" i="15"/>
  <c r="C32" i="15"/>
  <c r="C31" i="15"/>
  <c r="C30" i="15"/>
  <c r="C29" i="15"/>
  <c r="C28" i="15"/>
  <c r="C27" i="15"/>
  <c r="C25" i="15"/>
  <c r="C6" i="15"/>
  <c r="C20" i="2"/>
  <c r="K2" i="9"/>
  <c r="D4" i="9" s="1"/>
  <c r="J2" i="9"/>
  <c r="C4" i="9" s="1"/>
  <c r="C45" i="9" s="1"/>
  <c r="C62" i="9"/>
  <c r="C20" i="6"/>
  <c r="D14" i="6" s="1"/>
  <c r="C20" i="3"/>
  <c r="D14" i="3" s="1"/>
  <c r="C15" i="1"/>
  <c r="C27" i="1"/>
  <c r="D18" i="3"/>
  <c r="C26" i="1"/>
  <c r="C6" i="1"/>
  <c r="C37" i="1" s="1"/>
  <c r="C29" i="10"/>
  <c r="C19" i="1"/>
  <c r="C20" i="1"/>
  <c r="B55" i="10"/>
  <c r="D31" i="9" l="1"/>
  <c r="D5" i="9"/>
  <c r="C5" i="9"/>
  <c r="C48" i="9"/>
  <c r="C30" i="9"/>
  <c r="C76" i="15"/>
  <c r="C43" i="15"/>
  <c r="D30" i="9"/>
  <c r="C46" i="9"/>
  <c r="C31" i="9"/>
  <c r="C32" i="9"/>
  <c r="D20" i="1"/>
  <c r="C45" i="15" l="1"/>
  <c r="C47" i="15" s="1"/>
  <c r="F43" i="15"/>
  <c r="C21" i="8"/>
  <c r="D17" i="6"/>
  <c r="D16" i="6"/>
  <c r="C76" i="10"/>
  <c r="C67" i="7"/>
  <c r="C55" i="7"/>
  <c r="C56" i="7"/>
  <c r="C57" i="7"/>
  <c r="C58" i="7"/>
  <c r="C59" i="7"/>
  <c r="C60" i="7"/>
  <c r="C61" i="7"/>
  <c r="C62" i="7"/>
  <c r="C63" i="7"/>
  <c r="C64" i="7"/>
  <c r="C54" i="7"/>
  <c r="C68" i="6"/>
  <c r="C56" i="6"/>
  <c r="C57" i="6"/>
  <c r="C58" i="6"/>
  <c r="C59" i="6"/>
  <c r="C60" i="6"/>
  <c r="C61" i="6"/>
  <c r="C62" i="6"/>
  <c r="C63" i="6"/>
  <c r="C64" i="6"/>
  <c r="C65" i="6"/>
  <c r="C55" i="6"/>
  <c r="C69" i="5"/>
  <c r="C57" i="5"/>
  <c r="C58" i="5"/>
  <c r="C59" i="5"/>
  <c r="C60" i="5"/>
  <c r="C61" i="5"/>
  <c r="C62" i="5"/>
  <c r="C63" i="5"/>
  <c r="C64" i="5"/>
  <c r="C65" i="5"/>
  <c r="C66" i="5"/>
  <c r="C56" i="5"/>
  <c r="C67" i="3"/>
  <c r="C67" i="4"/>
  <c r="C55" i="4"/>
  <c r="C56" i="4"/>
  <c r="C57" i="4"/>
  <c r="C58" i="4"/>
  <c r="C59" i="4"/>
  <c r="C60" i="4"/>
  <c r="C61" i="4"/>
  <c r="C62" i="4"/>
  <c r="C63" i="4"/>
  <c r="C64" i="4"/>
  <c r="C54" i="4"/>
  <c r="C55" i="2"/>
  <c r="C56" i="2"/>
  <c r="C57" i="2"/>
  <c r="C58" i="2"/>
  <c r="C59" i="2"/>
  <c r="C60" i="2"/>
  <c r="C61" i="2"/>
  <c r="C62" i="2"/>
  <c r="C63" i="2"/>
  <c r="C64" i="2"/>
  <c r="C54" i="2"/>
  <c r="C55" i="3"/>
  <c r="C56" i="3"/>
  <c r="C57" i="3"/>
  <c r="C58" i="3"/>
  <c r="C59" i="3"/>
  <c r="C60" i="3"/>
  <c r="C61" i="3"/>
  <c r="C62" i="3"/>
  <c r="C63" i="3"/>
  <c r="C64"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6" i="7"/>
  <c r="C65" i="7"/>
  <c r="C20" i="7"/>
  <c r="D18" i="7"/>
  <c r="C67" i="6"/>
  <c r="C66" i="6"/>
  <c r="D18" i="6"/>
  <c r="C68" i="5"/>
  <c r="C67" i="5"/>
  <c r="C20" i="5"/>
  <c r="D18" i="5"/>
  <c r="D17" i="4"/>
  <c r="C66" i="4" s="1"/>
  <c r="D16" i="4"/>
  <c r="C65" i="4" s="1"/>
  <c r="D17" i="2"/>
  <c r="C66" i="2" s="1"/>
  <c r="D16" i="2"/>
  <c r="C65" i="2" s="1"/>
  <c r="D17" i="3"/>
  <c r="C66" i="3" s="1"/>
  <c r="D16" i="3"/>
  <c r="C65" i="3" s="1"/>
  <c r="C20" i="4"/>
  <c r="D14" i="4" s="1"/>
  <c r="D18" i="4"/>
  <c r="D4" i="3"/>
  <c r="C67"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3" i="9" l="1"/>
  <c r="J64" i="9"/>
  <c r="J65" i="9"/>
  <c r="J66" i="9"/>
  <c r="J67" i="9"/>
  <c r="C63" i="9"/>
  <c r="C64" i="9"/>
  <c r="C65" i="9"/>
  <c r="B63" i="9"/>
  <c r="I63" i="9" s="1"/>
  <c r="B64" i="9"/>
  <c r="I64" i="9" s="1"/>
  <c r="B65" i="9"/>
  <c r="I65"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9" i="9"/>
  <c r="B79" i="9"/>
  <c r="J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8" i="9"/>
  <c r="B68" i="9"/>
  <c r="J68" i="9"/>
  <c r="I68" i="9"/>
  <c r="C67" i="9"/>
  <c r="B67" i="9"/>
  <c r="I67" i="9" s="1"/>
  <c r="C66" i="9"/>
  <c r="B66" i="9"/>
  <c r="I66" i="9" s="1"/>
  <c r="B62" i="9"/>
  <c r="I62" i="9" s="1"/>
  <c r="J62" i="9"/>
  <c r="C60" i="9"/>
  <c r="B60" i="9"/>
  <c r="J60" i="9"/>
  <c r="I60" i="9"/>
  <c r="B59" i="9"/>
  <c r="I59" i="9"/>
  <c r="C58" i="9"/>
  <c r="B58" i="9"/>
  <c r="I58" i="9"/>
  <c r="B57" i="9"/>
  <c r="I57" i="9"/>
  <c r="J81" i="9"/>
  <c r="C81" i="9"/>
  <c r="J59" i="9"/>
  <c r="C59" i="9"/>
  <c r="J58"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7" i="9"/>
  <c r="B14" i="12"/>
  <c r="O4" i="11"/>
  <c r="O4" i="12" s="1"/>
  <c r="C44" i="1"/>
  <c r="C46" i="3"/>
  <c r="J7" i="9"/>
  <c r="H12" i="9"/>
  <c r="D41" i="9"/>
  <c r="L14" i="11" s="1"/>
  <c r="L14" i="12" s="1"/>
  <c r="C33" i="9"/>
  <c r="K21" i="11"/>
  <c r="K20" i="12" s="1"/>
  <c r="J57"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43" i="7"/>
  <c r="C42" i="7"/>
  <c r="C32" i="7"/>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N19" i="12"/>
  <c r="H9" i="9"/>
  <c r="C46" i="6"/>
  <c r="I9" i="9"/>
  <c r="K9" i="9"/>
  <c r="J9" i="9"/>
  <c r="G37" i="2"/>
  <c r="O22" i="11"/>
  <c r="O21" i="12" s="1"/>
  <c r="G16" i="9"/>
  <c r="N8" i="11"/>
  <c r="N8" i="12" s="1"/>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c r="M40" i="12" l="1"/>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<sst xmlns="http://schemas.openxmlformats.org/spreadsheetml/2006/main" count="1366" uniqueCount="589">
  <si>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</si>
  <si>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</si>
  <si>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</si>
  <si>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</si>
  <si>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</si>
  <si>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</si>
  <si>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</si>
  <si>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</si>
  <si>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</si>
  <si>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</si>
  <si>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</si>
  <si>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</si>
  <si>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</si>
  <si>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</si>
  <si>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</si>
  <si>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</si>
  <si>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</si>
  <si>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</si>
  <si>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</si>
  <si>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</si>
  <si>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</si>
  <si>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</si>
  <si>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</si>
  <si>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</si>
  <si>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</si>
  <si>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</si>
  <si>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</si>
  <si>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</si>
  <si>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</si>
  <si>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</si>
  <si>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</si>
  <si>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</si>
  <si>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</si>
  <si>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</si>
  <si>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</si>
  <si>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</si>
  <si>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</si>
  <si>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</si>
  <si>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</si>
  <si>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</si>
  <si>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</si>
  <si>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</si>
  <si>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</si>
  <si>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</si>
  <si>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</si>
  <si>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</si>
  <si>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</si>
  <si>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</si>
  <si>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</si>
  <si>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</si>
  <si>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</si>
  <si>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</si>
  <si>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</si>
  <si>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</si>
  <si>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</si>
  <si>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</si>
  <si>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</si>
  <si>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</si>
  <si>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</si>
  <si>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</si>
  <si>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</si>
  <si>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</si>
  <si>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</si>
  <si>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</si>
  <si>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</si>
  <si>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</si>
  <si>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</si>
  <si>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</si>
  <si>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</si>
  <si>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</si>
  <si>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</si>
  <si>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</si>
  <si>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</si>
  <si>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</si>
  <si>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</si>
  <si>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</si>
  <si>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</si>
  <si>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</si>
  <si>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</si>
  <si>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</si>
  <si>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</si>
  <si>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</si>
  <si>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</si>
  <si>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</si>
  <si>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</si>
  <si>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</si>
  <si>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</si>
  <si>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</si>
  <si>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</si>
  <si>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</si>
  <si>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</si>
  <si>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</si>
  <si>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</si>
  <si>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</si>
  <si>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</si>
  <si>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</si>
  <si>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</si>
  <si>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</si>
  <si>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</si>
  <si>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</si>
  <si>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</si>
  <si>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</si>
  <si>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</si>
  <si>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</si>
  <si>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</si>
  <si>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</si>
  <si>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</si>
  <si>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</si>
  <si>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</si>
  <si>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</si>
  <si>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</si>
  <si>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</si>
  <si>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</si>
  <si>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</si>
  <si>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</si>
  <si>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</si>
  <si>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</si>
  <si>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</si>
  <si>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</si>
  <si>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</si>
  <si>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</si>
  <si>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</si>
  <si>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</si>
  <si>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</si>
  <si>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</si>
  <si>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</si>
  <si>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</si>
  <si>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</si>
  <si>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</si>
  <si>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</si>
  <si>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</si>
  <si>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</si>
  <si>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</si>
  <si>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</si>
  <si>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</si>
  <si>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</si>
  <si>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</si>
  <si>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</si>
  <si>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</si>
  <si>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</si>
  <si>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</si>
  <si>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</si>
  <si>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</si>
  <si>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</si>
  <si>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</si>
  <si>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</si>
  <si>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</si>
  <si>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</si>
  <si>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</si>
  <si>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</si>
  <si>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</si>
  <si>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</si>
  <si>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</si>
  <si>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</si>
  <si>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</si>
  <si>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</si>
  <si>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</si>
  <si>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</si>
  <si>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</si>
  <si>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</si>
  <si>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</si>
  <si>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</si>
  <si>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</si>
  <si>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</si>
  <si>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</si>
  <si>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</si>
  <si>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</si>
  <si>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</si>
  <si>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</si>
  <si>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</si>
  <si>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</si>
  <si>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</si>
  <si>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</si>
  <si>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</si>
  <si>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</si>
  <si>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</si>
  <si>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</si>
  <si>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</si>
  <si>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</si>
  <si>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</si>
  <si>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</si>
  <si>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</si>
  <si>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</si>
  <si>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</si>
  <si>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</si>
  <si>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</si>
  <si>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</si>
  <si>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</si>
  <si>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</si>
  <si>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</si>
  <si>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</si>
  <si>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</si>
  <si>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</si>
  <si>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</si>
  <si>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</si>
  <si>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</si>
  <si>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</si>
  <si>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</si>
  <si>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</si>
  <si>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</si>
  <si>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</si>
  <si>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</si>
  <si>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</si>
  <si>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</si>
  <si>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</si>
  <si>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</si>
  <si>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</si>
  <si>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</si>
  <si>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</si>
  <si>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</si>
  <si>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</si>
  <si>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</si>
  <si>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</si>
  <si>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</si>
  <si>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</si>
  <si>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</si>
  <si>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</si>
  <si>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</si>
  <si>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</si>
  <si>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</si>
  <si>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</si>
  <si>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</si>
  <si>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</si>
  <si>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</si>
  <si>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</si>
  <si>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</si>
  <si>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</si>
  <si>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</si>
  <si>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</si>
  <si>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</si>
  <si>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</si>
  <si>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</si>
  <si>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</si>
  <si>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</si>
  <si>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</si>
  <si>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</si>
  <si>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</si>
  <si>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</si>
  <si>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</si>
  <si>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</si>
  <si>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</si>
  <si>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</si>
  <si>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</si>
  <si>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</si>
  <si>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</si>
  <si>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</si>
  <si>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</si>
  <si>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</si>
  <si>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</si>
  <si>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</si>
  <si>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</si>
  <si>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</si>
  <si>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</si>
  <si>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</si>
  <si>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</si>
  <si>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</si>
  <si>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</si>
  <si>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</si>
  <si>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</si>
  <si>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</si>
  <si>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</si>
  <si>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</si>
  <si>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</si>
  <si>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</si>
  <si>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</si>
  <si>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</si>
  <si>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</si>
  <si>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</si>
  <si>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</si>
  <si>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</si>
  <si>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</si>
  <si>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</si>
  <si>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</si>
  <si>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</si>
  <si>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</si>
  <si>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</si>
  <si>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</si>
  <si>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</si>
  <si>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</si>
  <si>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</si>
  <si>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</si>
  <si>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</si>
  <si>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</si>
  <si>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</si>
  <si>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</si>
  <si>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</si>
  <si>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</si>
  <si>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</si>
  <si>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</si>
  <si>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</si>
  <si>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</si>
  <si>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</si>
  <si>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</si>
  <si>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</si>
  <si>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</si>
  <si>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</si>
  <si>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</si>
  <si>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</si>
  <si>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</si>
  <si>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</si>
  <si>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</si>
  <si>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</si>
  <si>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</si>
  <si>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</si>
  <si>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</si>
  <si>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</si>
  <si>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</si>
  <si>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</si>
  <si>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</si>
  <si>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</si>
  <si>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</si>
  <si>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</si>
  <si>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</si>
  <si>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</si>
  <si>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</si>
  <si>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</si>
  <si>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</si>
  <si>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</si>
  <si>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</si>
  <si>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</si>
  <si>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</si>
  <si>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</si>
  <si>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</si>
  <si>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</si>
  <si>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</si>
  <si>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</si>
  <si>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</si>
  <si>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</si>
  <si>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</si>
  <si>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</si>
  <si>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</si>
  <si>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</si>
  <si>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</si>
  <si>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</si>
  <si>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</si>
  <si>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</si>
  <si>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</si>
  <si>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</si>
  <si>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</si>
  <si>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</si>
  <si>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</si>
  <si>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</si>
  <si>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</si>
  <si>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</si>
  <si>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</si>
  <si>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</si>
  <si>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</si>
  <si>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</si>
  <si>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</si>
  <si>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</si>
  <si>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</si>
  <si>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</si>
  <si>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</si>
  <si>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</si>
  <si>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</si>
  <si>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</si>
  <si>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</si>
  <si>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</si>
  <si>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</si>
  <si>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</si>
  <si>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</si>
  <si>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</si>
  <si>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</si>
  <si>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</si>
  <si>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</si>
  <si>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</si>
  <si>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</si>
  <si>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</si>
  <si>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</si>
  <si>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</si>
  <si>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</si>
  <si>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</si>
  <si>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</si>
  <si>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</si>
  <si>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</si>
  <si>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</si>
  <si>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</si>
  <si>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</si>
  <si>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</si>
  <si>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</si>
  <si>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</si>
  <si>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</si>
  <si>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</si>
  <si>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</si>
  <si>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</si>
  <si>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</si>
  <si>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</si>
  <si>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</si>
  <si>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</si>
  <si>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</si>
  <si>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</si>
  <si>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</si>
  <si>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</si>
  <si>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</si>
  <si>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</si>
  <si>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</si>
  <si>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</si>
  <si>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</si>
  <si>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</si>
  <si>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</si>
  <si>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</si>
  <si>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</si>
  <si>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</si>
  <si>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</si>
  <si>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</si>
  <si>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</si>
  <si>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</si>
  <si>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</si>
  <si>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</si>
  <si>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</si>
  <si>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</si>
  <si>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</si>
  <si>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</si>
  <si>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</si>
  <si>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</si>
  <si>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</si>
  <si>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</si>
  <si>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</si>
  <si>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</si>
  <si>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</si>
  <si>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</si>
  <si>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</si>
  <si>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</si>
  <si>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</si>
  <si>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</si>
  <si>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</si>
  <si>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</si>
  <si>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</si>
  <si>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</si>
  <si>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</si>
  <si>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</si>
  <si>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</si>
  <si>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</si>
  <si>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</si>
  <si>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</si>
  <si>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</si>
  <si>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</si>
  <si>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</si>
  <si>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</si>
  <si>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</si>
  <si>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</si>
  <si>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</si>
  <si>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</si>
  <si>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</si>
  <si>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</si>
  <si>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</si>
  <si>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</si>
  <si>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</si>
  <si>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</si>
  <si>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</si>
  <si>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</si>
  <si>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</si>
  <si>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</si>
  <si>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</si>
  <si>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</si>
  <si>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</si>
  <si>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</si>
  <si>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</si>
  <si>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</si>
  <si>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</si>
  <si>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</si>
  <si>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</si>
  <si>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</si>
  <si>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</si>
  <si>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</si>
  <si>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</si>
  <si>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</si>
  <si>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</si>
  <si>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</si>
  <si>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</si>
  <si>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</si>
  <si>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</si>
  <si>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</si>
  <si>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</si>
  <si>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</si>
  <si>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</si>
  <si>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</si>
  <si>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</si>
  <si>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</si>
  <si>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</si>
  <si>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</si>
  <si>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</si>
  <si>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</si>
  <si>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</si>
  <si>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</si>
  <si>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</si>
  <si>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</si>
  <si>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</si>
  <si>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</si>
  <si>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</si>
  <si>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</si>
  <si>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</si>
  <si>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</si>
  <si>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</si>
  <si>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</si>
  <si>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</si>
  <si>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</si>
  <si>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</si>
  <si>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</si>
  <si>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</si>
  <si>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</si>
  <si>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</si>
  <si>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</si>
  <si>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</si>
  <si>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</si>
  <si>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</si>
  <si>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</si>
  <si>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</si>
  <si>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</si>
  <si>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</si>
  <si>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</si>
  <si>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</si>
  <si>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</si>
  <si>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</si>
  <si>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</si>
  <si>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</si>
  <si>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</si>
  <si>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</si>
  <si>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</si>
  <si>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</si>
  <si>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</si>
  <si>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</si>
  <si>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</si>
  <si>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</si>
  <si>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</si>
  <si>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</si>
  <si>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</si>
  <si>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</si>
  <si>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</si>
  <si>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</si>
  <si>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</si>
  <si>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</si>
  <si>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</si>
  <si>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</si>
  <si>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</si>
  <si>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</si>
  <si>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</si>
  <si>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</si>
  <si>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</si>
  <si>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</si>
  <si>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Park Name Here</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</si>
  <si>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</si>
  <si>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</si>
  <si>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</si>
  <si>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</si>
  <si>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</si>
  <si>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</si>
  <si>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</si>
  <si>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</si>
  <si>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</si>
  <si>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</si>
  <si>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</si>
  <si>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This is a mistake, the labels in the Expenditure column are incorrect</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</si>
  <si>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</si>
  <si>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</si>
  <si>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</si>
  <si>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</si>
  <si>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</si>
  <si>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</si>
  <si>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</si>
  <si>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</si>
  <si>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</si>
  <si>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</si>
  <si>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Total annual government budget</t>
  </si>
  <si>
    <t>Total local taxes collected</t>
  </si>
  <si>
    <t>Difference (net transfer from federal government to local government)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</si>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</sst>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99">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10" borderId="76" xfId="0" applyNumberFormat="1" applyFont="1" applyFill="1" applyBorder="1"/>
    <xf numFmtId="9" fontId="5" fillId="10" borderId="65" xfId="0" applyNumberFormat="1" applyFont="1" applyFill="1" applyBorder="1"/>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1" fontId="8" fillId="8" borderId="15" xfId="0" applyNumberFormat="1" applyFont="1" applyFill="1" applyBorder="1" applyAlignment="1">
      <alignment horizontal="center" vertical="center"/>
    </xf>
    <xf numFmtId="43" fontId="4" fillId="8" borderId="6" xfId="0" applyNumberFormat="1" applyFont="1" applyFill="1" applyBorder="1" applyAlignment="1">
      <alignment vertical="center"/>
    </xf>
    <xf numFmtId="0" fontId="4" fillId="8" borderId="47" xfId="0" applyFont="1" applyFill="1" applyBorder="1" applyAlignment="1">
      <alignment wrapText="1"/>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defaultColWidth="10.90625" defaultRowHeight="14.75" x14ac:dyDescent="0.75"/>
  <sheetData>
    <row r="1" spans="1:2" s="137" customFormat="1" ht="16" x14ac:dyDescent="0.8"/>
    <row r="2" spans="1:2" s="137" customFormat="1" ht="16" x14ac:dyDescent="0.8">
      <c r="A2" s="137" t="s">
        <v>472</v>
      </c>
    </row>
    <row r="3" spans="1:2" s="137" customFormat="1" ht="16" x14ac:dyDescent="0.8">
      <c r="B3" s="136" t="s">
        <v>473</v>
      </c>
    </row>
    <row r="4" spans="1:2" s="137" customFormat="1" ht="16" x14ac:dyDescent="0.8">
      <c r="B4" s="137" t="s">
        <v>474</v>
      </c>
    </row>
    <row r="5" spans="1:2" s="137" customFormat="1" ht="16" x14ac:dyDescent="0.8"/>
    <row r="6" spans="1:2" s="137" customFormat="1" ht="16" x14ac:dyDescent="0.8">
      <c r="B6" s="136" t="s">
        <v>475</v>
      </c>
    </row>
    <row r="7" spans="1:2" s="137" customFormat="1" ht="16" x14ac:dyDescent="0.8">
      <c r="B7" s="137" t="s">
        <v>476</v>
      </c>
    </row>
    <row r="8" spans="1:2" s="137" customFormat="1" ht="16" x14ac:dyDescent="0.8"/>
    <row r="9" spans="1:2" s="137" customFormat="1" ht="16" x14ac:dyDescent="0.8">
      <c r="B9" s="137" t="s">
        <v>477</v>
      </c>
    </row>
    <row r="10" spans="1:2" s="137" customFormat="1" ht="16" x14ac:dyDescent="0.8"/>
    <row r="11" spans="1:2" s="137" customFormat="1" ht="16" x14ac:dyDescent="0.8"/>
    <row r="12" spans="1:2" s="137" customFormat="1" ht="16" x14ac:dyDescent="0.8"/>
    <row r="13" spans="1:2" s="137" customFormat="1" ht="16" x14ac:dyDescent="0.8">
      <c r="A13" s="455" t="s">
        <v>528</v>
      </c>
    </row>
    <row r="14" spans="1:2" s="137" customFormat="1" ht="16" x14ac:dyDescent="0.8">
      <c r="B14" s="455" t="s">
        <v>529</v>
      </c>
    </row>
    <row r="15" spans="1:2" s="137" customFormat="1" ht="16" x14ac:dyDescent="0.8">
      <c r="B15" s="455" t="s">
        <v>530</v>
      </c>
    </row>
    <row r="16" spans="1:2" s="137" customFormat="1" ht="16" x14ac:dyDescent="0.8">
      <c r="B16" s="455" t="s">
        <v>531</v>
      </c>
    </row>
    <row r="17" spans="2:2" s="137" customFormat="1" ht="16" x14ac:dyDescent="0.8">
      <c r="B17" s="455" t="s">
        <v>532</v>
      </c>
    </row>
    <row r="18" spans="2:2" s="137" customFormat="1" ht="16" x14ac:dyDescent="0.8"/>
    <row r="19" spans="2:2" s="137" customFormat="1" ht="16" x14ac:dyDescent="0.8"/>
    <row r="20" spans="2:2" s="137" customFormat="1" ht="16" x14ac:dyDescent="0.8"/>
    <row r="21" spans="2:2" s="137" customFormat="1" ht="16" x14ac:dyDescent="0.8"/>
    <row r="22" spans="2:2" s="137" customFormat="1" ht="16" x14ac:dyDescent="0.8"/>
    <row r="23" spans="2:2" s="137" customFormat="1" ht="16" x14ac:dyDescent="0.8"/>
    <row r="24" spans="2:2" s="137" customFormat="1" ht="16" x14ac:dyDescent="0.8"/>
    <row r="25" spans="2:2" s="137" customFormat="1" ht="16" x14ac:dyDescent="0.8"/>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opLeftCell="A29" zoomScale="102" zoomScaleNormal="102" workbookViewId="0">
      <selection activeCell="D41" sqref="D41"/>
    </sheetView>
  </sheetViews>
  <sheetFormatPr defaultColWidth="14.5" defaultRowHeight="15" customHeight="1" x14ac:dyDescent="0.75"/>
  <cols>
    <col min="1" max="1" width="3.1796875" customWidth="1"/>
    <col min="2" max="2" width="86.5" customWidth="1"/>
    <col min="3" max="3" width="20.81640625" customWidth="1"/>
    <col min="4" max="4" width="27.5" customWidth="1"/>
    <col min="5" max="7" width="8.81640625" customWidth="1"/>
    <col min="8" max="8" width="85.31640625" customWidth="1"/>
  </cols>
  <sheetData>
    <row r="1" spans="1:8" ht="14.25" customHeight="1" x14ac:dyDescent="0.75">
      <c r="B1" s="1" t="s">
        <v>462</v>
      </c>
      <c r="C1" s="127" t="s">
        <v>518</v>
      </c>
    </row>
    <row r="2" spans="1:8" ht="14.25" customHeight="1" x14ac:dyDescent="0.75">
      <c r="A2" s="102"/>
      <c r="B2" s="133" t="s">
        <v>0</v>
      </c>
      <c r="C2" s="145" t="s">
        <v>1</v>
      </c>
      <c r="D2" s="146" t="s">
        <v>2</v>
      </c>
      <c r="E2" s="146" t="s">
        <v>3</v>
      </c>
      <c r="F2" s="146" t="s">
        <v>4</v>
      </c>
      <c r="G2" s="147" t="s">
        <v>5</v>
      </c>
      <c r="H2" s="194" t="s">
        <v>6</v>
      </c>
    </row>
    <row r="3" spans="1:8" ht="14.25" customHeight="1" x14ac:dyDescent="0.75">
      <c r="A3" s="102"/>
      <c r="B3" s="187" t="s">
        <v>478</v>
      </c>
      <c r="C3" s="131">
        <v>200</v>
      </c>
      <c r="D3" s="181" t="s">
        <v>7</v>
      </c>
      <c r="E3" s="128">
        <v>32850</v>
      </c>
      <c r="F3" s="128">
        <v>32850</v>
      </c>
      <c r="G3" s="128">
        <v>1</v>
      </c>
      <c r="H3" s="195" t="s">
        <v>470</v>
      </c>
    </row>
    <row r="4" spans="1:8" ht="14.25" customHeight="1" x14ac:dyDescent="0.75">
      <c r="A4" s="102"/>
      <c r="B4" s="187" t="s">
        <v>9</v>
      </c>
      <c r="C4" s="132">
        <v>1.98</v>
      </c>
      <c r="D4" s="181" t="s">
        <v>10</v>
      </c>
      <c r="E4" s="128">
        <v>1</v>
      </c>
      <c r="F4" s="128">
        <v>8</v>
      </c>
      <c r="G4" s="128">
        <v>1</v>
      </c>
      <c r="H4" s="196"/>
    </row>
    <row r="5" spans="1:8" ht="14.25" customHeight="1" x14ac:dyDescent="0.75">
      <c r="A5" s="102"/>
      <c r="B5" s="187" t="s">
        <v>11</v>
      </c>
      <c r="C5" s="132">
        <v>1.93</v>
      </c>
      <c r="D5" s="181" t="s">
        <v>12</v>
      </c>
      <c r="E5" s="128">
        <v>0</v>
      </c>
      <c r="F5" s="128">
        <v>9</v>
      </c>
      <c r="G5" s="128">
        <v>1</v>
      </c>
      <c r="H5" s="196"/>
    </row>
    <row r="6" spans="1:8" ht="14.25" customHeight="1" x14ac:dyDescent="0.75">
      <c r="A6" s="102"/>
      <c r="B6" s="187" t="s">
        <v>551</v>
      </c>
      <c r="C6" s="132">
        <f>63.7353441051591+0.7</f>
        <v>64.435344105159103</v>
      </c>
      <c r="D6" s="181" t="s">
        <v>13</v>
      </c>
      <c r="E6" s="128">
        <v>0</v>
      </c>
      <c r="F6" s="128">
        <v>150</v>
      </c>
      <c r="G6" s="128">
        <v>1</v>
      </c>
      <c r="H6" s="196"/>
    </row>
    <row r="7" spans="1:8" ht="14.25" customHeight="1" x14ac:dyDescent="0.75">
      <c r="A7" s="102"/>
      <c r="B7" s="188" t="s">
        <v>14</v>
      </c>
      <c r="C7" s="193">
        <v>15000</v>
      </c>
      <c r="D7" s="185" t="s">
        <v>15</v>
      </c>
      <c r="E7" s="128">
        <v>32000</v>
      </c>
      <c r="F7" s="128">
        <v>32000</v>
      </c>
      <c r="G7" s="128">
        <v>1</v>
      </c>
      <c r="H7" s="197"/>
    </row>
    <row r="8" spans="1:8" ht="14.25" customHeight="1" x14ac:dyDescent="0.75">
      <c r="A8" s="102"/>
      <c r="B8" s="129"/>
      <c r="C8" s="192"/>
      <c r="D8" s="102"/>
      <c r="E8" s="102"/>
      <c r="F8" s="102"/>
      <c r="G8" s="102"/>
      <c r="H8" s="149"/>
    </row>
    <row r="9" spans="1:8" ht="14.25" customHeight="1" x14ac:dyDescent="0.75">
      <c r="A9" s="102"/>
      <c r="B9" s="129"/>
      <c r="C9" s="7"/>
    </row>
    <row r="10" spans="1:8" ht="14.25" customHeight="1" x14ac:dyDescent="0.75">
      <c r="A10" s="102"/>
      <c r="B10" s="135" t="s">
        <v>16</v>
      </c>
      <c r="C10" s="127" t="s">
        <v>518</v>
      </c>
    </row>
    <row r="11" spans="1:8" ht="14.25" customHeight="1" x14ac:dyDescent="0.75">
      <c r="A11" s="102"/>
      <c r="B11" s="133" t="s">
        <v>0</v>
      </c>
      <c r="C11" s="130" t="s">
        <v>1</v>
      </c>
      <c r="D11" s="2" t="s">
        <v>2</v>
      </c>
      <c r="E11" s="2" t="s">
        <v>3</v>
      </c>
      <c r="F11" s="2" t="s">
        <v>4</v>
      </c>
      <c r="G11" s="3" t="s">
        <v>5</v>
      </c>
      <c r="H11" s="4" t="s">
        <v>6</v>
      </c>
    </row>
    <row r="12" spans="1:8" ht="14.25" customHeight="1" x14ac:dyDescent="0.75">
      <c r="A12" s="102"/>
      <c r="B12" s="190" t="s">
        <v>19</v>
      </c>
      <c r="C12" s="134">
        <v>7.3841637480764257</v>
      </c>
      <c r="D12" s="181" t="s">
        <v>20</v>
      </c>
      <c r="E12" s="128">
        <v>0</v>
      </c>
      <c r="F12" s="128">
        <v>236</v>
      </c>
      <c r="G12" s="128">
        <v>0.1</v>
      </c>
      <c r="H12" s="8" t="s">
        <v>21</v>
      </c>
    </row>
    <row r="13" spans="1:8" ht="14.25" customHeight="1" x14ac:dyDescent="0.75">
      <c r="A13" s="102"/>
      <c r="B13" s="190" t="s">
        <v>22</v>
      </c>
      <c r="C13" s="134">
        <v>28.652140479743501</v>
      </c>
      <c r="D13" s="181" t="s">
        <v>23</v>
      </c>
      <c r="E13" s="128">
        <v>0</v>
      </c>
      <c r="F13" s="128">
        <v>694</v>
      </c>
      <c r="G13" s="128">
        <v>0.1</v>
      </c>
      <c r="H13" s="8"/>
    </row>
    <row r="14" spans="1:8" ht="14.25" customHeight="1" x14ac:dyDescent="0.75">
      <c r="A14" s="102"/>
      <c r="B14" s="190" t="s">
        <v>24</v>
      </c>
      <c r="C14" s="134">
        <v>3.1687435047794485</v>
      </c>
      <c r="D14" s="181" t="s">
        <v>25</v>
      </c>
      <c r="E14" s="128">
        <v>0</v>
      </c>
      <c r="F14" s="128">
        <v>536</v>
      </c>
      <c r="G14" s="128">
        <v>0.1</v>
      </c>
      <c r="H14" s="8"/>
    </row>
    <row r="15" spans="1:8" ht="14.25" customHeight="1" x14ac:dyDescent="0.75">
      <c r="A15" s="102"/>
      <c r="B15" s="190" t="s">
        <v>550</v>
      </c>
      <c r="C15" s="134">
        <f>0.777461668931897+30.1664016884723</f>
        <v>30.943863357404194</v>
      </c>
      <c r="D15" s="181" t="s">
        <v>26</v>
      </c>
      <c r="E15" s="128">
        <v>0</v>
      </c>
      <c r="F15" s="128">
        <v>225</v>
      </c>
      <c r="G15" s="128">
        <v>0.1</v>
      </c>
      <c r="H15" s="8"/>
    </row>
    <row r="16" spans="1:8" ht="14.25" customHeight="1" x14ac:dyDescent="0.75">
      <c r="A16" s="102"/>
      <c r="B16" s="191" t="s">
        <v>549</v>
      </c>
      <c r="C16" s="134">
        <v>2.03453436213031</v>
      </c>
      <c r="D16" s="189" t="s">
        <v>27</v>
      </c>
      <c r="E16" s="128">
        <v>0</v>
      </c>
      <c r="F16" s="128">
        <v>962</v>
      </c>
      <c r="G16" s="128">
        <v>0.1</v>
      </c>
      <c r="H16" s="9"/>
    </row>
    <row r="17" spans="1:8" ht="14.25" customHeight="1" x14ac:dyDescent="0.75">
      <c r="A17" s="102"/>
      <c r="B17" s="191" t="s">
        <v>542</v>
      </c>
      <c r="C17" s="461">
        <v>6.9131266882518796</v>
      </c>
      <c r="D17" s="189" t="s">
        <v>17</v>
      </c>
      <c r="E17" s="128">
        <v>0</v>
      </c>
      <c r="F17" s="128">
        <v>1145</v>
      </c>
      <c r="G17" s="128">
        <v>0.1</v>
      </c>
      <c r="H17" s="1" t="s">
        <v>18</v>
      </c>
    </row>
    <row r="18" spans="1:8" ht="14.25" customHeight="1" x14ac:dyDescent="0.75"/>
    <row r="19" spans="1:8" ht="14.25" customHeight="1" x14ac:dyDescent="0.75">
      <c r="B19" s="458" t="s">
        <v>539</v>
      </c>
      <c r="C19" s="459">
        <f>C17*(C3+C7)</f>
        <v>105079.52566142858</v>
      </c>
    </row>
    <row r="20" spans="1:8" ht="14.25" customHeight="1" x14ac:dyDescent="0.75">
      <c r="B20" s="11"/>
      <c r="C20" s="460">
        <f>NatParkPA!C6</f>
        <v>112627.02326260571</v>
      </c>
      <c r="D20" s="1" t="str">
        <f>IF(ABS(C19-C20)&lt;10, "ok equal", "not equal")</f>
        <v>not equal</v>
      </c>
    </row>
    <row r="21" spans="1:8" ht="14.25" customHeight="1" x14ac:dyDescent="0.75">
      <c r="B21" s="11"/>
      <c r="C21" s="12"/>
      <c r="D21" s="1"/>
    </row>
    <row r="22" spans="1:8" ht="14.25" customHeight="1" x14ac:dyDescent="0.75">
      <c r="C22" s="12"/>
      <c r="D22" s="1"/>
    </row>
    <row r="23" spans="1:8" ht="14.25" customHeight="1" thickBot="1" x14ac:dyDescent="0.9">
      <c r="B23" s="11" t="s">
        <v>471</v>
      </c>
      <c r="C23" s="12"/>
      <c r="D23" s="1"/>
    </row>
    <row r="24" spans="1:8" ht="14.25" customHeight="1" x14ac:dyDescent="0.75">
      <c r="B24" s="405" t="s">
        <v>28</v>
      </c>
      <c r="C24" s="406" t="s">
        <v>29</v>
      </c>
      <c r="D24" s="407"/>
      <c r="E24" s="408"/>
      <c r="F24" s="408"/>
      <c r="G24" s="408"/>
      <c r="H24" s="409"/>
    </row>
    <row r="25" spans="1:8" ht="14.25" customHeight="1" x14ac:dyDescent="0.75">
      <c r="B25" s="410" t="s">
        <v>30</v>
      </c>
      <c r="C25" s="411">
        <v>0</v>
      </c>
      <c r="D25" s="412" t="s">
        <v>31</v>
      </c>
      <c r="E25" s="413"/>
      <c r="F25" s="413"/>
      <c r="G25" s="413"/>
      <c r="H25" s="414"/>
    </row>
    <row r="26" spans="1:8" ht="14.25" customHeight="1" x14ac:dyDescent="0.75">
      <c r="B26" s="410" t="s">
        <v>32</v>
      </c>
      <c r="C26" s="415">
        <f>($C$7+$C$4*$C$3)*SUM($C$13:$C$14)</f>
        <v>489914.32982571534</v>
      </c>
      <c r="D26" s="416" t="s">
        <v>33</v>
      </c>
      <c r="E26" s="413"/>
      <c r="F26" s="413"/>
      <c r="G26" s="413"/>
      <c r="H26" s="414"/>
    </row>
    <row r="27" spans="1:8" ht="14.25" customHeight="1" x14ac:dyDescent="0.75">
      <c r="B27" s="410" t="s">
        <v>34</v>
      </c>
      <c r="C27" s="415">
        <f>($C$7+$C$4*$C$3)*SUM($C$15:$C$16)</f>
        <v>507735.41128995328</v>
      </c>
      <c r="D27" s="412" t="s">
        <v>35</v>
      </c>
      <c r="E27" s="413"/>
      <c r="F27" s="413"/>
      <c r="G27" s="413"/>
      <c r="H27" s="414"/>
    </row>
    <row r="28" spans="1:8" ht="14.25" customHeight="1" x14ac:dyDescent="0.75">
      <c r="B28" s="410" t="s">
        <v>36</v>
      </c>
      <c r="C28" s="415">
        <v>0</v>
      </c>
      <c r="D28" s="416" t="s">
        <v>37</v>
      </c>
      <c r="E28" s="413"/>
      <c r="F28" s="413"/>
      <c r="G28" s="413"/>
      <c r="H28" s="414"/>
    </row>
    <row r="29" spans="1:8" ht="14.25" customHeight="1" x14ac:dyDescent="0.75">
      <c r="B29" s="410" t="s">
        <v>38</v>
      </c>
      <c r="C29" s="415">
        <v>0</v>
      </c>
      <c r="D29" s="412" t="s">
        <v>39</v>
      </c>
      <c r="E29" s="413"/>
      <c r="F29" s="413"/>
      <c r="G29" s="413"/>
      <c r="H29" s="414"/>
    </row>
    <row r="30" spans="1:8" ht="15.75" customHeight="1" x14ac:dyDescent="0.75">
      <c r="B30" s="410" t="s">
        <v>40</v>
      </c>
      <c r="C30" s="415">
        <v>0</v>
      </c>
      <c r="D30" s="412" t="s">
        <v>39</v>
      </c>
      <c r="E30" s="413"/>
      <c r="F30" s="413"/>
      <c r="G30" s="413"/>
      <c r="H30" s="414"/>
    </row>
    <row r="31" spans="1:8" ht="15.75" customHeight="1" x14ac:dyDescent="0.75">
      <c r="B31" s="410" t="s">
        <v>41</v>
      </c>
      <c r="C31" s="415">
        <v>0</v>
      </c>
      <c r="D31" s="412" t="s">
        <v>39</v>
      </c>
      <c r="E31" s="413"/>
      <c r="F31" s="413"/>
      <c r="G31" s="413"/>
      <c r="H31" s="414"/>
    </row>
    <row r="32" spans="1:8" ht="15.75" customHeight="1" x14ac:dyDescent="0.75">
      <c r="B32" s="410" t="s">
        <v>42</v>
      </c>
      <c r="C32" s="415">
        <v>0</v>
      </c>
      <c r="D32" s="412" t="s">
        <v>39</v>
      </c>
      <c r="E32" s="413"/>
      <c r="F32" s="413"/>
      <c r="G32" s="413"/>
      <c r="H32" s="414"/>
    </row>
    <row r="33" spans="2:8" ht="15.75" customHeight="1" x14ac:dyDescent="0.75">
      <c r="B33" s="410" t="s">
        <v>43</v>
      </c>
      <c r="C33" s="415">
        <v>0</v>
      </c>
      <c r="D33" s="416" t="s">
        <v>44</v>
      </c>
      <c r="E33" s="413"/>
      <c r="F33" s="413"/>
      <c r="G33" s="413"/>
      <c r="H33" s="414"/>
    </row>
    <row r="34" spans="2:8" ht="14.25" customHeight="1" x14ac:dyDescent="0.75">
      <c r="B34" s="410" t="s">
        <v>45</v>
      </c>
      <c r="C34" s="415">
        <v>0</v>
      </c>
      <c r="D34" s="416" t="s">
        <v>46</v>
      </c>
      <c r="E34" s="413"/>
      <c r="F34" s="413"/>
      <c r="G34" s="413"/>
      <c r="H34" s="414"/>
    </row>
    <row r="35" spans="2:8" ht="14.25" customHeight="1" x14ac:dyDescent="0.75">
      <c r="B35" s="410" t="s">
        <v>47</v>
      </c>
      <c r="C35" s="415">
        <v>0</v>
      </c>
      <c r="D35" s="416" t="s">
        <v>46</v>
      </c>
      <c r="E35" s="413"/>
      <c r="F35" s="413"/>
      <c r="G35" s="413"/>
      <c r="H35" s="414"/>
    </row>
    <row r="36" spans="2:8" ht="14.25" customHeight="1" x14ac:dyDescent="0.75">
      <c r="B36" s="410" t="s">
        <v>48</v>
      </c>
      <c r="C36" s="415">
        <f>(C7+C4*C3)*$C$12</f>
        <v>113686.58506538466</v>
      </c>
      <c r="D36" s="416" t="s">
        <v>49</v>
      </c>
      <c r="E36" s="413"/>
      <c r="F36" s="413"/>
      <c r="G36" s="413"/>
      <c r="H36" s="414"/>
    </row>
    <row r="37" spans="2:8" ht="14.25" customHeight="1" x14ac:dyDescent="0.75">
      <c r="B37" s="410" t="s">
        <v>50</v>
      </c>
      <c r="C37" s="415">
        <f>C5*C3*$C$6</f>
        <v>24872.042824591415</v>
      </c>
      <c r="D37" s="416" t="s">
        <v>51</v>
      </c>
      <c r="E37" s="413"/>
      <c r="F37" s="413"/>
      <c r="G37" s="413"/>
      <c r="H37" s="414"/>
    </row>
    <row r="38" spans="2:8" ht="14.25" customHeight="1" x14ac:dyDescent="0.75">
      <c r="B38" s="410" t="s">
        <v>52</v>
      </c>
      <c r="C38" s="415">
        <v>0</v>
      </c>
      <c r="D38" s="416" t="s">
        <v>53</v>
      </c>
      <c r="E38" s="413"/>
      <c r="F38" s="413"/>
      <c r="G38" s="413"/>
      <c r="H38" s="414"/>
    </row>
    <row r="39" spans="2:8" ht="14.25" customHeight="1" x14ac:dyDescent="0.75">
      <c r="B39" s="410" t="s">
        <v>54</v>
      </c>
      <c r="C39" s="415">
        <f>NatParkPA!C6</f>
        <v>112627.02326260571</v>
      </c>
      <c r="D39" s="416" t="s">
        <v>534</v>
      </c>
      <c r="E39" s="413"/>
      <c r="F39" s="413"/>
      <c r="G39" s="413"/>
      <c r="H39" s="414"/>
    </row>
    <row r="40" spans="2:8" ht="14.25" customHeight="1" x14ac:dyDescent="0.75">
      <c r="B40" s="410" t="s">
        <v>55</v>
      </c>
      <c r="C40" s="415">
        <v>0</v>
      </c>
      <c r="D40" s="416" t="s">
        <v>56</v>
      </c>
      <c r="E40" s="413"/>
      <c r="F40" s="413"/>
      <c r="G40" s="413"/>
      <c r="H40" s="414"/>
    </row>
    <row r="41" spans="2:8" ht="14.25" customHeight="1" x14ac:dyDescent="0.75">
      <c r="B41" s="410" t="s">
        <v>574</v>
      </c>
      <c r="C41" s="415"/>
      <c r="D41" s="416" t="s">
        <v>58</v>
      </c>
      <c r="E41" s="413"/>
      <c r="F41" s="413"/>
      <c r="G41" s="413"/>
      <c r="H41" s="414"/>
    </row>
    <row r="42" spans="2:8" ht="14.25" customHeight="1" x14ac:dyDescent="0.75">
      <c r="B42" s="410" t="s">
        <v>57</v>
      </c>
      <c r="C42" s="415"/>
      <c r="D42" s="416" t="s">
        <v>58</v>
      </c>
      <c r="E42" s="413"/>
      <c r="F42" s="413"/>
      <c r="G42" s="413"/>
      <c r="H42" s="414"/>
    </row>
    <row r="43" spans="2:8" ht="14.25" customHeight="1" x14ac:dyDescent="0.75">
      <c r="B43" s="417" t="s">
        <v>59</v>
      </c>
      <c r="C43" s="418"/>
      <c r="D43" s="416" t="s">
        <v>60</v>
      </c>
      <c r="E43" s="413"/>
      <c r="F43" s="413"/>
      <c r="G43" s="413"/>
      <c r="H43" s="414"/>
    </row>
    <row r="44" spans="2:8" ht="14.25" customHeight="1" x14ac:dyDescent="0.75">
      <c r="B44" s="410" t="s">
        <v>61</v>
      </c>
      <c r="C44" s="418">
        <f>SUM(C25:C43)</f>
        <v>1248835.3922682505</v>
      </c>
      <c r="D44" s="416" t="s">
        <v>62</v>
      </c>
      <c r="E44" s="413"/>
      <c r="F44" s="413"/>
      <c r="G44" s="413"/>
      <c r="H44" s="414"/>
    </row>
    <row r="45" spans="2:8" ht="14.25" customHeight="1" x14ac:dyDescent="0.75">
      <c r="B45" s="410" t="s">
        <v>63</v>
      </c>
      <c r="C45" s="415">
        <f>$C$3*($C$17+$C$4*SUM($C$12:$C$16)+$C$5*$C$6)+$C$7*($C$17+SUM($C$12:$C$16))</f>
        <v>1241287.8946670732</v>
      </c>
      <c r="D45" s="416" t="s">
        <v>64</v>
      </c>
      <c r="E45" s="413"/>
      <c r="F45" s="413"/>
      <c r="G45" s="413"/>
      <c r="H45" s="414"/>
    </row>
    <row r="46" spans="2:8" ht="14.25" customHeight="1" x14ac:dyDescent="0.75">
      <c r="B46" s="410" t="s">
        <v>65</v>
      </c>
      <c r="C46" s="415">
        <f>C45-C44</f>
        <v>-7547.4976011773106</v>
      </c>
      <c r="D46" s="416" t="s">
        <v>66</v>
      </c>
      <c r="E46" s="413"/>
      <c r="F46" s="413"/>
      <c r="G46" s="413"/>
      <c r="H46" s="414"/>
    </row>
    <row r="47" spans="2:8" ht="14.25" customHeight="1" thickBot="1" x14ac:dyDescent="0.9">
      <c r="B47" s="419" t="s">
        <v>67</v>
      </c>
      <c r="C47" s="420">
        <f>C46/C45</f>
        <v>-6.0803763845627698E-3</v>
      </c>
      <c r="D47" s="421" t="s">
        <v>68</v>
      </c>
      <c r="E47" s="422"/>
      <c r="F47" s="422"/>
      <c r="G47" s="422"/>
      <c r="H47" s="423"/>
    </row>
    <row r="48" spans="2:8" ht="14.25" customHeight="1" x14ac:dyDescent="0.75"/>
    <row r="49" spans="3:3" ht="14.25" customHeight="1" x14ac:dyDescent="0.75"/>
    <row r="50" spans="3:3" ht="14.25" customHeight="1" x14ac:dyDescent="0.75">
      <c r="C50" s="42" t="s">
        <v>535</v>
      </c>
    </row>
    <row r="51" spans="3:3" ht="14.25" customHeight="1" x14ac:dyDescent="0.75"/>
    <row r="52" spans="3:3" ht="14.25" customHeight="1" x14ac:dyDescent="0.75"/>
    <row r="53" spans="3:3" ht="14.25" customHeight="1" x14ac:dyDescent="0.75"/>
    <row r="54" spans="3:3" ht="14.25" customHeight="1" x14ac:dyDescent="0.75"/>
    <row r="55" spans="3:3" ht="14.25" customHeight="1" x14ac:dyDescent="0.75"/>
    <row r="56" spans="3:3" ht="14.25" customHeight="1" x14ac:dyDescent="0.75"/>
    <row r="57" spans="3:3" ht="14.25" customHeight="1" x14ac:dyDescent="0.75"/>
    <row r="58" spans="3:3" ht="14.25" customHeight="1" x14ac:dyDescent="0.75"/>
    <row r="59" spans="3:3" ht="14.25" customHeight="1" x14ac:dyDescent="0.75"/>
    <row r="60" spans="3:3" ht="14.25" customHeight="1" x14ac:dyDescent="0.75"/>
    <row r="61" spans="3:3" ht="14.25" customHeight="1" x14ac:dyDescent="0.75"/>
    <row r="62" spans="3:3" ht="14.25" customHeight="1" x14ac:dyDescent="0.75"/>
    <row r="63" spans="3:3" ht="14.25" customHeight="1" x14ac:dyDescent="0.75"/>
    <row r="64" spans="3:3" ht="14.25" customHeight="1" x14ac:dyDescent="0.75"/>
    <row r="65" ht="14.25" customHeight="1" x14ac:dyDescent="0.75"/>
    <row r="66" ht="14.25" customHeight="1" x14ac:dyDescent="0.75"/>
    <row r="67" ht="14.25" customHeight="1" x14ac:dyDescent="0.75"/>
    <row r="68" ht="14.25" customHeight="1" x14ac:dyDescent="0.75"/>
    <row r="69" ht="14.25" customHeight="1" x14ac:dyDescent="0.75"/>
    <row r="70" ht="14.25" customHeight="1" x14ac:dyDescent="0.75"/>
    <row r="71" ht="14.25" customHeight="1" x14ac:dyDescent="0.75"/>
    <row r="72" ht="14.25" customHeight="1" x14ac:dyDescent="0.75"/>
    <row r="73" ht="14.25" customHeight="1" x14ac:dyDescent="0.75"/>
    <row r="74" ht="14.25" customHeight="1" x14ac:dyDescent="0.75"/>
    <row r="75" ht="14.25" customHeight="1" x14ac:dyDescent="0.75"/>
    <row r="76" ht="14.25" customHeight="1" x14ac:dyDescent="0.75"/>
    <row r="77" ht="14.25" customHeight="1" x14ac:dyDescent="0.75"/>
    <row r="78" ht="14.25" customHeight="1" x14ac:dyDescent="0.75"/>
    <row r="79" ht="14.25" customHeight="1" x14ac:dyDescent="0.75"/>
    <row r="80" ht="14.25" customHeight="1" x14ac:dyDescent="0.75"/>
    <row r="81" ht="14.25" customHeight="1" x14ac:dyDescent="0.75"/>
    <row r="82" ht="14.25" customHeight="1" x14ac:dyDescent="0.75"/>
    <row r="83" ht="14.25" customHeight="1" x14ac:dyDescent="0.75"/>
    <row r="84" ht="14.25" customHeight="1" x14ac:dyDescent="0.75"/>
    <row r="85" ht="14.25" customHeight="1" x14ac:dyDescent="0.75"/>
    <row r="86" ht="14.25" customHeight="1" x14ac:dyDescent="0.75"/>
    <row r="87" ht="14.25" customHeight="1" x14ac:dyDescent="0.75"/>
    <row r="88" ht="14.25" customHeight="1" x14ac:dyDescent="0.75"/>
    <row r="89" ht="14.25" customHeight="1" x14ac:dyDescent="0.75"/>
    <row r="90" ht="14.25" customHeight="1" x14ac:dyDescent="0.75"/>
    <row r="91" ht="14.25" customHeight="1" x14ac:dyDescent="0.75"/>
    <row r="92" ht="14.25" customHeight="1" x14ac:dyDescent="0.75"/>
    <row r="93" ht="14.25" customHeight="1" x14ac:dyDescent="0.75"/>
    <row r="94" ht="14.25" customHeight="1" x14ac:dyDescent="0.75"/>
    <row r="95" ht="14.25" customHeight="1" x14ac:dyDescent="0.75"/>
    <row r="96"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8"/>
  <sheetViews>
    <sheetView topLeftCell="B32" zoomScale="112" workbookViewId="0">
      <selection activeCell="B41" sqref="B41:D42"/>
    </sheetView>
  </sheetViews>
  <sheetFormatPr defaultColWidth="14.5" defaultRowHeight="15" customHeight="1" x14ac:dyDescent="0.75"/>
  <cols>
    <col min="1" max="1" width="13.6796875" customWidth="1"/>
    <col min="2" max="2" width="81" customWidth="1"/>
    <col min="3" max="3" width="21.81640625" customWidth="1"/>
    <col min="4" max="4" width="20.81640625" customWidth="1"/>
    <col min="5" max="6" width="8.81640625" customWidth="1"/>
    <col min="7" max="7" width="14.81640625" customWidth="1"/>
    <col min="8" max="8" width="109" customWidth="1"/>
  </cols>
  <sheetData>
    <row r="1" spans="1:8" ht="33.75" customHeight="1" x14ac:dyDescent="0.75">
      <c r="A1" s="116"/>
      <c r="B1" s="102" t="s">
        <v>69</v>
      </c>
      <c r="C1" s="127" t="s">
        <v>518</v>
      </c>
      <c r="D1" s="42"/>
      <c r="H1" s="8"/>
    </row>
    <row r="2" spans="1:8" ht="54" customHeight="1" x14ac:dyDescent="0.75">
      <c r="A2" s="225"/>
      <c r="B2" s="261" t="s">
        <v>464</v>
      </c>
      <c r="C2" s="262"/>
      <c r="D2" s="263"/>
      <c r="F2" s="115"/>
      <c r="G2" s="115"/>
      <c r="H2" s="124"/>
    </row>
    <row r="3" spans="1:8" ht="14.25" customHeight="1" x14ac:dyDescent="0.75">
      <c r="A3" s="258"/>
      <c r="B3" s="264" t="s">
        <v>0</v>
      </c>
      <c r="C3" s="265" t="s">
        <v>468</v>
      </c>
      <c r="D3" s="266" t="s">
        <v>510</v>
      </c>
      <c r="E3" s="42" t="s">
        <v>465</v>
      </c>
      <c r="F3" s="125"/>
      <c r="G3" s="125"/>
      <c r="H3" s="125"/>
    </row>
    <row r="4" spans="1:8" ht="33.75" customHeight="1" x14ac:dyDescent="0.75">
      <c r="A4" s="486" t="s">
        <v>511</v>
      </c>
      <c r="B4" s="117" t="s">
        <v>71</v>
      </c>
      <c r="C4" s="119">
        <v>0.245</v>
      </c>
      <c r="D4" s="123">
        <f t="shared" ref="D4:D15" si="0">C4/$C$20*(1-$C$18)</f>
        <v>0.15385999999999997</v>
      </c>
      <c r="E4" s="37" t="s">
        <v>72</v>
      </c>
      <c r="F4" s="102"/>
      <c r="G4" s="102"/>
      <c r="H4" s="115"/>
    </row>
    <row r="5" spans="1:8" ht="33.75" customHeight="1" x14ac:dyDescent="0.75">
      <c r="A5" s="487"/>
      <c r="B5" s="117" t="s">
        <v>73</v>
      </c>
      <c r="C5" s="119">
        <v>0</v>
      </c>
      <c r="D5" s="123">
        <f t="shared" si="0"/>
        <v>0</v>
      </c>
      <c r="F5" s="102"/>
      <c r="G5" s="102"/>
      <c r="H5" s="126"/>
    </row>
    <row r="6" spans="1:8" ht="33.75" customHeight="1" x14ac:dyDescent="0.75">
      <c r="A6" s="487"/>
      <c r="B6" s="117" t="s">
        <v>74</v>
      </c>
      <c r="C6" s="119">
        <v>5.2999999999999999E-2</v>
      </c>
      <c r="D6" s="123">
        <f t="shared" si="0"/>
        <v>3.3283999999999994E-2</v>
      </c>
      <c r="F6" s="102"/>
      <c r="G6" s="102"/>
      <c r="H6" s="126"/>
    </row>
    <row r="7" spans="1:8" ht="33.75" customHeight="1" x14ac:dyDescent="0.75">
      <c r="A7" s="487"/>
      <c r="B7" s="117" t="s">
        <v>75</v>
      </c>
      <c r="C7" s="119">
        <v>0</v>
      </c>
      <c r="D7" s="123">
        <f t="shared" si="0"/>
        <v>0</v>
      </c>
      <c r="F7" s="102"/>
      <c r="G7" s="102"/>
      <c r="H7" s="126"/>
    </row>
    <row r="8" spans="1:8" ht="33.75" customHeight="1" x14ac:dyDescent="0.75">
      <c r="A8" s="487"/>
      <c r="B8" s="117" t="s">
        <v>76</v>
      </c>
      <c r="C8" s="119">
        <v>0.05</v>
      </c>
      <c r="D8" s="161">
        <f t="shared" si="0"/>
        <v>3.1399999999999997E-2</v>
      </c>
      <c r="F8" s="102"/>
      <c r="G8" s="102"/>
      <c r="H8" s="126"/>
    </row>
    <row r="9" spans="1:8" ht="33.75" customHeight="1" x14ac:dyDescent="0.75">
      <c r="A9" s="487"/>
      <c r="B9" s="117" t="s">
        <v>499</v>
      </c>
      <c r="C9" s="119">
        <v>0</v>
      </c>
      <c r="D9" s="161">
        <f t="shared" si="0"/>
        <v>0</v>
      </c>
      <c r="F9" s="102"/>
      <c r="G9" s="102"/>
      <c r="H9" s="126"/>
    </row>
    <row r="10" spans="1:8" ht="33.75" customHeight="1" x14ac:dyDescent="0.75">
      <c r="A10" s="487"/>
      <c r="B10" s="118" t="s">
        <v>77</v>
      </c>
      <c r="C10" s="120">
        <v>0</v>
      </c>
      <c r="D10" s="161">
        <f t="shared" si="0"/>
        <v>0</v>
      </c>
      <c r="F10" s="102"/>
      <c r="G10" s="102"/>
      <c r="H10" s="126"/>
    </row>
    <row r="11" spans="1:8" ht="33.75" customHeight="1" x14ac:dyDescent="0.75">
      <c r="A11" s="487"/>
      <c r="B11" s="117" t="s">
        <v>78</v>
      </c>
      <c r="C11" s="119">
        <v>1.8000000000000002E-2</v>
      </c>
      <c r="D11" s="161">
        <f t="shared" si="0"/>
        <v>1.1304E-2</v>
      </c>
      <c r="E11" s="37" t="s">
        <v>79</v>
      </c>
      <c r="F11" s="102"/>
      <c r="G11" s="102"/>
      <c r="H11" s="115"/>
    </row>
    <row r="12" spans="1:8" ht="33.75" customHeight="1" x14ac:dyDescent="0.75">
      <c r="A12" s="487"/>
      <c r="B12" s="117" t="s">
        <v>80</v>
      </c>
      <c r="C12" s="119">
        <v>0.311</v>
      </c>
      <c r="D12" s="161">
        <f t="shared" si="0"/>
        <v>0.19530799999999995</v>
      </c>
      <c r="F12" s="102"/>
      <c r="G12" s="102"/>
      <c r="H12" s="126"/>
    </row>
    <row r="13" spans="1:8" ht="33.75" customHeight="1" x14ac:dyDescent="0.75">
      <c r="A13" s="487"/>
      <c r="B13" s="117" t="s">
        <v>81</v>
      </c>
      <c r="C13" s="119">
        <v>0.29300000000000004</v>
      </c>
      <c r="D13" s="123">
        <f t="shared" si="0"/>
        <v>0.184004</v>
      </c>
      <c r="F13" s="102"/>
      <c r="G13" s="102"/>
      <c r="H13" s="126"/>
    </row>
    <row r="14" spans="1:8" ht="33.75" customHeight="1" x14ac:dyDescent="0.75">
      <c r="A14" s="487"/>
      <c r="B14" s="469" t="s">
        <v>555</v>
      </c>
      <c r="C14" s="470">
        <v>0.03</v>
      </c>
      <c r="D14" s="471">
        <f t="shared" si="0"/>
        <v>1.8839999999999996E-2</v>
      </c>
      <c r="F14" s="102"/>
      <c r="G14" s="102"/>
      <c r="H14" s="126"/>
    </row>
    <row r="15" spans="1:8" ht="18" customHeight="1" x14ac:dyDescent="0.75">
      <c r="A15" s="488"/>
      <c r="B15" s="117" t="s">
        <v>82</v>
      </c>
      <c r="C15" s="119">
        <v>0</v>
      </c>
      <c r="D15" s="123">
        <f t="shared" si="0"/>
        <v>0</v>
      </c>
      <c r="F15" s="102"/>
      <c r="G15" s="102"/>
      <c r="H15" s="126"/>
    </row>
    <row r="16" spans="1:8" ht="18" customHeight="1" x14ac:dyDescent="0.75">
      <c r="A16" s="230"/>
      <c r="B16" s="291" t="s">
        <v>83</v>
      </c>
      <c r="C16" s="121">
        <v>1</v>
      </c>
      <c r="D16" s="228">
        <f>C16</f>
        <v>1</v>
      </c>
      <c r="F16" s="102"/>
      <c r="G16" s="102"/>
      <c r="H16" s="126"/>
    </row>
    <row r="17" spans="1:8" ht="18" customHeight="1" x14ac:dyDescent="0.75">
      <c r="A17" s="231"/>
      <c r="B17" s="291" t="s">
        <v>84</v>
      </c>
      <c r="C17" s="121">
        <v>1</v>
      </c>
      <c r="D17" s="228">
        <f>C17</f>
        <v>1</v>
      </c>
      <c r="F17" s="102"/>
      <c r="G17" s="102"/>
      <c r="H17" s="126"/>
    </row>
    <row r="18" spans="1:8" ht="18" customHeight="1" x14ac:dyDescent="0.75">
      <c r="A18" s="232"/>
      <c r="B18" s="292" t="s">
        <v>387</v>
      </c>
      <c r="C18" s="122">
        <v>0.37200000000000005</v>
      </c>
      <c r="D18" s="229">
        <f>C18</f>
        <v>0.37200000000000005</v>
      </c>
      <c r="F18" s="115"/>
      <c r="G18" s="115"/>
      <c r="H18" s="124"/>
    </row>
    <row r="19" spans="1:8" ht="18" customHeight="1" x14ac:dyDescent="0.75">
      <c r="A19" s="19"/>
      <c r="B19" s="11"/>
      <c r="C19" s="12"/>
      <c r="D19" s="8"/>
    </row>
    <row r="20" spans="1:8" ht="18" customHeight="1" x14ac:dyDescent="0.75">
      <c r="A20" s="19"/>
      <c r="B20" s="11" t="s">
        <v>463</v>
      </c>
      <c r="C20" s="162">
        <f>SUM(C4:C15)</f>
        <v>1</v>
      </c>
      <c r="D20" s="112">
        <f>SUM(D4:D15)</f>
        <v>0.62799999999999989</v>
      </c>
    </row>
    <row r="21" spans="1:8" ht="18" customHeight="1" x14ac:dyDescent="0.75">
      <c r="A21" s="19"/>
      <c r="B21" s="11" t="s">
        <v>469</v>
      </c>
      <c r="C21" s="112">
        <f>C20+C18</f>
        <v>1.3720000000000001</v>
      </c>
      <c r="D21" s="112">
        <f>D20+D18</f>
        <v>1</v>
      </c>
    </row>
    <row r="22" spans="1:8" ht="18" customHeight="1" x14ac:dyDescent="0.75">
      <c r="A22" s="19"/>
      <c r="B22" s="11"/>
      <c r="C22" s="12"/>
      <c r="D22" s="8"/>
    </row>
    <row r="23" spans="1:8" ht="18" customHeight="1" x14ac:dyDescent="0.75">
      <c r="A23" s="19"/>
      <c r="B23" s="11"/>
      <c r="C23" s="12"/>
      <c r="D23" s="8"/>
    </row>
    <row r="24" spans="1:8" ht="18" customHeight="1" x14ac:dyDescent="0.75">
      <c r="A24" s="19"/>
      <c r="B24" s="156" t="s">
        <v>521</v>
      </c>
      <c r="C24" s="12"/>
      <c r="D24" s="8"/>
    </row>
    <row r="25" spans="1:8" ht="33.75" customHeight="1" x14ac:dyDescent="0.75">
      <c r="A25" s="19"/>
      <c r="B25" s="392" t="s">
        <v>28</v>
      </c>
      <c r="C25" s="393" t="s">
        <v>30</v>
      </c>
      <c r="D25" s="348"/>
    </row>
    <row r="26" spans="1:8" ht="16.5" customHeight="1" x14ac:dyDescent="0.75">
      <c r="A26" s="19"/>
      <c r="B26" s="394" t="s">
        <v>30</v>
      </c>
      <c r="C26" s="395">
        <f>C45*$D$8</f>
        <v>2086.2792481017927</v>
      </c>
      <c r="D26" s="361" t="s">
        <v>85</v>
      </c>
    </row>
    <row r="27" spans="1:8" ht="14.25" customHeight="1" x14ac:dyDescent="0.75">
      <c r="B27" s="362" t="s">
        <v>32</v>
      </c>
      <c r="C27" s="396">
        <v>0</v>
      </c>
      <c r="D27" s="364" t="s">
        <v>86</v>
      </c>
    </row>
    <row r="28" spans="1:8" ht="16.5" customHeight="1" x14ac:dyDescent="0.75">
      <c r="A28" s="19"/>
      <c r="B28" s="362" t="s">
        <v>34</v>
      </c>
      <c r="C28" s="397">
        <f>SUM($D$11:$D$12)*C45</f>
        <v>13727.717452509794</v>
      </c>
      <c r="D28" s="361" t="s">
        <v>87</v>
      </c>
    </row>
    <row r="29" spans="1:8" ht="16.5" customHeight="1" x14ac:dyDescent="0.75">
      <c r="A29" s="19"/>
      <c r="B29" s="362" t="s">
        <v>36</v>
      </c>
      <c r="C29" s="397">
        <f>$D$10*$C$45</f>
        <v>0</v>
      </c>
      <c r="D29" s="361" t="s">
        <v>88</v>
      </c>
    </row>
    <row r="30" spans="1:8" ht="16.5" customHeight="1" x14ac:dyDescent="0.75">
      <c r="A30" s="19"/>
      <c r="B30" s="362" t="s">
        <v>38</v>
      </c>
      <c r="C30" s="398">
        <f>$D4*$C$45*C17</f>
        <v>10222.768315698782</v>
      </c>
      <c r="D30" s="366" t="s">
        <v>89</v>
      </c>
    </row>
    <row r="31" spans="1:8" ht="16.5" customHeight="1" x14ac:dyDescent="0.75">
      <c r="A31" s="19"/>
      <c r="B31" s="362" t="s">
        <v>40</v>
      </c>
      <c r="C31" s="398">
        <f>$D5*$C$45*C17</f>
        <v>0</v>
      </c>
      <c r="D31" s="366" t="s">
        <v>90</v>
      </c>
    </row>
    <row r="32" spans="1:8" ht="16.5" customHeight="1" x14ac:dyDescent="0.75">
      <c r="A32" s="19"/>
      <c r="B32" s="362" t="s">
        <v>41</v>
      </c>
      <c r="C32" s="398">
        <f>$D6*$C$45*C17</f>
        <v>2211.4560029878999</v>
      </c>
      <c r="D32" s="366" t="s">
        <v>91</v>
      </c>
    </row>
    <row r="33" spans="1:8" ht="16.5" customHeight="1" x14ac:dyDescent="0.75">
      <c r="A33" s="19"/>
      <c r="B33" s="362" t="s">
        <v>42</v>
      </c>
      <c r="C33" s="398">
        <f>$D7*$C$45*C17</f>
        <v>0</v>
      </c>
      <c r="D33" s="366" t="s">
        <v>92</v>
      </c>
    </row>
    <row r="34" spans="1:8" ht="16.5" customHeight="1" x14ac:dyDescent="0.75">
      <c r="A34" s="19"/>
      <c r="B34" s="362" t="s">
        <v>43</v>
      </c>
      <c r="C34" s="398">
        <f>D18*C$45*C16</f>
        <v>24716.429308721879</v>
      </c>
      <c r="D34" s="366" t="s">
        <v>93</v>
      </c>
    </row>
    <row r="35" spans="1:8" ht="16.5" customHeight="1" x14ac:dyDescent="0.75">
      <c r="A35" s="19"/>
      <c r="B35" s="362" t="s">
        <v>45</v>
      </c>
      <c r="C35" s="398">
        <v>0</v>
      </c>
      <c r="D35" s="366" t="s">
        <v>94</v>
      </c>
      <c r="G35" s="109">
        <f>Restaurants!C27</f>
        <v>937.91432678942351</v>
      </c>
    </row>
    <row r="36" spans="1:8" ht="16.5" customHeight="1" x14ac:dyDescent="0.75">
      <c r="A36" s="19"/>
      <c r="B36" s="362" t="s">
        <v>47</v>
      </c>
      <c r="C36" s="398">
        <v>0</v>
      </c>
      <c r="D36" s="366" t="s">
        <v>94</v>
      </c>
      <c r="G36" s="110">
        <f>+Lodges!C27</f>
        <v>524.96501343809587</v>
      </c>
    </row>
    <row r="37" spans="1:8" ht="16.5" customHeight="1" x14ac:dyDescent="0.75">
      <c r="A37" s="19"/>
      <c r="B37" s="362" t="s">
        <v>48</v>
      </c>
      <c r="C37" s="398">
        <v>0</v>
      </c>
      <c r="D37" s="366" t="s">
        <v>95</v>
      </c>
      <c r="G37" s="110">
        <f>+SUM(Households!C30:D30)</f>
        <v>47063.950104221673</v>
      </c>
    </row>
    <row r="38" spans="1:8" ht="16.5" customHeight="1" x14ac:dyDescent="0.75">
      <c r="A38" s="19"/>
      <c r="B38" s="362" t="s">
        <v>50</v>
      </c>
      <c r="C38" s="398">
        <v>0</v>
      </c>
      <c r="D38" s="366" t="s">
        <v>96</v>
      </c>
      <c r="G38" s="110">
        <f>+NatParkPA!C27</f>
        <v>0</v>
      </c>
    </row>
    <row r="39" spans="1:8" ht="16.5" customHeight="1" x14ac:dyDescent="0.75">
      <c r="A39" s="19"/>
      <c r="B39" s="362" t="s">
        <v>52</v>
      </c>
      <c r="C39" s="398">
        <v>0</v>
      </c>
      <c r="D39" s="366" t="s">
        <v>97</v>
      </c>
      <c r="G39" s="110">
        <f>+ Tourism!C26</f>
        <v>2101.1881256969564</v>
      </c>
    </row>
    <row r="40" spans="1:8" ht="16.5" customHeight="1" x14ac:dyDescent="0.75">
      <c r="A40" s="19"/>
      <c r="B40" s="362" t="s">
        <v>54</v>
      </c>
      <c r="C40" s="398">
        <v>0</v>
      </c>
      <c r="D40" s="366" t="s">
        <v>98</v>
      </c>
    </row>
    <row r="41" spans="1:8" ht="16.5" customHeight="1" x14ac:dyDescent="0.75">
      <c r="A41" s="19"/>
      <c r="B41" s="329" t="s">
        <v>570</v>
      </c>
      <c r="C41" s="481">
        <f>$D$14*$C$45</f>
        <v>1251.7675488610753</v>
      </c>
      <c r="D41" s="346" t="s">
        <v>571</v>
      </c>
    </row>
    <row r="42" spans="1:8" ht="16.5" customHeight="1" x14ac:dyDescent="0.75">
      <c r="A42" s="19"/>
      <c r="B42" s="329" t="s">
        <v>57</v>
      </c>
      <c r="C42" s="481">
        <f>$D$15*$C$45</f>
        <v>0</v>
      </c>
      <c r="D42" s="354" t="s">
        <v>572</v>
      </c>
    </row>
    <row r="43" spans="1:8" ht="16.5" customHeight="1" x14ac:dyDescent="0.75">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75">
      <c r="A44" s="19"/>
      <c r="B44" s="362" t="s">
        <v>61</v>
      </c>
      <c r="C44" s="400">
        <f>SUM(C26:C43)</f>
        <v>66442.014270757732</v>
      </c>
      <c r="D44" s="366" t="s">
        <v>100</v>
      </c>
    </row>
    <row r="45" spans="1:8" ht="16.5" customHeight="1" x14ac:dyDescent="0.75">
      <c r="A45" s="19"/>
      <c r="B45" s="362" t="s">
        <v>63</v>
      </c>
      <c r="C45" s="401">
        <f>(Restaurants!C27+Lodges!C27+SUM(Households!C30:D30)+NatParkPA!C27+Tourism!C26+Tourists!C25+ComRevSh!C25)/(1-SUM(D8:D12))</f>
        <v>66442.014270757732</v>
      </c>
      <c r="D45" s="366" t="s">
        <v>101</v>
      </c>
      <c r="F45" s="127" t="s">
        <v>466</v>
      </c>
      <c r="G45" s="127"/>
      <c r="H45" s="127"/>
    </row>
    <row r="46" spans="1:8" ht="16.5" customHeight="1" x14ac:dyDescent="0.75">
      <c r="A46" s="19"/>
      <c r="B46" s="362" t="s">
        <v>65</v>
      </c>
      <c r="C46" s="398">
        <f>C45-C44</f>
        <v>0</v>
      </c>
      <c r="D46" s="366" t="s">
        <v>102</v>
      </c>
      <c r="F46" s="127"/>
      <c r="G46" s="160">
        <f>(1-SUM(D8:D12))</f>
        <v>0.76198800000000011</v>
      </c>
    </row>
    <row r="47" spans="1:8" ht="16.5" customHeight="1" x14ac:dyDescent="0.75">
      <c r="A47" s="19"/>
      <c r="B47" s="362" t="s">
        <v>67</v>
      </c>
      <c r="C47" s="402">
        <f>C46/C45</f>
        <v>0</v>
      </c>
      <c r="D47" s="366" t="s">
        <v>103</v>
      </c>
      <c r="G47" s="108">
        <f>(Restaurants!C27+Lodges!C27+SUM(Households!C30:D30)+NatParkPA!C27+ Tourism!C26 + Tourists!C25 + ComRevSh!C25 )/0.6605</f>
        <v>76651.04855434694</v>
      </c>
    </row>
    <row r="48" spans="1:8" ht="33.75" customHeight="1" x14ac:dyDescent="0.75">
      <c r="A48" s="19"/>
      <c r="B48" s="403" t="s">
        <v>104</v>
      </c>
      <c r="C48" s="404">
        <f>C34/C45</f>
        <v>0.37200000000000005</v>
      </c>
      <c r="D48" s="377"/>
      <c r="H48" s="8"/>
    </row>
    <row r="49" spans="1:8" ht="33.75" customHeight="1" x14ac:dyDescent="0.75">
      <c r="A49" s="19"/>
      <c r="H49" s="8"/>
    </row>
    <row r="50" spans="1:8" ht="33.75" customHeight="1" x14ac:dyDescent="0.75">
      <c r="A50" s="19"/>
      <c r="C50" s="22"/>
      <c r="D50" s="124"/>
      <c r="H50" s="8"/>
    </row>
    <row r="51" spans="1:8" ht="33.75" customHeight="1" x14ac:dyDescent="0.75">
      <c r="A51" s="19"/>
      <c r="H51" s="8"/>
    </row>
    <row r="52" spans="1:8" ht="33.75" customHeight="1" x14ac:dyDescent="0.75">
      <c r="A52" s="19"/>
      <c r="B52" s="23" t="s">
        <v>467</v>
      </c>
      <c r="H52" s="8"/>
    </row>
    <row r="53" spans="1:8" ht="20" customHeight="1" x14ac:dyDescent="0.75">
      <c r="A53" s="19"/>
      <c r="B53" s="24" t="s">
        <v>0</v>
      </c>
      <c r="C53" s="25" t="s">
        <v>1</v>
      </c>
      <c r="D53" s="26" t="s">
        <v>2</v>
      </c>
      <c r="E53" s="26" t="s">
        <v>3</v>
      </c>
      <c r="F53" s="26" t="s">
        <v>4</v>
      </c>
      <c r="G53" s="27" t="s">
        <v>5</v>
      </c>
      <c r="H53" s="8"/>
    </row>
    <row r="54" spans="1:8" ht="20" customHeight="1" x14ac:dyDescent="0.75">
      <c r="A54" s="19"/>
      <c r="B54" s="175" t="s">
        <v>71</v>
      </c>
      <c r="C54" s="176">
        <f t="shared" ref="C54:C63" si="1">C4*100</f>
        <v>24.5</v>
      </c>
      <c r="D54" s="177" t="s">
        <v>396</v>
      </c>
      <c r="E54" s="178">
        <v>0</v>
      </c>
      <c r="F54" s="178">
        <v>100</v>
      </c>
      <c r="G54" s="179">
        <v>0.01</v>
      </c>
      <c r="H54" s="8"/>
    </row>
    <row r="55" spans="1:8" ht="28" customHeight="1" x14ac:dyDescent="0.75">
      <c r="A55" s="19"/>
      <c r="B55" s="175" t="s">
        <v>73</v>
      </c>
      <c r="C55" s="176">
        <f t="shared" si="1"/>
        <v>0</v>
      </c>
      <c r="D55" s="180" t="s">
        <v>397</v>
      </c>
      <c r="E55" s="181">
        <v>0</v>
      </c>
      <c r="F55" s="181">
        <v>100</v>
      </c>
      <c r="G55" s="182">
        <v>0.01</v>
      </c>
      <c r="H55" s="8"/>
    </row>
    <row r="56" spans="1:8" ht="20" customHeight="1" x14ac:dyDescent="0.75">
      <c r="A56" s="19"/>
      <c r="B56" s="175" t="s">
        <v>74</v>
      </c>
      <c r="C56" s="176">
        <f t="shared" si="1"/>
        <v>5.3</v>
      </c>
      <c r="D56" s="180" t="s">
        <v>398</v>
      </c>
      <c r="E56" s="181">
        <v>0</v>
      </c>
      <c r="F56" s="181">
        <v>100</v>
      </c>
      <c r="G56" s="182">
        <v>0.01</v>
      </c>
      <c r="H56" s="8"/>
    </row>
    <row r="57" spans="1:8" ht="20" customHeight="1" x14ac:dyDescent="0.75">
      <c r="A57" s="19"/>
      <c r="B57" s="175" t="s">
        <v>75</v>
      </c>
      <c r="C57" s="176">
        <f t="shared" si="1"/>
        <v>0</v>
      </c>
      <c r="D57" s="180" t="s">
        <v>399</v>
      </c>
      <c r="E57" s="181">
        <v>0</v>
      </c>
      <c r="F57" s="181">
        <v>100</v>
      </c>
      <c r="G57" s="182">
        <v>0.01</v>
      </c>
      <c r="H57" s="8"/>
    </row>
    <row r="58" spans="1:8" ht="20" customHeight="1" x14ac:dyDescent="0.75">
      <c r="A58" s="19"/>
      <c r="B58" s="175" t="s">
        <v>107</v>
      </c>
      <c r="C58" s="176">
        <f t="shared" si="1"/>
        <v>5</v>
      </c>
      <c r="D58" s="180" t="s">
        <v>425</v>
      </c>
      <c r="E58" s="181">
        <v>0</v>
      </c>
      <c r="F58" s="181">
        <v>100</v>
      </c>
      <c r="G58" s="182">
        <v>0.01</v>
      </c>
      <c r="H58" s="8"/>
    </row>
    <row r="59" spans="1:8" ht="20" customHeight="1" x14ac:dyDescent="0.75">
      <c r="A59" s="19"/>
      <c r="B59" s="183" t="s">
        <v>496</v>
      </c>
      <c r="C59" s="176">
        <f t="shared" si="1"/>
        <v>0</v>
      </c>
      <c r="D59" s="180" t="s">
        <v>400</v>
      </c>
      <c r="E59" s="181">
        <v>0</v>
      </c>
      <c r="F59" s="181">
        <v>100</v>
      </c>
      <c r="G59" s="182">
        <v>0.01</v>
      </c>
      <c r="H59" s="8"/>
    </row>
    <row r="60" spans="1:8" ht="20" customHeight="1" x14ac:dyDescent="0.75">
      <c r="A60" s="19"/>
      <c r="B60" s="183" t="s">
        <v>108</v>
      </c>
      <c r="C60" s="176">
        <f t="shared" si="1"/>
        <v>0</v>
      </c>
      <c r="D60" s="180" t="s">
        <v>401</v>
      </c>
      <c r="E60" s="181">
        <v>0</v>
      </c>
      <c r="F60" s="181">
        <v>100</v>
      </c>
      <c r="G60" s="182">
        <v>0.01</v>
      </c>
      <c r="H60" s="8"/>
    </row>
    <row r="61" spans="1:8" ht="20" customHeight="1" x14ac:dyDescent="0.75">
      <c r="A61" s="19"/>
      <c r="B61" s="175" t="s">
        <v>78</v>
      </c>
      <c r="C61" s="176">
        <f t="shared" si="1"/>
        <v>1.8000000000000003</v>
      </c>
      <c r="D61" s="180" t="s">
        <v>402</v>
      </c>
      <c r="E61" s="181">
        <v>0</v>
      </c>
      <c r="F61" s="181">
        <v>100</v>
      </c>
      <c r="G61" s="182">
        <v>0.01</v>
      </c>
      <c r="H61" s="8"/>
    </row>
    <row r="62" spans="1:8" ht="20" customHeight="1" x14ac:dyDescent="0.75">
      <c r="A62" s="19"/>
      <c r="B62" s="175" t="s">
        <v>109</v>
      </c>
      <c r="C62" s="176">
        <f t="shared" si="1"/>
        <v>31.1</v>
      </c>
      <c r="D62" s="180" t="s">
        <v>403</v>
      </c>
      <c r="E62" s="181">
        <v>0</v>
      </c>
      <c r="F62" s="181">
        <v>100</v>
      </c>
      <c r="G62" s="182">
        <v>0.01</v>
      </c>
      <c r="H62" s="8"/>
    </row>
    <row r="63" spans="1:8" ht="28" customHeight="1" x14ac:dyDescent="0.75">
      <c r="A63" s="19"/>
      <c r="B63" s="175" t="s">
        <v>110</v>
      </c>
      <c r="C63" s="176">
        <f t="shared" si="1"/>
        <v>29.300000000000004</v>
      </c>
      <c r="D63" s="180" t="s">
        <v>404</v>
      </c>
      <c r="E63" s="181">
        <v>0</v>
      </c>
      <c r="F63" s="181">
        <v>100</v>
      </c>
      <c r="G63" s="182">
        <v>0.01</v>
      </c>
      <c r="H63" s="8"/>
    </row>
    <row r="64" spans="1:8" ht="20" customHeight="1" x14ac:dyDescent="0.75">
      <c r="A64" s="19"/>
      <c r="B64" s="175" t="s">
        <v>82</v>
      </c>
      <c r="C64" s="176">
        <f t="shared" ref="C64" si="2">C15*100</f>
        <v>0</v>
      </c>
      <c r="D64" s="180" t="s">
        <v>456</v>
      </c>
      <c r="E64" s="181">
        <v>0</v>
      </c>
      <c r="F64" s="181">
        <v>100</v>
      </c>
      <c r="G64" s="182">
        <v>0.01</v>
      </c>
      <c r="H64" s="8"/>
    </row>
    <row r="65" spans="1:8" ht="20" customHeight="1" x14ac:dyDescent="0.75">
      <c r="A65" s="19"/>
      <c r="B65" s="175" t="s">
        <v>83</v>
      </c>
      <c r="C65" s="176">
        <f t="shared" ref="C65:C66" si="3">D16*100</f>
        <v>100</v>
      </c>
      <c r="D65" s="180" t="s">
        <v>105</v>
      </c>
      <c r="E65" s="181">
        <v>0</v>
      </c>
      <c r="F65" s="181">
        <v>100</v>
      </c>
      <c r="G65" s="182">
        <v>0.01</v>
      </c>
      <c r="H65" s="8"/>
    </row>
    <row r="66" spans="1:8" ht="20" customHeight="1" x14ac:dyDescent="0.75">
      <c r="A66" s="19"/>
      <c r="B66" s="175" t="s">
        <v>84</v>
      </c>
      <c r="C66" s="176">
        <f t="shared" si="3"/>
        <v>100</v>
      </c>
      <c r="D66" s="180" t="s">
        <v>106</v>
      </c>
      <c r="E66" s="181">
        <v>0</v>
      </c>
      <c r="F66" s="181">
        <v>100</v>
      </c>
      <c r="G66" s="182">
        <v>0.01</v>
      </c>
      <c r="H66" s="8"/>
    </row>
    <row r="67" spans="1:8" ht="20" customHeight="1" x14ac:dyDescent="0.75">
      <c r="A67" s="19"/>
      <c r="B67" s="175" t="s">
        <v>387</v>
      </c>
      <c r="C67" s="176">
        <f>C18*100</f>
        <v>37.200000000000003</v>
      </c>
      <c r="D67" s="184" t="s">
        <v>390</v>
      </c>
      <c r="E67" s="185">
        <v>0</v>
      </c>
      <c r="F67" s="185">
        <v>100</v>
      </c>
      <c r="G67" s="186">
        <v>0.01</v>
      </c>
      <c r="H67" s="8"/>
    </row>
    <row r="68" spans="1:8" ht="33.75" customHeight="1" x14ac:dyDescent="0.75">
      <c r="A68" s="19"/>
      <c r="H68" s="8"/>
    </row>
    <row r="69" spans="1:8" ht="33.75" customHeight="1" x14ac:dyDescent="0.75">
      <c r="A69" s="19"/>
      <c r="C69" s="159"/>
      <c r="H69" s="8"/>
    </row>
    <row r="70" spans="1:8" ht="33.75" customHeight="1" x14ac:dyDescent="0.75">
      <c r="A70" s="19"/>
      <c r="H70" s="8"/>
    </row>
    <row r="71" spans="1:8" ht="33.75" customHeight="1" x14ac:dyDescent="0.75">
      <c r="A71" s="19"/>
      <c r="H71" s="8"/>
    </row>
    <row r="72" spans="1:8" ht="33.75" customHeight="1" x14ac:dyDescent="0.75">
      <c r="A72" s="19"/>
      <c r="H72" s="8"/>
    </row>
    <row r="73" spans="1:8" ht="33.75" customHeight="1" x14ac:dyDescent="0.75">
      <c r="A73" s="19"/>
      <c r="H73" s="8"/>
    </row>
    <row r="74" spans="1:8" ht="33.75" customHeight="1" x14ac:dyDescent="0.75">
      <c r="A74" s="19"/>
      <c r="H74" s="8"/>
    </row>
    <row r="75" spans="1:8" ht="33.75" customHeight="1" x14ac:dyDescent="0.75">
      <c r="A75" s="19"/>
      <c r="H75" s="8"/>
    </row>
    <row r="76" spans="1:8" ht="33.75" customHeight="1" x14ac:dyDescent="0.75">
      <c r="A76" s="19"/>
      <c r="H76" s="8"/>
    </row>
    <row r="77" spans="1:8" ht="33.75" customHeight="1" x14ac:dyDescent="0.75">
      <c r="A77" s="19"/>
      <c r="H77" s="8"/>
    </row>
    <row r="78" spans="1:8" ht="33.75" customHeight="1" x14ac:dyDescent="0.75">
      <c r="A78" s="19"/>
      <c r="H78" s="8"/>
    </row>
    <row r="79" spans="1:8" ht="33.75" customHeight="1" x14ac:dyDescent="0.75">
      <c r="A79" s="19"/>
      <c r="H79" s="8"/>
    </row>
    <row r="80" spans="1:8" ht="33.75" customHeight="1" x14ac:dyDescent="0.75">
      <c r="A80" s="19"/>
      <c r="H80" s="8"/>
    </row>
    <row r="81" spans="1:8" ht="33.75" customHeight="1" x14ac:dyDescent="0.75">
      <c r="A81" s="19"/>
      <c r="H81" s="8"/>
    </row>
    <row r="82" spans="1:8" ht="33.75" customHeight="1" x14ac:dyDescent="0.75">
      <c r="A82" s="19"/>
      <c r="H82" s="8"/>
    </row>
    <row r="83" spans="1:8" ht="33.75" customHeight="1" x14ac:dyDescent="0.75">
      <c r="A83" s="19"/>
      <c r="H83" s="8"/>
    </row>
    <row r="84" spans="1:8" ht="33.75" customHeight="1" x14ac:dyDescent="0.75">
      <c r="A84" s="19"/>
      <c r="H84" s="8"/>
    </row>
    <row r="85" spans="1:8" ht="33.75" customHeight="1" x14ac:dyDescent="0.75">
      <c r="A85" s="19"/>
      <c r="H85" s="8"/>
    </row>
    <row r="86" spans="1:8" ht="33.75" customHeight="1" x14ac:dyDescent="0.75">
      <c r="A86" s="19"/>
      <c r="H86" s="8"/>
    </row>
    <row r="87" spans="1:8" ht="33.75" customHeight="1" x14ac:dyDescent="0.75">
      <c r="A87" s="19"/>
      <c r="H87" s="8"/>
    </row>
    <row r="88" spans="1:8" ht="33.75" customHeight="1" x14ac:dyDescent="0.75">
      <c r="A88" s="19"/>
      <c r="H88" s="8"/>
    </row>
    <row r="89" spans="1:8" ht="33.75" customHeight="1" x14ac:dyDescent="0.75">
      <c r="A89" s="19"/>
      <c r="H89" s="8"/>
    </row>
    <row r="90" spans="1:8" ht="33.75" customHeight="1" x14ac:dyDescent="0.75">
      <c r="A90" s="19"/>
      <c r="H90" s="8"/>
    </row>
    <row r="91" spans="1:8" ht="33.75" customHeight="1" x14ac:dyDescent="0.75">
      <c r="A91" s="19"/>
      <c r="H91" s="8"/>
    </row>
    <row r="92" spans="1:8" ht="33.75" customHeight="1" x14ac:dyDescent="0.75">
      <c r="A92" s="19"/>
      <c r="H92" s="8"/>
    </row>
    <row r="93" spans="1:8" ht="33.75" customHeight="1" x14ac:dyDescent="0.75">
      <c r="A93" s="19"/>
      <c r="H93" s="8"/>
    </row>
    <row r="94" spans="1:8" ht="33.75" customHeight="1" x14ac:dyDescent="0.75">
      <c r="A94" s="19"/>
      <c r="H94" s="8"/>
    </row>
    <row r="95" spans="1:8" ht="33.75" customHeight="1" x14ac:dyDescent="0.75">
      <c r="A95" s="19"/>
      <c r="H95" s="8"/>
    </row>
    <row r="96" spans="1:8" ht="33.75" customHeight="1" x14ac:dyDescent="0.75">
      <c r="A96" s="19"/>
      <c r="H96" s="8"/>
    </row>
    <row r="97" spans="1:8" ht="33.75" customHeight="1" x14ac:dyDescent="0.75">
      <c r="A97" s="19"/>
      <c r="H97" s="8"/>
    </row>
    <row r="98" spans="1:8" ht="33.75" customHeight="1" x14ac:dyDescent="0.75">
      <c r="A98" s="19"/>
      <c r="H98" s="8"/>
    </row>
    <row r="99" spans="1:8" ht="33.75" customHeight="1" x14ac:dyDescent="0.75">
      <c r="A99" s="19"/>
      <c r="H99" s="8"/>
    </row>
    <row r="100" spans="1:8" ht="33.75" customHeight="1" x14ac:dyDescent="0.75">
      <c r="A100" s="19"/>
      <c r="H100" s="8"/>
    </row>
    <row r="101" spans="1:8" ht="33.75" customHeight="1" x14ac:dyDescent="0.75">
      <c r="A101" s="19"/>
      <c r="H101" s="8"/>
    </row>
    <row r="102" spans="1:8" ht="33.75" customHeight="1" x14ac:dyDescent="0.75">
      <c r="A102" s="19"/>
      <c r="H102" s="8"/>
    </row>
    <row r="103" spans="1:8" ht="33.75" customHeight="1" x14ac:dyDescent="0.75">
      <c r="A103" s="19"/>
      <c r="H103" s="8"/>
    </row>
    <row r="104" spans="1:8" ht="33.75" customHeight="1" x14ac:dyDescent="0.75">
      <c r="A104" s="19"/>
      <c r="H104" s="8"/>
    </row>
    <row r="105" spans="1:8" ht="33.75" customHeight="1" x14ac:dyDescent="0.75">
      <c r="A105" s="19"/>
      <c r="H105" s="8"/>
    </row>
    <row r="106" spans="1:8" ht="33.75" customHeight="1" x14ac:dyDescent="0.75">
      <c r="A106" s="19"/>
      <c r="H106" s="8"/>
    </row>
    <row r="107" spans="1:8" ht="33.75" customHeight="1" x14ac:dyDescent="0.75">
      <c r="A107" s="19"/>
      <c r="H107" s="8"/>
    </row>
    <row r="108" spans="1:8" ht="33.75" customHeight="1" x14ac:dyDescent="0.75">
      <c r="A108" s="19"/>
      <c r="H108" s="8"/>
    </row>
    <row r="109" spans="1:8" ht="33.75" customHeight="1" x14ac:dyDescent="0.75">
      <c r="A109" s="19"/>
      <c r="H109" s="8"/>
    </row>
    <row r="110" spans="1:8" ht="33.75" customHeight="1" x14ac:dyDescent="0.75">
      <c r="A110" s="19"/>
      <c r="H110" s="8"/>
    </row>
    <row r="111" spans="1:8" ht="33.75" customHeight="1" x14ac:dyDescent="0.75">
      <c r="A111" s="19"/>
      <c r="H111" s="8"/>
    </row>
    <row r="112" spans="1:8" ht="33.75" customHeight="1" x14ac:dyDescent="0.75">
      <c r="A112" s="19"/>
      <c r="H112" s="8"/>
    </row>
    <row r="113" spans="1:8" ht="33.75" customHeight="1" x14ac:dyDescent="0.75">
      <c r="A113" s="19"/>
      <c r="H113" s="8"/>
    </row>
    <row r="114" spans="1:8" ht="33.75" customHeight="1" x14ac:dyDescent="0.75">
      <c r="A114" s="19"/>
      <c r="H114" s="8"/>
    </row>
    <row r="115" spans="1:8" ht="33.75" customHeight="1" x14ac:dyDescent="0.75">
      <c r="A115" s="19"/>
      <c r="H115" s="8"/>
    </row>
    <row r="116" spans="1:8" ht="33.75" customHeight="1" x14ac:dyDescent="0.75">
      <c r="A116" s="19"/>
      <c r="H116" s="8"/>
    </row>
    <row r="117" spans="1:8" ht="33.75" customHeight="1" x14ac:dyDescent="0.75">
      <c r="A117" s="19"/>
      <c r="H117" s="8"/>
    </row>
    <row r="118" spans="1:8" ht="33.75" customHeight="1" x14ac:dyDescent="0.75">
      <c r="A118" s="19"/>
      <c r="H118" s="8"/>
    </row>
    <row r="119" spans="1:8" ht="33.75" customHeight="1" x14ac:dyDescent="0.75">
      <c r="A119" s="19"/>
      <c r="H119" s="8"/>
    </row>
    <row r="120" spans="1:8" ht="33.75" customHeight="1" x14ac:dyDescent="0.75">
      <c r="A120" s="19"/>
      <c r="H120" s="8"/>
    </row>
    <row r="121" spans="1:8" ht="33.75" customHeight="1" x14ac:dyDescent="0.75">
      <c r="A121" s="19"/>
      <c r="H121" s="8"/>
    </row>
    <row r="122" spans="1:8" ht="33.75" customHeight="1" x14ac:dyDescent="0.75">
      <c r="A122" s="19"/>
      <c r="H122" s="8"/>
    </row>
    <row r="123" spans="1:8" ht="33.75" customHeight="1" x14ac:dyDescent="0.75">
      <c r="A123" s="19"/>
      <c r="H123" s="8"/>
    </row>
    <row r="124" spans="1:8" ht="33.75" customHeight="1" x14ac:dyDescent="0.75">
      <c r="A124" s="19"/>
      <c r="H124" s="8"/>
    </row>
    <row r="125" spans="1:8" ht="33.75" customHeight="1" x14ac:dyDescent="0.75">
      <c r="A125" s="19"/>
      <c r="H125" s="8"/>
    </row>
    <row r="126" spans="1:8" ht="33.75" customHeight="1" x14ac:dyDescent="0.75">
      <c r="A126" s="19"/>
      <c r="H126" s="8"/>
    </row>
    <row r="127" spans="1:8" ht="33.75" customHeight="1" x14ac:dyDescent="0.75">
      <c r="A127" s="19"/>
      <c r="H127" s="8"/>
    </row>
    <row r="128" spans="1:8" ht="33.75" customHeight="1" x14ac:dyDescent="0.75">
      <c r="A128" s="19"/>
      <c r="H128" s="8"/>
    </row>
    <row r="129" spans="1:8" ht="33.75" customHeight="1" x14ac:dyDescent="0.75">
      <c r="A129" s="19"/>
      <c r="H129" s="8"/>
    </row>
    <row r="130" spans="1:8" ht="33.75" customHeight="1" x14ac:dyDescent="0.75">
      <c r="A130" s="19"/>
      <c r="H130" s="8"/>
    </row>
    <row r="131" spans="1:8" ht="33.75" customHeight="1" x14ac:dyDescent="0.75">
      <c r="A131" s="19"/>
      <c r="H131" s="8"/>
    </row>
    <row r="132" spans="1:8" ht="33.75" customHeight="1" x14ac:dyDescent="0.75">
      <c r="A132" s="19"/>
      <c r="H132" s="8"/>
    </row>
    <row r="133" spans="1:8" ht="33.75" customHeight="1" x14ac:dyDescent="0.75">
      <c r="A133" s="19"/>
      <c r="H133" s="8"/>
    </row>
    <row r="134" spans="1:8" ht="33.75" customHeight="1" x14ac:dyDescent="0.75">
      <c r="A134" s="19"/>
      <c r="H134" s="8"/>
    </row>
    <row r="135" spans="1:8" ht="33.75" customHeight="1" x14ac:dyDescent="0.75">
      <c r="A135" s="19"/>
      <c r="H135" s="8"/>
    </row>
    <row r="136" spans="1:8" ht="33.75" customHeight="1" x14ac:dyDescent="0.75">
      <c r="A136" s="19"/>
      <c r="H136" s="8"/>
    </row>
    <row r="137" spans="1:8" ht="33.75" customHeight="1" x14ac:dyDescent="0.75">
      <c r="A137" s="19"/>
      <c r="H137" s="8"/>
    </row>
    <row r="138" spans="1:8" ht="33.75" customHeight="1" x14ac:dyDescent="0.75">
      <c r="A138" s="19"/>
      <c r="H138" s="8"/>
    </row>
    <row r="139" spans="1:8" ht="33.75" customHeight="1" x14ac:dyDescent="0.75">
      <c r="A139" s="19"/>
      <c r="H139" s="8"/>
    </row>
    <row r="140" spans="1:8" ht="33.75" customHeight="1" x14ac:dyDescent="0.75">
      <c r="A140" s="19"/>
      <c r="H140" s="8"/>
    </row>
    <row r="141" spans="1:8" ht="33.75" customHeight="1" x14ac:dyDescent="0.75">
      <c r="A141" s="19"/>
      <c r="H141" s="8"/>
    </row>
    <row r="142" spans="1:8" ht="33.75" customHeight="1" x14ac:dyDescent="0.75">
      <c r="A142" s="19"/>
      <c r="H142" s="8"/>
    </row>
    <row r="143" spans="1:8" ht="33.75" customHeight="1" x14ac:dyDescent="0.75">
      <c r="A143" s="19"/>
      <c r="H143" s="8"/>
    </row>
    <row r="144" spans="1:8" ht="33.75" customHeight="1" x14ac:dyDescent="0.75">
      <c r="A144" s="19"/>
      <c r="H144" s="8"/>
    </row>
    <row r="145" spans="1:8" ht="33.75" customHeight="1" x14ac:dyDescent="0.75">
      <c r="A145" s="19"/>
      <c r="H145" s="8"/>
    </row>
    <row r="146" spans="1:8" ht="33.75" customHeight="1" x14ac:dyDescent="0.75">
      <c r="A146" s="19"/>
      <c r="H146" s="8"/>
    </row>
    <row r="147" spans="1:8" ht="33.75" customHeight="1" x14ac:dyDescent="0.75">
      <c r="A147" s="19"/>
      <c r="H147" s="8"/>
    </row>
    <row r="148" spans="1:8" ht="33.75" customHeight="1" x14ac:dyDescent="0.75">
      <c r="A148" s="19"/>
      <c r="H148" s="8"/>
    </row>
    <row r="149" spans="1:8" ht="33.75" customHeight="1" x14ac:dyDescent="0.75">
      <c r="A149" s="19"/>
      <c r="H149" s="8"/>
    </row>
    <row r="150" spans="1:8" ht="33.75" customHeight="1" x14ac:dyDescent="0.75">
      <c r="A150" s="19"/>
      <c r="H150" s="8"/>
    </row>
    <row r="151" spans="1:8" ht="33.75" customHeight="1" x14ac:dyDescent="0.75">
      <c r="A151" s="19"/>
      <c r="H151" s="8"/>
    </row>
    <row r="152" spans="1:8" ht="33.75" customHeight="1" x14ac:dyDescent="0.75">
      <c r="A152" s="19"/>
      <c r="H152" s="8"/>
    </row>
    <row r="153" spans="1:8" ht="33.75" customHeight="1" x14ac:dyDescent="0.75">
      <c r="A153" s="19"/>
      <c r="H153" s="8"/>
    </row>
    <row r="154" spans="1:8" ht="33.75" customHeight="1" x14ac:dyDescent="0.75">
      <c r="A154" s="19"/>
      <c r="H154" s="8"/>
    </row>
    <row r="155" spans="1:8" ht="33.75" customHeight="1" x14ac:dyDescent="0.75">
      <c r="A155" s="19"/>
      <c r="H155" s="8"/>
    </row>
    <row r="156" spans="1:8" ht="33.75" customHeight="1" x14ac:dyDescent="0.75">
      <c r="A156" s="19"/>
      <c r="H156" s="8"/>
    </row>
    <row r="157" spans="1:8" ht="33.75" customHeight="1" x14ac:dyDescent="0.75">
      <c r="A157" s="19"/>
      <c r="H157" s="8"/>
    </row>
    <row r="158" spans="1:8" ht="33.75" customHeight="1" x14ac:dyDescent="0.75">
      <c r="A158" s="19"/>
      <c r="H158" s="8"/>
    </row>
    <row r="159" spans="1:8" ht="33.75" customHeight="1" x14ac:dyDescent="0.75">
      <c r="A159" s="19"/>
      <c r="H159" s="8"/>
    </row>
    <row r="160" spans="1:8" ht="33.75" customHeight="1" x14ac:dyDescent="0.75">
      <c r="A160" s="19"/>
      <c r="H160" s="8"/>
    </row>
    <row r="161" spans="1:8" ht="33.75" customHeight="1" x14ac:dyDescent="0.75">
      <c r="A161" s="19"/>
      <c r="H161" s="8"/>
    </row>
    <row r="162" spans="1:8" ht="33.75" customHeight="1" x14ac:dyDescent="0.75">
      <c r="A162" s="19"/>
      <c r="H162" s="8"/>
    </row>
    <row r="163" spans="1:8" ht="33.75" customHeight="1" x14ac:dyDescent="0.75">
      <c r="A163" s="19"/>
      <c r="H163" s="8"/>
    </row>
    <row r="164" spans="1:8" ht="33.75" customHeight="1" x14ac:dyDescent="0.75">
      <c r="A164" s="19"/>
      <c r="H164" s="8"/>
    </row>
    <row r="165" spans="1:8" ht="33.75" customHeight="1" x14ac:dyDescent="0.75">
      <c r="A165" s="19"/>
      <c r="H165" s="8"/>
    </row>
    <row r="166" spans="1:8" ht="33.75" customHeight="1" x14ac:dyDescent="0.75">
      <c r="A166" s="19"/>
      <c r="H166" s="8"/>
    </row>
    <row r="167" spans="1:8" ht="33.75" customHeight="1" x14ac:dyDescent="0.75">
      <c r="A167" s="19"/>
      <c r="H167" s="8"/>
    </row>
    <row r="168" spans="1:8" ht="33.75" customHeight="1" x14ac:dyDescent="0.75">
      <c r="A168" s="19"/>
      <c r="H168" s="8"/>
    </row>
    <row r="169" spans="1:8" ht="33.75" customHeight="1" x14ac:dyDescent="0.75">
      <c r="A169" s="19"/>
      <c r="H169" s="8"/>
    </row>
    <row r="170" spans="1:8" ht="33.75" customHeight="1" x14ac:dyDescent="0.75">
      <c r="A170" s="19"/>
      <c r="H170" s="8"/>
    </row>
    <row r="171" spans="1:8" ht="33.75" customHeight="1" x14ac:dyDescent="0.75">
      <c r="A171" s="19"/>
      <c r="H171" s="8"/>
    </row>
    <row r="172" spans="1:8" ht="33.75" customHeight="1" x14ac:dyDescent="0.75">
      <c r="A172" s="19"/>
      <c r="H172" s="8"/>
    </row>
    <row r="173" spans="1:8" ht="33.75" customHeight="1" x14ac:dyDescent="0.75">
      <c r="A173" s="19"/>
      <c r="H173" s="8"/>
    </row>
    <row r="174" spans="1:8" ht="33.75" customHeight="1" x14ac:dyDescent="0.75">
      <c r="A174" s="19"/>
      <c r="H174" s="8"/>
    </row>
    <row r="175" spans="1:8" ht="33.75" customHeight="1" x14ac:dyDescent="0.75">
      <c r="A175" s="19"/>
      <c r="H175" s="8"/>
    </row>
    <row r="176" spans="1:8" ht="33.75" customHeight="1" x14ac:dyDescent="0.75">
      <c r="A176" s="19"/>
      <c r="H176" s="8"/>
    </row>
    <row r="177" spans="1:8" ht="33.75" customHeight="1" x14ac:dyDescent="0.75">
      <c r="A177" s="19"/>
      <c r="H177" s="8"/>
    </row>
    <row r="178" spans="1:8" ht="33.75" customHeight="1" x14ac:dyDescent="0.75">
      <c r="A178" s="19"/>
      <c r="H178" s="8"/>
    </row>
    <row r="179" spans="1:8" ht="33.75" customHeight="1" x14ac:dyDescent="0.75">
      <c r="A179" s="19"/>
      <c r="H179" s="8"/>
    </row>
    <row r="180" spans="1:8" ht="33.75" customHeight="1" x14ac:dyDescent="0.75">
      <c r="A180" s="19"/>
      <c r="H180" s="8"/>
    </row>
    <row r="181" spans="1:8" ht="33.75" customHeight="1" x14ac:dyDescent="0.75">
      <c r="A181" s="19"/>
      <c r="H181" s="8"/>
    </row>
    <row r="182" spans="1:8" ht="33.75" customHeight="1" x14ac:dyDescent="0.75">
      <c r="A182" s="19"/>
      <c r="H182" s="8"/>
    </row>
    <row r="183" spans="1:8" ht="33.75" customHeight="1" x14ac:dyDescent="0.75">
      <c r="A183" s="19"/>
      <c r="H183" s="8"/>
    </row>
    <row r="184" spans="1:8" ht="33.75" customHeight="1" x14ac:dyDescent="0.75">
      <c r="A184" s="19"/>
      <c r="H184" s="8"/>
    </row>
    <row r="185" spans="1:8" ht="33.75" customHeight="1" x14ac:dyDescent="0.75">
      <c r="A185" s="19"/>
      <c r="H185" s="8"/>
    </row>
    <row r="186" spans="1:8" ht="33.75" customHeight="1" x14ac:dyDescent="0.75">
      <c r="A186" s="19"/>
      <c r="H186" s="8"/>
    </row>
    <row r="187" spans="1:8" ht="33.75" customHeight="1" x14ac:dyDescent="0.75">
      <c r="A187" s="19"/>
      <c r="H187" s="8"/>
    </row>
    <row r="188" spans="1:8" ht="33.75" customHeight="1" x14ac:dyDescent="0.75">
      <c r="A188" s="19"/>
      <c r="H188" s="8"/>
    </row>
    <row r="189" spans="1:8" ht="33.75" customHeight="1" x14ac:dyDescent="0.75">
      <c r="A189" s="19"/>
      <c r="H189" s="8"/>
    </row>
    <row r="190" spans="1:8" ht="33.75" customHeight="1" x14ac:dyDescent="0.75">
      <c r="A190" s="19"/>
      <c r="H190" s="8"/>
    </row>
    <row r="191" spans="1:8" ht="33.75" customHeight="1" x14ac:dyDescent="0.75">
      <c r="A191" s="19"/>
      <c r="H191" s="8"/>
    </row>
    <row r="192" spans="1:8" ht="33.75" customHeight="1" x14ac:dyDescent="0.75">
      <c r="A192" s="19"/>
      <c r="H192" s="8"/>
    </row>
    <row r="193" spans="1:8" ht="33.75" customHeight="1" x14ac:dyDescent="0.75">
      <c r="A193" s="19"/>
      <c r="H193" s="8"/>
    </row>
    <row r="194" spans="1:8" ht="33.75" customHeight="1" x14ac:dyDescent="0.75">
      <c r="A194" s="19"/>
      <c r="H194" s="8"/>
    </row>
    <row r="195" spans="1:8" ht="33.75" customHeight="1" x14ac:dyDescent="0.75">
      <c r="A195" s="19"/>
      <c r="H195" s="8"/>
    </row>
    <row r="196" spans="1:8" ht="33.75" customHeight="1" x14ac:dyDescent="0.75">
      <c r="A196" s="19"/>
      <c r="H196" s="8"/>
    </row>
    <row r="197" spans="1:8" ht="33.75" customHeight="1" x14ac:dyDescent="0.75">
      <c r="A197" s="19"/>
      <c r="H197" s="8"/>
    </row>
    <row r="198" spans="1:8" ht="33.75" customHeight="1" x14ac:dyDescent="0.75">
      <c r="A198" s="19"/>
      <c r="H198" s="8"/>
    </row>
    <row r="199" spans="1:8" ht="33.75" customHeight="1" x14ac:dyDescent="0.75">
      <c r="A199" s="19"/>
      <c r="H199" s="8"/>
    </row>
    <row r="200" spans="1:8" ht="33.75" customHeight="1" x14ac:dyDescent="0.75">
      <c r="A200" s="19"/>
      <c r="H200" s="8"/>
    </row>
    <row r="201" spans="1:8" ht="33.75" customHeight="1" x14ac:dyDescent="0.75">
      <c r="A201" s="19"/>
      <c r="H201" s="8"/>
    </row>
    <row r="202" spans="1:8" ht="33.75" customHeight="1" x14ac:dyDescent="0.75">
      <c r="A202" s="19"/>
      <c r="H202" s="8"/>
    </row>
    <row r="203" spans="1:8" ht="33.75" customHeight="1" x14ac:dyDescent="0.75">
      <c r="A203" s="19"/>
      <c r="H203" s="8"/>
    </row>
    <row r="204" spans="1:8" ht="33.75" customHeight="1" x14ac:dyDescent="0.75">
      <c r="A204" s="19"/>
      <c r="H204" s="8"/>
    </row>
    <row r="205" spans="1:8" ht="33.75" customHeight="1" x14ac:dyDescent="0.75">
      <c r="A205" s="19"/>
      <c r="H205" s="8"/>
    </row>
    <row r="206" spans="1:8" ht="33.75" customHeight="1" x14ac:dyDescent="0.75">
      <c r="A206" s="19"/>
      <c r="H206" s="8"/>
    </row>
    <row r="207" spans="1:8" ht="33.75" customHeight="1" x14ac:dyDescent="0.75">
      <c r="A207" s="19"/>
      <c r="H207" s="8"/>
    </row>
    <row r="208" spans="1:8" ht="33.75" customHeight="1" x14ac:dyDescent="0.75">
      <c r="A208" s="19"/>
      <c r="H208" s="8"/>
    </row>
    <row r="209" spans="1:8" ht="33.75" customHeight="1" x14ac:dyDescent="0.75">
      <c r="A209" s="19"/>
      <c r="H209" s="8"/>
    </row>
    <row r="210" spans="1:8" ht="33.75" customHeight="1" x14ac:dyDescent="0.75">
      <c r="A210" s="19"/>
      <c r="H210" s="8"/>
    </row>
    <row r="211" spans="1:8" ht="33.75" customHeight="1" x14ac:dyDescent="0.75">
      <c r="A211" s="19"/>
      <c r="H211" s="8"/>
    </row>
    <row r="212" spans="1:8" ht="33.75" customHeight="1" x14ac:dyDescent="0.75">
      <c r="A212" s="19"/>
      <c r="H212" s="8"/>
    </row>
    <row r="213" spans="1:8" ht="33.75" customHeight="1" x14ac:dyDescent="0.75">
      <c r="A213" s="19"/>
      <c r="H213" s="8"/>
    </row>
    <row r="214" spans="1:8" ht="33.75" customHeight="1" x14ac:dyDescent="0.75">
      <c r="A214" s="19"/>
      <c r="H214" s="8"/>
    </row>
    <row r="215" spans="1:8" ht="33.75" customHeight="1" x14ac:dyDescent="0.75">
      <c r="A215" s="19"/>
      <c r="H215" s="8"/>
    </row>
    <row r="216" spans="1:8" ht="33.75" customHeight="1" x14ac:dyDescent="0.75">
      <c r="A216" s="19"/>
      <c r="H216" s="8"/>
    </row>
    <row r="217" spans="1:8" ht="33.75" customHeight="1" x14ac:dyDescent="0.75">
      <c r="A217" s="19"/>
      <c r="H217" s="8"/>
    </row>
    <row r="218" spans="1:8" ht="33.75" customHeight="1" x14ac:dyDescent="0.75">
      <c r="A218" s="19"/>
      <c r="H218" s="8"/>
    </row>
    <row r="219" spans="1:8" ht="33.75" customHeight="1" x14ac:dyDescent="0.75">
      <c r="A219" s="19"/>
      <c r="H219" s="8"/>
    </row>
    <row r="220" spans="1:8" ht="33.75" customHeight="1" x14ac:dyDescent="0.75">
      <c r="A220" s="19"/>
      <c r="H220" s="8"/>
    </row>
    <row r="221" spans="1:8" ht="33.75" customHeight="1" x14ac:dyDescent="0.75">
      <c r="A221" s="19"/>
      <c r="H221" s="8"/>
    </row>
    <row r="222" spans="1:8" ht="33.75" customHeight="1" x14ac:dyDescent="0.75">
      <c r="A222" s="19"/>
      <c r="H222" s="8"/>
    </row>
    <row r="223" spans="1:8" ht="33.75" customHeight="1" x14ac:dyDescent="0.75">
      <c r="A223" s="19"/>
      <c r="H223" s="8"/>
    </row>
    <row r="224" spans="1:8" ht="33.75" customHeight="1" x14ac:dyDescent="0.75">
      <c r="A224" s="19"/>
      <c r="H224" s="8"/>
    </row>
    <row r="225" spans="1:8" ht="33.75" customHeight="1" x14ac:dyDescent="0.75">
      <c r="A225" s="19"/>
      <c r="H225" s="8"/>
    </row>
    <row r="226" spans="1:8" ht="33.75" customHeight="1" x14ac:dyDescent="0.75">
      <c r="A226" s="19"/>
      <c r="H226" s="8"/>
    </row>
    <row r="227" spans="1:8" ht="33.75" customHeight="1" x14ac:dyDescent="0.75">
      <c r="A227" s="19"/>
      <c r="H227" s="8"/>
    </row>
    <row r="228" spans="1:8" ht="33.75" customHeight="1" x14ac:dyDescent="0.75">
      <c r="A228" s="19"/>
      <c r="H228" s="8"/>
    </row>
    <row r="229" spans="1:8" ht="33.75" customHeight="1" x14ac:dyDescent="0.75">
      <c r="A229" s="19"/>
      <c r="H229" s="8"/>
    </row>
    <row r="230" spans="1:8" ht="33.75" customHeight="1" x14ac:dyDescent="0.75">
      <c r="A230" s="19"/>
      <c r="H230" s="8"/>
    </row>
    <row r="231" spans="1:8" ht="33.75" customHeight="1" x14ac:dyDescent="0.75">
      <c r="A231" s="19"/>
      <c r="H231" s="8"/>
    </row>
    <row r="232" spans="1:8" ht="33.75" customHeight="1" x14ac:dyDescent="0.75">
      <c r="A232" s="19"/>
      <c r="H232" s="8"/>
    </row>
    <row r="233" spans="1:8" ht="33.75" customHeight="1" x14ac:dyDescent="0.75">
      <c r="A233" s="19"/>
      <c r="H233" s="8"/>
    </row>
    <row r="234" spans="1:8" ht="33.75" customHeight="1" x14ac:dyDescent="0.75">
      <c r="A234" s="19"/>
      <c r="H234" s="8"/>
    </row>
    <row r="235" spans="1:8" ht="33.75" customHeight="1" x14ac:dyDescent="0.75">
      <c r="A235" s="19"/>
      <c r="H235" s="8"/>
    </row>
    <row r="236" spans="1:8" ht="33.75" customHeight="1" x14ac:dyDescent="0.75">
      <c r="A236" s="19"/>
      <c r="H236" s="8"/>
    </row>
    <row r="237" spans="1:8" ht="33.75" customHeight="1" x14ac:dyDescent="0.75">
      <c r="A237" s="19"/>
      <c r="H237" s="8"/>
    </row>
    <row r="238" spans="1:8" ht="33.75" customHeight="1" x14ac:dyDescent="0.75">
      <c r="A238" s="19"/>
      <c r="H238" s="8"/>
    </row>
    <row r="239" spans="1:8" ht="33.75" customHeight="1" x14ac:dyDescent="0.75">
      <c r="A239" s="19"/>
      <c r="H239" s="8"/>
    </row>
    <row r="240" spans="1:8" ht="33.75" customHeight="1" x14ac:dyDescent="0.75">
      <c r="A240" s="19"/>
      <c r="H240" s="8"/>
    </row>
    <row r="241" spans="1:8" ht="33.75" customHeight="1" x14ac:dyDescent="0.75">
      <c r="A241" s="19"/>
      <c r="H241" s="8"/>
    </row>
    <row r="242" spans="1:8" ht="33.75" customHeight="1" x14ac:dyDescent="0.75">
      <c r="A242" s="19"/>
      <c r="H242" s="8"/>
    </row>
    <row r="243" spans="1:8" ht="33.75" customHeight="1" x14ac:dyDescent="0.75">
      <c r="A243" s="19"/>
      <c r="H243" s="8"/>
    </row>
    <row r="244" spans="1:8" ht="33.75" customHeight="1" x14ac:dyDescent="0.75">
      <c r="A244" s="19"/>
      <c r="H244" s="8"/>
    </row>
    <row r="245" spans="1:8" ht="33.75" customHeight="1" x14ac:dyDescent="0.75">
      <c r="A245" s="19"/>
      <c r="H245" s="8"/>
    </row>
    <row r="246" spans="1:8" ht="33.75" customHeight="1" x14ac:dyDescent="0.75">
      <c r="A246" s="19"/>
      <c r="H246" s="8"/>
    </row>
    <row r="247" spans="1:8" ht="33.75" customHeight="1" x14ac:dyDescent="0.75">
      <c r="A247" s="19"/>
      <c r="H247" s="8"/>
    </row>
    <row r="248" spans="1:8" ht="33.75" customHeight="1" x14ac:dyDescent="0.75">
      <c r="A248" s="19"/>
      <c r="H248" s="8"/>
    </row>
    <row r="249" spans="1:8" ht="33.75" customHeight="1" x14ac:dyDescent="0.75">
      <c r="A249" s="19"/>
      <c r="H249" s="8"/>
    </row>
    <row r="250" spans="1:8" ht="33.75" customHeight="1" x14ac:dyDescent="0.75">
      <c r="A250" s="19"/>
      <c r="H250" s="8"/>
    </row>
    <row r="251" spans="1:8" ht="33.75" customHeight="1" x14ac:dyDescent="0.75">
      <c r="A251" s="19"/>
      <c r="H251" s="8"/>
    </row>
    <row r="252" spans="1:8" ht="33.75" customHeight="1" x14ac:dyDescent="0.75">
      <c r="A252" s="19"/>
      <c r="H252" s="8"/>
    </row>
    <row r="253" spans="1:8" ht="33.75" customHeight="1" x14ac:dyDescent="0.75">
      <c r="A253" s="19"/>
      <c r="H253" s="8"/>
    </row>
    <row r="254" spans="1:8" ht="33.75" customHeight="1" x14ac:dyDescent="0.75">
      <c r="A254" s="19"/>
      <c r="H254" s="8"/>
    </row>
    <row r="255" spans="1:8" ht="33.75" customHeight="1" x14ac:dyDescent="0.75">
      <c r="A255" s="19"/>
      <c r="H255" s="8"/>
    </row>
    <row r="256" spans="1:8" ht="33.75" customHeight="1" x14ac:dyDescent="0.75">
      <c r="A256" s="19"/>
      <c r="H256" s="8"/>
    </row>
    <row r="257" spans="1:8" ht="33.75" customHeight="1" x14ac:dyDescent="0.75">
      <c r="A257" s="19"/>
      <c r="H257" s="8"/>
    </row>
    <row r="258" spans="1:8" ht="33.75" customHeight="1" x14ac:dyDescent="0.75">
      <c r="A258" s="19"/>
      <c r="H258" s="8"/>
    </row>
    <row r="259" spans="1:8" ht="33.75" customHeight="1" x14ac:dyDescent="0.75">
      <c r="A259" s="19"/>
      <c r="H259" s="8"/>
    </row>
    <row r="260" spans="1:8" ht="33.75" customHeight="1" x14ac:dyDescent="0.75">
      <c r="A260" s="19"/>
      <c r="H260" s="8"/>
    </row>
    <row r="261" spans="1:8" ht="33.75" customHeight="1" x14ac:dyDescent="0.75">
      <c r="A261" s="19"/>
      <c r="H261" s="8"/>
    </row>
    <row r="262" spans="1:8" ht="33.75" customHeight="1" x14ac:dyDescent="0.75">
      <c r="A262" s="19"/>
      <c r="H262" s="8"/>
    </row>
    <row r="263" spans="1:8" ht="33.75" customHeight="1" x14ac:dyDescent="0.75">
      <c r="A263" s="19"/>
      <c r="H263" s="8"/>
    </row>
    <row r="264" spans="1:8" ht="33.75" customHeight="1" x14ac:dyDescent="0.75">
      <c r="A264" s="19"/>
      <c r="H264" s="8"/>
    </row>
    <row r="265" spans="1:8" ht="33.75" customHeight="1" x14ac:dyDescent="0.75">
      <c r="A265" s="19"/>
      <c r="H265" s="8"/>
    </row>
    <row r="266" spans="1:8" ht="33.75" customHeight="1" x14ac:dyDescent="0.75">
      <c r="A266" s="19"/>
      <c r="H266" s="8"/>
    </row>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8"/>
  <sheetViews>
    <sheetView topLeftCell="A10" zoomScale="125" workbookViewId="0">
      <selection activeCell="C14" sqref="C14"/>
    </sheetView>
  </sheetViews>
  <sheetFormatPr defaultColWidth="14.5" defaultRowHeight="15" customHeight="1" x14ac:dyDescent="0.75"/>
  <cols>
    <col min="1" max="1" width="9.81640625" customWidth="1"/>
    <col min="2" max="2" width="61.81640625" customWidth="1"/>
    <col min="3" max="3" width="21.31640625" customWidth="1"/>
    <col min="4" max="4" width="28" customWidth="1"/>
    <col min="5" max="5" width="5.6796875" customWidth="1"/>
    <col min="6" max="6" width="6.31640625" customWidth="1"/>
    <col min="7" max="7" width="5.5" customWidth="1"/>
    <col min="8" max="8" width="74.1796875" customWidth="1"/>
  </cols>
  <sheetData>
    <row r="1" spans="1:8" ht="27" customHeight="1" x14ac:dyDescent="0.75">
      <c r="A1" s="116"/>
      <c r="B1" s="102" t="s">
        <v>127</v>
      </c>
      <c r="C1" s="28"/>
      <c r="H1" s="8"/>
    </row>
    <row r="2" spans="1:8" ht="63.75" customHeight="1" x14ac:dyDescent="0.75">
      <c r="A2" s="226"/>
      <c r="B2" s="255" t="s">
        <v>507</v>
      </c>
      <c r="C2" s="256" t="s">
        <v>509</v>
      </c>
      <c r="D2" s="257"/>
      <c r="H2" s="8"/>
    </row>
    <row r="3" spans="1:8" ht="14.25" customHeight="1" x14ac:dyDescent="0.75">
      <c r="A3" s="258"/>
      <c r="B3" s="259" t="s">
        <v>0</v>
      </c>
      <c r="C3" s="260" t="s">
        <v>1</v>
      </c>
      <c r="D3" s="266" t="s">
        <v>510</v>
      </c>
      <c r="E3" s="10"/>
      <c r="F3" s="10"/>
      <c r="G3" s="10"/>
      <c r="H3" s="10" t="s">
        <v>6</v>
      </c>
    </row>
    <row r="4" spans="1:8" ht="29.25" customHeight="1" x14ac:dyDescent="0.75">
      <c r="A4" s="486" t="s">
        <v>511</v>
      </c>
      <c r="B4" s="213" t="s">
        <v>71</v>
      </c>
      <c r="C4" s="210">
        <v>0.13600000000000001</v>
      </c>
      <c r="D4" s="214">
        <f t="shared" ref="D4:D15" si="0">C4/$C$20*(1-$C$18)</f>
        <v>0.10045866666666668</v>
      </c>
      <c r="E4" s="29"/>
      <c r="F4" s="29"/>
      <c r="G4" s="30"/>
      <c r="H4" s="31" t="s">
        <v>72</v>
      </c>
    </row>
    <row r="5" spans="1:8" ht="36" customHeight="1" x14ac:dyDescent="0.75">
      <c r="A5" s="487"/>
      <c r="B5" s="215" t="s">
        <v>73</v>
      </c>
      <c r="C5" s="211">
        <v>0</v>
      </c>
      <c r="D5" s="214">
        <f t="shared" si="0"/>
        <v>0</v>
      </c>
      <c r="G5" s="16"/>
      <c r="H5" s="11"/>
    </row>
    <row r="6" spans="1:8" ht="33.75" customHeight="1" x14ac:dyDescent="0.75">
      <c r="A6" s="487"/>
      <c r="B6" s="215" t="s">
        <v>74</v>
      </c>
      <c r="C6" s="211">
        <v>8.0000000000000002E-3</v>
      </c>
      <c r="D6" s="214">
        <f t="shared" si="0"/>
        <v>5.9093333333333333E-3</v>
      </c>
      <c r="G6" s="16"/>
      <c r="H6" s="11"/>
    </row>
    <row r="7" spans="1:8" ht="33.75" customHeight="1" x14ac:dyDescent="0.75">
      <c r="A7" s="487"/>
      <c r="B7" s="215" t="s">
        <v>75</v>
      </c>
      <c r="C7" s="211">
        <v>0</v>
      </c>
      <c r="D7" s="214">
        <f t="shared" si="0"/>
        <v>0</v>
      </c>
      <c r="G7" s="16"/>
      <c r="H7" s="11"/>
    </row>
    <row r="8" spans="1:8" ht="33.75" customHeight="1" x14ac:dyDescent="0.75">
      <c r="A8" s="487"/>
      <c r="B8" s="216" t="s">
        <v>107</v>
      </c>
      <c r="C8" s="211">
        <v>0</v>
      </c>
      <c r="D8" s="214">
        <f t="shared" si="0"/>
        <v>0</v>
      </c>
      <c r="G8" s="16"/>
      <c r="H8" s="11"/>
    </row>
    <row r="9" spans="1:8" ht="33.75" customHeight="1" x14ac:dyDescent="0.75">
      <c r="A9" s="487"/>
      <c r="B9" s="216" t="s">
        <v>499</v>
      </c>
      <c r="C9" s="211">
        <v>0</v>
      </c>
      <c r="D9" s="214">
        <f t="shared" si="0"/>
        <v>0</v>
      </c>
      <c r="G9" s="16"/>
      <c r="H9" s="11"/>
    </row>
    <row r="10" spans="1:8" ht="18" customHeight="1" x14ac:dyDescent="0.75">
      <c r="A10" s="487"/>
      <c r="B10" s="216" t="s">
        <v>108</v>
      </c>
      <c r="C10" s="211">
        <v>0</v>
      </c>
      <c r="D10" s="214">
        <f t="shared" si="0"/>
        <v>0</v>
      </c>
      <c r="G10" s="16"/>
      <c r="H10" s="11"/>
    </row>
    <row r="11" spans="1:8" ht="27" customHeight="1" x14ac:dyDescent="0.75">
      <c r="A11" s="487"/>
      <c r="B11" s="216" t="s">
        <v>78</v>
      </c>
      <c r="C11" s="211">
        <v>3.0000000000000006E-2</v>
      </c>
      <c r="D11" s="214">
        <f t="shared" si="0"/>
        <v>2.2160000000000006E-2</v>
      </c>
      <c r="G11" s="16"/>
      <c r="H11" s="11"/>
    </row>
    <row r="12" spans="1:8" ht="18" customHeight="1" x14ac:dyDescent="0.75">
      <c r="A12" s="487"/>
      <c r="B12" s="216" t="s">
        <v>109</v>
      </c>
      <c r="C12" s="211">
        <v>7.400000000000001E-2</v>
      </c>
      <c r="D12" s="214">
        <f t="shared" si="0"/>
        <v>5.466133333333334E-2</v>
      </c>
      <c r="G12" s="16"/>
      <c r="H12" s="11"/>
    </row>
    <row r="13" spans="1:8" ht="41.25" customHeight="1" x14ac:dyDescent="0.75">
      <c r="A13" s="487"/>
      <c r="B13" s="216" t="s">
        <v>110</v>
      </c>
      <c r="C13" s="211">
        <v>0.67933333333333334</v>
      </c>
      <c r="D13" s="214">
        <f t="shared" si="0"/>
        <v>0.50180088888888896</v>
      </c>
      <c r="G13" s="16"/>
      <c r="H13" s="32"/>
    </row>
    <row r="14" spans="1:8" ht="16.5" customHeight="1" x14ac:dyDescent="0.75">
      <c r="A14" s="487"/>
      <c r="B14" s="472" t="s">
        <v>556</v>
      </c>
      <c r="C14" s="473">
        <v>2.7999999999999997E-2</v>
      </c>
      <c r="D14" s="474">
        <f t="shared" si="0"/>
        <v>2.0682666666666665E-2</v>
      </c>
      <c r="G14" s="16"/>
      <c r="H14" s="11"/>
    </row>
    <row r="15" spans="1:8" ht="16.5" customHeight="1" x14ac:dyDescent="0.75">
      <c r="A15" s="488"/>
      <c r="B15" s="217" t="s">
        <v>125</v>
      </c>
      <c r="C15" s="211">
        <v>4.4666666666666667E-2</v>
      </c>
      <c r="D15" s="214">
        <f t="shared" si="0"/>
        <v>3.2993777777777782E-2</v>
      </c>
      <c r="G15" s="16"/>
      <c r="H15" s="11"/>
    </row>
    <row r="16" spans="1:8" ht="16.5" customHeight="1" x14ac:dyDescent="0.75">
      <c r="A16" s="232"/>
      <c r="B16" s="220" t="s">
        <v>83</v>
      </c>
      <c r="C16" s="212">
        <v>1</v>
      </c>
      <c r="D16" s="222">
        <f>C16</f>
        <v>1</v>
      </c>
      <c r="G16" s="16"/>
      <c r="H16" s="11"/>
    </row>
    <row r="17" spans="1:8" ht="16.5" customHeight="1" x14ac:dyDescent="0.75">
      <c r="A17" s="232"/>
      <c r="B17" s="220" t="s">
        <v>84</v>
      </c>
      <c r="C17" s="219">
        <v>0.76666666666666672</v>
      </c>
      <c r="D17" s="223">
        <f>C17</f>
        <v>0.76666666666666672</v>
      </c>
      <c r="E17" s="6"/>
      <c r="F17" s="6"/>
      <c r="G17" s="17"/>
      <c r="H17" s="18"/>
    </row>
    <row r="18" spans="1:8" ht="27" customHeight="1" x14ac:dyDescent="0.75">
      <c r="A18" s="232"/>
      <c r="B18" s="221" t="s">
        <v>387</v>
      </c>
      <c r="C18" s="122">
        <v>0.26133333333333331</v>
      </c>
      <c r="D18" s="224">
        <f>C18</f>
        <v>0.26133333333333331</v>
      </c>
      <c r="H18" s="8"/>
    </row>
    <row r="19" spans="1:8" ht="16.5" customHeight="1" x14ac:dyDescent="0.75">
      <c r="A19" s="116"/>
      <c r="B19" s="126"/>
      <c r="C19" s="127" t="s">
        <v>518</v>
      </c>
      <c r="D19" s="8"/>
    </row>
    <row r="20" spans="1:8" ht="16.5" customHeight="1" x14ac:dyDescent="0.75">
      <c r="A20" s="19"/>
      <c r="B20" s="11" t="s">
        <v>389</v>
      </c>
      <c r="C20" s="112">
        <f>SUM(C4:C15)</f>
        <v>1</v>
      </c>
      <c r="D20" s="158">
        <f>SUM(D4:D15)+D18</f>
        <v>1</v>
      </c>
    </row>
    <row r="21" spans="1:8" ht="16.5" customHeight="1" x14ac:dyDescent="0.75">
      <c r="A21" s="19"/>
      <c r="B21" s="11"/>
      <c r="C21" s="12"/>
      <c r="D21" s="8"/>
    </row>
    <row r="22" spans="1:8" ht="16.5" customHeight="1" x14ac:dyDescent="0.75">
      <c r="A22" s="19"/>
      <c r="B22" s="11"/>
      <c r="C22" s="12"/>
      <c r="D22" s="8"/>
    </row>
    <row r="23" spans="1:8" ht="16.5" customHeight="1" x14ac:dyDescent="0.75">
      <c r="A23" s="19"/>
      <c r="B23" s="11"/>
      <c r="C23" s="12"/>
      <c r="D23" s="8"/>
    </row>
    <row r="24" spans="1:8" ht="16.5" customHeight="1" x14ac:dyDescent="0.75">
      <c r="A24" s="19"/>
      <c r="B24" s="156" t="s">
        <v>521</v>
      </c>
      <c r="C24" s="12"/>
      <c r="D24" s="8"/>
    </row>
    <row r="25" spans="1:8" ht="16.5" customHeight="1" x14ac:dyDescent="0.75">
      <c r="A25" s="19"/>
      <c r="B25" s="389" t="s">
        <v>112</v>
      </c>
      <c r="C25" s="390" t="s">
        <v>34</v>
      </c>
      <c r="D25" s="391"/>
    </row>
    <row r="26" spans="1:8" ht="16.5" customHeight="1" x14ac:dyDescent="0.75">
      <c r="A26" s="19"/>
      <c r="B26" s="331" t="s">
        <v>30</v>
      </c>
      <c r="C26" s="385">
        <f>$D$8*$C$45</f>
        <v>0</v>
      </c>
      <c r="D26" s="381" t="s">
        <v>128</v>
      </c>
    </row>
    <row r="27" spans="1:8" ht="14.25" customHeight="1" x14ac:dyDescent="0.75">
      <c r="B27" s="331" t="s">
        <v>32</v>
      </c>
      <c r="C27" s="383">
        <v>0</v>
      </c>
      <c r="D27" s="332" t="s">
        <v>129</v>
      </c>
    </row>
    <row r="28" spans="1:8" ht="16.5" customHeight="1" x14ac:dyDescent="0.75">
      <c r="A28" s="19"/>
      <c r="B28" s="331" t="s">
        <v>34</v>
      </c>
      <c r="C28" s="385">
        <f>SUM($D$11:$D$12)*$C$45</f>
        <v>115181.20272582587</v>
      </c>
      <c r="D28" s="381" t="s">
        <v>130</v>
      </c>
    </row>
    <row r="29" spans="1:8" ht="16.5" customHeight="1" x14ac:dyDescent="0.75">
      <c r="A29" s="19"/>
      <c r="B29" s="331" t="s">
        <v>36</v>
      </c>
      <c r="C29" s="385">
        <f>$D$10*$C$45</f>
        <v>0</v>
      </c>
      <c r="D29" s="381" t="s">
        <v>384</v>
      </c>
    </row>
    <row r="30" spans="1:8" ht="16.5" customHeight="1" x14ac:dyDescent="0.75">
      <c r="A30" s="19"/>
      <c r="B30" s="331" t="s">
        <v>38</v>
      </c>
      <c r="C30" s="385">
        <f>D4*$C$45*C17</f>
        <v>115476.53914307158</v>
      </c>
      <c r="D30" s="382" t="s">
        <v>89</v>
      </c>
    </row>
    <row r="31" spans="1:8" ht="16.5" customHeight="1" x14ac:dyDescent="0.75">
      <c r="A31" s="19"/>
      <c r="B31" s="331" t="s">
        <v>40</v>
      </c>
      <c r="C31" s="385">
        <f>D5*$C$45*C17</f>
        <v>0</v>
      </c>
      <c r="D31" s="382" t="s">
        <v>90</v>
      </c>
    </row>
    <row r="32" spans="1:8" ht="16.5" customHeight="1" x14ac:dyDescent="0.75">
      <c r="A32" s="19"/>
      <c r="B32" s="331" t="s">
        <v>41</v>
      </c>
      <c r="C32" s="385">
        <f>D6*$C$45*C17</f>
        <v>6792.7375966512682</v>
      </c>
      <c r="D32" s="382" t="s">
        <v>91</v>
      </c>
    </row>
    <row r="33" spans="1:8" ht="16.5" customHeight="1" x14ac:dyDescent="0.75">
      <c r="A33" s="19"/>
      <c r="B33" s="331" t="s">
        <v>42</v>
      </c>
      <c r="C33" s="385">
        <f>D7*$C$45*C17</f>
        <v>0</v>
      </c>
      <c r="D33" s="382" t="s">
        <v>92</v>
      </c>
    </row>
    <row r="34" spans="1:8" ht="16.5" customHeight="1" x14ac:dyDescent="0.75">
      <c r="A34" s="19"/>
      <c r="B34" s="331" t="s">
        <v>43</v>
      </c>
      <c r="C34" s="385">
        <f>$C$45*D18*C16</f>
        <v>391827.19616533368</v>
      </c>
      <c r="D34" s="382" t="s">
        <v>93</v>
      </c>
    </row>
    <row r="35" spans="1:8" ht="16.5" customHeight="1" x14ac:dyDescent="0.75">
      <c r="A35" s="19"/>
      <c r="B35" s="331" t="s">
        <v>45</v>
      </c>
      <c r="C35" s="385">
        <v>0</v>
      </c>
      <c r="D35" s="382" t="s">
        <v>131</v>
      </c>
    </row>
    <row r="36" spans="1:8" ht="16.5" customHeight="1" x14ac:dyDescent="0.75">
      <c r="A36" s="19"/>
      <c r="B36" s="331" t="s">
        <v>47</v>
      </c>
      <c r="C36" s="383">
        <v>0</v>
      </c>
      <c r="D36" s="382" t="s">
        <v>131</v>
      </c>
    </row>
    <row r="37" spans="1:8" ht="16.5" customHeight="1" x14ac:dyDescent="0.75">
      <c r="A37" s="19"/>
      <c r="B37" s="331" t="s">
        <v>48</v>
      </c>
      <c r="C37" s="383">
        <v>0</v>
      </c>
      <c r="D37" s="382" t="s">
        <v>132</v>
      </c>
    </row>
    <row r="38" spans="1:8" ht="16.5" customHeight="1" x14ac:dyDescent="0.75">
      <c r="A38" s="19"/>
      <c r="B38" s="331" t="s">
        <v>50</v>
      </c>
      <c r="C38" s="383">
        <v>0</v>
      </c>
      <c r="D38" s="382" t="s">
        <v>133</v>
      </c>
    </row>
    <row r="39" spans="1:8" ht="16.5" customHeight="1" x14ac:dyDescent="0.75">
      <c r="A39" s="19"/>
      <c r="B39" s="331" t="s">
        <v>52</v>
      </c>
      <c r="C39" s="383">
        <v>0</v>
      </c>
      <c r="D39" s="382" t="s">
        <v>134</v>
      </c>
    </row>
    <row r="40" spans="1:8" ht="16.5" customHeight="1" x14ac:dyDescent="0.75">
      <c r="A40" s="19"/>
      <c r="B40" s="331" t="s">
        <v>54</v>
      </c>
      <c r="C40" s="383">
        <v>0</v>
      </c>
      <c r="D40" s="382" t="s">
        <v>135</v>
      </c>
    </row>
    <row r="41" spans="1:8" ht="16.5" customHeight="1" x14ac:dyDescent="0.75">
      <c r="A41" s="19"/>
      <c r="B41" s="329" t="s">
        <v>570</v>
      </c>
      <c r="C41" s="481">
        <f>$D$14*$C$45</f>
        <v>31010.323810799266</v>
      </c>
      <c r="D41" s="346" t="s">
        <v>571</v>
      </c>
    </row>
    <row r="42" spans="1:8" ht="16.5" customHeight="1" x14ac:dyDescent="0.75">
      <c r="A42" s="19"/>
      <c r="B42" s="329" t="s">
        <v>57</v>
      </c>
      <c r="C42" s="481">
        <f>$D$15*$C$45</f>
        <v>49468.849888655976</v>
      </c>
      <c r="D42" s="354" t="s">
        <v>572</v>
      </c>
    </row>
    <row r="43" spans="1:8" ht="16.5" customHeight="1" x14ac:dyDescent="0.75">
      <c r="A43" s="19"/>
      <c r="B43" s="384" t="s">
        <v>59</v>
      </c>
      <c r="C43" s="385">
        <f>$D$13*$C$45 + C45*SUM(D4:D7)*(1-C17) + C45*C18*(1-C16)</f>
        <v>789581.91150639858</v>
      </c>
      <c r="D43" s="382" t="s">
        <v>136</v>
      </c>
    </row>
    <row r="44" spans="1:8" ht="16.5" customHeight="1" x14ac:dyDescent="0.75">
      <c r="A44" s="19"/>
      <c r="B44" s="331" t="s">
        <v>61</v>
      </c>
      <c r="C44" s="385">
        <f>SUM($C$26:$C$43)</f>
        <v>1499338.7608367363</v>
      </c>
      <c r="D44" s="382" t="s">
        <v>62</v>
      </c>
    </row>
    <row r="45" spans="1:8" ht="33" customHeight="1" x14ac:dyDescent="0.75">
      <c r="A45" s="19"/>
      <c r="B45" s="331" t="s">
        <v>63</v>
      </c>
      <c r="C45" s="383">
        <f>SUM(Tourists!C27, Tourism!C28, Lodges!C29,Restaurants!C29,SUM(Households!C32:D32) + NatParkPA!C29  + ComRevSh!C27)/(1-SUM(D8:D12))</f>
        <v>1499338.7608367361</v>
      </c>
      <c r="D45" s="382" t="s">
        <v>137</v>
      </c>
      <c r="E45" s="127" t="s">
        <v>385</v>
      </c>
    </row>
    <row r="46" spans="1:8" ht="16.5" customHeight="1" x14ac:dyDescent="0.75">
      <c r="A46" s="19"/>
      <c r="B46" s="331" t="s">
        <v>65</v>
      </c>
      <c r="C46" s="383">
        <f>C45-C44</f>
        <v>0</v>
      </c>
      <c r="D46" s="382" t="s">
        <v>102</v>
      </c>
    </row>
    <row r="47" spans="1:8" ht="16.5" customHeight="1" x14ac:dyDescent="0.75">
      <c r="A47" s="19"/>
      <c r="B47" s="386" t="s">
        <v>67</v>
      </c>
      <c r="C47" s="387">
        <f>C46/C45</f>
        <v>0</v>
      </c>
      <c r="D47" s="388" t="s">
        <v>103</v>
      </c>
    </row>
    <row r="48" spans="1:8" ht="27" customHeight="1" x14ac:dyDescent="0.75">
      <c r="A48" s="19"/>
      <c r="B48" s="20" t="s">
        <v>104</v>
      </c>
      <c r="C48" s="21">
        <f>C34/C45</f>
        <v>0.26133333333333331</v>
      </c>
      <c r="H48" s="8"/>
    </row>
    <row r="49" spans="1:8" ht="27" customHeight="1" x14ac:dyDescent="0.75">
      <c r="A49" s="19"/>
      <c r="C49" s="28"/>
      <c r="H49" s="8"/>
    </row>
    <row r="50" spans="1:8" ht="27" customHeight="1" x14ac:dyDescent="0.75">
      <c r="A50" s="19"/>
      <c r="C50" s="28"/>
      <c r="H50" s="8"/>
    </row>
    <row r="51" spans="1:8" ht="27" customHeight="1" x14ac:dyDescent="0.75">
      <c r="A51" s="19"/>
      <c r="C51" s="28"/>
      <c r="H51" s="8"/>
    </row>
    <row r="52" spans="1:8" ht="27" customHeight="1" x14ac:dyDescent="0.75">
      <c r="A52" s="19"/>
      <c r="B52" s="23" t="s">
        <v>506</v>
      </c>
      <c r="H52" s="8"/>
    </row>
    <row r="53" spans="1:8" ht="27" customHeight="1" x14ac:dyDescent="0.75">
      <c r="A53" s="19"/>
      <c r="B53" s="33" t="s">
        <v>0</v>
      </c>
      <c r="C53" s="34" t="s">
        <v>1</v>
      </c>
      <c r="D53" s="35" t="s">
        <v>2</v>
      </c>
      <c r="E53" s="35" t="s">
        <v>3</v>
      </c>
      <c r="F53" s="35" t="s">
        <v>4</v>
      </c>
      <c r="G53" s="35" t="s">
        <v>5</v>
      </c>
      <c r="H53" s="8"/>
    </row>
    <row r="54" spans="1:8" ht="27" customHeight="1" x14ac:dyDescent="0.75">
      <c r="A54" s="19"/>
      <c r="B54" s="198" t="s">
        <v>71</v>
      </c>
      <c r="C54" s="199">
        <f t="shared" ref="C54:C63" si="1">C4*100</f>
        <v>13.600000000000001</v>
      </c>
      <c r="D54" s="200" t="s">
        <v>415</v>
      </c>
      <c r="E54" s="200">
        <v>0</v>
      </c>
      <c r="F54" s="200">
        <v>100</v>
      </c>
      <c r="G54" s="201">
        <v>0.01</v>
      </c>
      <c r="H54" s="8"/>
    </row>
    <row r="55" spans="1:8" ht="27" customHeight="1" x14ac:dyDescent="0.75">
      <c r="A55" s="19"/>
      <c r="B55" s="198" t="s">
        <v>73</v>
      </c>
      <c r="C55" s="199">
        <f t="shared" si="1"/>
        <v>0</v>
      </c>
      <c r="D55" s="181" t="s">
        <v>416</v>
      </c>
      <c r="E55" s="181">
        <v>0</v>
      </c>
      <c r="F55" s="181">
        <v>100</v>
      </c>
      <c r="G55" s="202">
        <v>0.01</v>
      </c>
      <c r="H55" s="8"/>
    </row>
    <row r="56" spans="1:8" ht="27" customHeight="1" x14ac:dyDescent="0.75">
      <c r="A56" s="19"/>
      <c r="B56" s="198" t="s">
        <v>74</v>
      </c>
      <c r="C56" s="199">
        <f t="shared" si="1"/>
        <v>0.8</v>
      </c>
      <c r="D56" s="200" t="s">
        <v>417</v>
      </c>
      <c r="E56" s="181">
        <v>0</v>
      </c>
      <c r="F56" s="181">
        <v>100</v>
      </c>
      <c r="G56" s="202">
        <v>0.01</v>
      </c>
      <c r="H56" s="8"/>
    </row>
    <row r="57" spans="1:8" ht="27" customHeight="1" x14ac:dyDescent="0.75">
      <c r="A57" s="19"/>
      <c r="B57" s="198" t="s">
        <v>75</v>
      </c>
      <c r="C57" s="199">
        <f t="shared" si="1"/>
        <v>0</v>
      </c>
      <c r="D57" s="181" t="s">
        <v>418</v>
      </c>
      <c r="E57" s="181">
        <v>0</v>
      </c>
      <c r="F57" s="181">
        <v>100</v>
      </c>
      <c r="G57" s="202">
        <v>0.01</v>
      </c>
      <c r="H57" s="8"/>
    </row>
    <row r="58" spans="1:8" ht="27" customHeight="1" x14ac:dyDescent="0.75">
      <c r="A58" s="19"/>
      <c r="B58" s="198" t="s">
        <v>107</v>
      </c>
      <c r="C58" s="199">
        <f t="shared" si="1"/>
        <v>0</v>
      </c>
      <c r="D58" s="181" t="s">
        <v>419</v>
      </c>
      <c r="E58" s="181">
        <v>0</v>
      </c>
      <c r="F58" s="181">
        <v>100</v>
      </c>
      <c r="G58" s="203">
        <v>0.01</v>
      </c>
      <c r="H58" s="8"/>
    </row>
    <row r="59" spans="1:8" ht="27" customHeight="1" x14ac:dyDescent="0.75">
      <c r="A59" s="19"/>
      <c r="B59" s="204" t="s">
        <v>496</v>
      </c>
      <c r="C59" s="199">
        <f t="shared" si="1"/>
        <v>0</v>
      </c>
      <c r="D59" s="181" t="s">
        <v>420</v>
      </c>
      <c r="E59" s="181">
        <v>0</v>
      </c>
      <c r="F59" s="181">
        <v>100</v>
      </c>
      <c r="G59" s="181">
        <v>0.01</v>
      </c>
      <c r="H59" s="8"/>
    </row>
    <row r="60" spans="1:8" ht="27" customHeight="1" x14ac:dyDescent="0.75">
      <c r="A60" s="19"/>
      <c r="B60" s="198" t="s">
        <v>108</v>
      </c>
      <c r="C60" s="199">
        <f t="shared" si="1"/>
        <v>0</v>
      </c>
      <c r="D60" s="181" t="s">
        <v>421</v>
      </c>
      <c r="E60" s="181">
        <v>0</v>
      </c>
      <c r="F60" s="181">
        <v>100</v>
      </c>
      <c r="G60" s="203">
        <v>0.01</v>
      </c>
      <c r="H60" s="8"/>
    </row>
    <row r="61" spans="1:8" ht="27" customHeight="1" x14ac:dyDescent="0.75">
      <c r="A61" s="19"/>
      <c r="B61" s="198" t="s">
        <v>78</v>
      </c>
      <c r="C61" s="199">
        <f t="shared" si="1"/>
        <v>3.0000000000000004</v>
      </c>
      <c r="D61" s="181" t="s">
        <v>422</v>
      </c>
      <c r="E61" s="181">
        <v>0</v>
      </c>
      <c r="F61" s="181">
        <v>100</v>
      </c>
      <c r="G61" s="203">
        <v>0.01</v>
      </c>
      <c r="H61" s="8"/>
    </row>
    <row r="62" spans="1:8" ht="27" customHeight="1" x14ac:dyDescent="0.75">
      <c r="A62" s="19"/>
      <c r="B62" s="198" t="s">
        <v>109</v>
      </c>
      <c r="C62" s="199">
        <f t="shared" si="1"/>
        <v>7.4000000000000012</v>
      </c>
      <c r="D62" s="181" t="s">
        <v>423</v>
      </c>
      <c r="E62" s="181">
        <v>0</v>
      </c>
      <c r="F62" s="181">
        <v>100</v>
      </c>
      <c r="G62" s="203">
        <v>0.01</v>
      </c>
      <c r="H62" s="8"/>
    </row>
    <row r="63" spans="1:8" ht="27" customHeight="1" x14ac:dyDescent="0.75">
      <c r="A63" s="19"/>
      <c r="B63" s="198" t="s">
        <v>110</v>
      </c>
      <c r="C63" s="199">
        <f t="shared" si="1"/>
        <v>67.933333333333337</v>
      </c>
      <c r="D63" s="181" t="s">
        <v>424</v>
      </c>
      <c r="E63" s="181">
        <v>0</v>
      </c>
      <c r="F63" s="181">
        <v>100</v>
      </c>
      <c r="G63" s="203">
        <v>0.01</v>
      </c>
      <c r="H63" s="8"/>
    </row>
    <row r="64" spans="1:8" ht="27" customHeight="1" x14ac:dyDescent="0.75">
      <c r="A64" s="19"/>
      <c r="B64" s="205" t="s">
        <v>125</v>
      </c>
      <c r="C64" s="199">
        <f t="shared" ref="C64" si="2">C15*100</f>
        <v>4.4666666666666668</v>
      </c>
      <c r="D64" s="181" t="s">
        <v>458</v>
      </c>
      <c r="E64" s="181">
        <v>0</v>
      </c>
      <c r="F64" s="181">
        <v>100</v>
      </c>
      <c r="G64" s="203">
        <v>0.01</v>
      </c>
      <c r="H64" s="8"/>
    </row>
    <row r="65" spans="1:8" ht="27" customHeight="1" x14ac:dyDescent="0.75">
      <c r="A65" s="19"/>
      <c r="B65" s="205" t="s">
        <v>83</v>
      </c>
      <c r="C65" s="199">
        <f t="shared" ref="C65:C66" si="3">D16*100</f>
        <v>100</v>
      </c>
      <c r="D65" s="181" t="s">
        <v>504</v>
      </c>
      <c r="E65" s="181">
        <v>0</v>
      </c>
      <c r="F65" s="181">
        <v>100</v>
      </c>
      <c r="G65" s="203">
        <v>0.01</v>
      </c>
      <c r="H65" s="8"/>
    </row>
    <row r="66" spans="1:8" ht="27" customHeight="1" x14ac:dyDescent="0.75">
      <c r="A66" s="19"/>
      <c r="B66" s="205" t="s">
        <v>84</v>
      </c>
      <c r="C66" s="199">
        <f t="shared" si="3"/>
        <v>76.666666666666671</v>
      </c>
      <c r="D66" s="189" t="s">
        <v>126</v>
      </c>
      <c r="E66" s="189">
        <v>0</v>
      </c>
      <c r="F66" s="189">
        <v>100</v>
      </c>
      <c r="G66" s="206">
        <v>0.01</v>
      </c>
      <c r="H66" s="8"/>
    </row>
    <row r="67" spans="1:8" ht="27" customHeight="1" x14ac:dyDescent="0.75">
      <c r="A67" s="19"/>
      <c r="B67" s="207" t="s">
        <v>387</v>
      </c>
      <c r="C67" s="208">
        <f>C18*100</f>
        <v>26.133333333333329</v>
      </c>
      <c r="D67" s="181" t="s">
        <v>393</v>
      </c>
      <c r="E67" s="189">
        <v>0</v>
      </c>
      <c r="F67" s="189">
        <v>100</v>
      </c>
      <c r="G67" s="206">
        <v>0.01</v>
      </c>
      <c r="H67" s="8"/>
    </row>
    <row r="68" spans="1:8" ht="27" customHeight="1" x14ac:dyDescent="0.75">
      <c r="A68" s="19"/>
      <c r="C68" s="28"/>
      <c r="H68" s="8"/>
    </row>
    <row r="69" spans="1:8" ht="27" customHeight="1" x14ac:dyDescent="0.75">
      <c r="A69" s="19"/>
      <c r="C69" s="28"/>
      <c r="H69" s="8"/>
    </row>
    <row r="70" spans="1:8" ht="27" customHeight="1" x14ac:dyDescent="0.75">
      <c r="A70" s="19"/>
      <c r="C70" s="28"/>
      <c r="H70" s="8"/>
    </row>
    <row r="71" spans="1:8" ht="27" customHeight="1" x14ac:dyDescent="0.75">
      <c r="A71" s="19"/>
      <c r="C71" s="28"/>
      <c r="H71" s="8"/>
    </row>
    <row r="72" spans="1:8" ht="27" customHeight="1" x14ac:dyDescent="0.75">
      <c r="A72" s="19"/>
      <c r="C72" s="28"/>
      <c r="H72" s="8"/>
    </row>
    <row r="73" spans="1:8" ht="27" customHeight="1" x14ac:dyDescent="0.75">
      <c r="A73" s="19"/>
      <c r="C73" s="28"/>
      <c r="H73" s="8"/>
    </row>
    <row r="74" spans="1:8" ht="27" customHeight="1" x14ac:dyDescent="0.75">
      <c r="A74" s="19"/>
      <c r="C74" s="28"/>
      <c r="H74" s="8"/>
    </row>
    <row r="75" spans="1:8" ht="27" customHeight="1" x14ac:dyDescent="0.75">
      <c r="A75" s="19"/>
      <c r="C75" s="28"/>
      <c r="H75" s="8"/>
    </row>
    <row r="76" spans="1:8" ht="27" customHeight="1" x14ac:dyDescent="0.75">
      <c r="A76" s="19"/>
      <c r="C76" s="28"/>
      <c r="H76" s="8"/>
    </row>
    <row r="77" spans="1:8" ht="27" customHeight="1" x14ac:dyDescent="0.75">
      <c r="A77" s="19"/>
      <c r="C77" s="28"/>
      <c r="H77" s="8"/>
    </row>
    <row r="78" spans="1:8" ht="27" customHeight="1" x14ac:dyDescent="0.75">
      <c r="A78" s="19"/>
      <c r="C78" s="28"/>
      <c r="H78" s="8"/>
    </row>
    <row r="79" spans="1:8" ht="27" customHeight="1" x14ac:dyDescent="0.75">
      <c r="A79" s="19"/>
      <c r="C79" s="28"/>
      <c r="H79" s="8"/>
    </row>
    <row r="80" spans="1:8" ht="27" customHeight="1" x14ac:dyDescent="0.75">
      <c r="A80" s="19"/>
      <c r="C80" s="28"/>
      <c r="H80" s="8"/>
    </row>
    <row r="81" spans="1:8" ht="27" customHeight="1" x14ac:dyDescent="0.75">
      <c r="A81" s="19"/>
      <c r="C81" s="28"/>
      <c r="H81" s="8"/>
    </row>
    <row r="82" spans="1:8" ht="27" customHeight="1" x14ac:dyDescent="0.75">
      <c r="A82" s="19"/>
      <c r="C82" s="28"/>
      <c r="H82" s="8"/>
    </row>
    <row r="83" spans="1:8" ht="27" customHeight="1" x14ac:dyDescent="0.75">
      <c r="A83" s="19"/>
      <c r="C83" s="28"/>
      <c r="H83" s="8"/>
    </row>
    <row r="84" spans="1:8" ht="27" customHeight="1" x14ac:dyDescent="0.75">
      <c r="A84" s="19"/>
      <c r="C84" s="28"/>
      <c r="H84" s="8"/>
    </row>
    <row r="85" spans="1:8" ht="27" customHeight="1" x14ac:dyDescent="0.75">
      <c r="A85" s="19"/>
      <c r="C85" s="28"/>
      <c r="H85" s="8"/>
    </row>
    <row r="86" spans="1:8" ht="27" customHeight="1" x14ac:dyDescent="0.75">
      <c r="A86" s="19"/>
      <c r="C86" s="28"/>
      <c r="H86" s="8"/>
    </row>
    <row r="87" spans="1:8" ht="27" customHeight="1" x14ac:dyDescent="0.75">
      <c r="A87" s="19"/>
      <c r="C87" s="28"/>
      <c r="H87" s="8"/>
    </row>
    <row r="88" spans="1:8" ht="27" customHeight="1" x14ac:dyDescent="0.75">
      <c r="A88" s="19"/>
      <c r="C88" s="28"/>
      <c r="H88" s="8"/>
    </row>
    <row r="89" spans="1:8" ht="27" customHeight="1" x14ac:dyDescent="0.75">
      <c r="A89" s="19"/>
      <c r="C89" s="28"/>
      <c r="H89" s="8"/>
    </row>
    <row r="90" spans="1:8" ht="27" customHeight="1" x14ac:dyDescent="0.75">
      <c r="A90" s="19"/>
      <c r="C90" s="28"/>
      <c r="H90" s="8"/>
    </row>
    <row r="91" spans="1:8" ht="27" customHeight="1" x14ac:dyDescent="0.75">
      <c r="A91" s="19"/>
      <c r="C91" s="28"/>
      <c r="H91" s="8"/>
    </row>
    <row r="92" spans="1:8" ht="27" customHeight="1" x14ac:dyDescent="0.75">
      <c r="A92" s="19"/>
      <c r="C92" s="28"/>
      <c r="H92" s="8"/>
    </row>
    <row r="93" spans="1:8" ht="27" customHeight="1" x14ac:dyDescent="0.75">
      <c r="A93" s="19"/>
      <c r="C93" s="28"/>
      <c r="H93" s="8"/>
    </row>
    <row r="94" spans="1:8" ht="27" customHeight="1" x14ac:dyDescent="0.75">
      <c r="A94" s="19"/>
      <c r="C94" s="28"/>
      <c r="H94" s="8"/>
    </row>
    <row r="95" spans="1:8" ht="27" customHeight="1" x14ac:dyDescent="0.75">
      <c r="A95" s="19"/>
      <c r="C95" s="28"/>
      <c r="H95" s="8"/>
    </row>
    <row r="96" spans="1:8" ht="27" customHeight="1" x14ac:dyDescent="0.75">
      <c r="A96" s="19"/>
      <c r="C96" s="28"/>
      <c r="H96" s="8"/>
    </row>
    <row r="97" spans="1:8" ht="27" customHeight="1" x14ac:dyDescent="0.75">
      <c r="A97" s="19"/>
      <c r="C97" s="28"/>
      <c r="H97" s="8"/>
    </row>
    <row r="98" spans="1:8" ht="27" customHeight="1" x14ac:dyDescent="0.75">
      <c r="A98" s="19"/>
      <c r="C98" s="28"/>
      <c r="H98" s="8"/>
    </row>
    <row r="99" spans="1:8" ht="27" customHeight="1" x14ac:dyDescent="0.75">
      <c r="A99" s="19"/>
      <c r="C99" s="28"/>
      <c r="H99" s="8"/>
    </row>
    <row r="100" spans="1:8" ht="27" customHeight="1" x14ac:dyDescent="0.75">
      <c r="A100" s="19"/>
      <c r="C100" s="28"/>
      <c r="H100" s="8"/>
    </row>
    <row r="101" spans="1:8" ht="27" customHeight="1" x14ac:dyDescent="0.75">
      <c r="A101" s="19"/>
      <c r="C101" s="28"/>
      <c r="H101" s="8"/>
    </row>
    <row r="102" spans="1:8" ht="27" customHeight="1" x14ac:dyDescent="0.75">
      <c r="A102" s="19"/>
      <c r="C102" s="28"/>
      <c r="H102" s="8"/>
    </row>
    <row r="103" spans="1:8" ht="27" customHeight="1" x14ac:dyDescent="0.75">
      <c r="A103" s="19"/>
      <c r="C103" s="28"/>
      <c r="H103" s="8"/>
    </row>
    <row r="104" spans="1:8" ht="27" customHeight="1" x14ac:dyDescent="0.75">
      <c r="A104" s="19"/>
      <c r="C104" s="28"/>
      <c r="H104" s="8"/>
    </row>
    <row r="105" spans="1:8" ht="27" customHeight="1" x14ac:dyDescent="0.75">
      <c r="A105" s="19"/>
      <c r="C105" s="28"/>
      <c r="H105" s="8"/>
    </row>
    <row r="106" spans="1:8" ht="27" customHeight="1" x14ac:dyDescent="0.75">
      <c r="A106" s="19"/>
      <c r="C106" s="28"/>
      <c r="H106" s="8"/>
    </row>
    <row r="107" spans="1:8" ht="27" customHeight="1" x14ac:dyDescent="0.75">
      <c r="A107" s="19"/>
      <c r="C107" s="28"/>
      <c r="H107" s="8"/>
    </row>
    <row r="108" spans="1:8" ht="27" customHeight="1" x14ac:dyDescent="0.75">
      <c r="A108" s="19"/>
      <c r="C108" s="28"/>
      <c r="H108" s="8"/>
    </row>
    <row r="109" spans="1:8" ht="27" customHeight="1" x14ac:dyDescent="0.75">
      <c r="A109" s="19"/>
      <c r="C109" s="28"/>
      <c r="H109" s="8"/>
    </row>
    <row r="110" spans="1:8" ht="27" customHeight="1" x14ac:dyDescent="0.75">
      <c r="A110" s="19"/>
      <c r="C110" s="28"/>
      <c r="H110" s="8"/>
    </row>
    <row r="111" spans="1:8" ht="27" customHeight="1" x14ac:dyDescent="0.75">
      <c r="A111" s="19"/>
      <c r="C111" s="28"/>
      <c r="H111" s="8"/>
    </row>
    <row r="112" spans="1:8" ht="27" customHeight="1" x14ac:dyDescent="0.75">
      <c r="A112" s="19"/>
      <c r="C112" s="28"/>
      <c r="H112" s="8"/>
    </row>
    <row r="113" spans="1:8" ht="27" customHeight="1" x14ac:dyDescent="0.75">
      <c r="A113" s="19"/>
      <c r="C113" s="28"/>
      <c r="H113" s="8"/>
    </row>
    <row r="114" spans="1:8" ht="27" customHeight="1" x14ac:dyDescent="0.75">
      <c r="A114" s="19"/>
      <c r="C114" s="28"/>
      <c r="H114" s="8"/>
    </row>
    <row r="115" spans="1:8" ht="27" customHeight="1" x14ac:dyDescent="0.75">
      <c r="A115" s="19"/>
      <c r="C115" s="28"/>
      <c r="H115" s="8"/>
    </row>
    <row r="116" spans="1:8" ht="27" customHeight="1" x14ac:dyDescent="0.75">
      <c r="A116" s="19"/>
      <c r="C116" s="28"/>
      <c r="H116" s="8"/>
    </row>
    <row r="117" spans="1:8" ht="27" customHeight="1" x14ac:dyDescent="0.75">
      <c r="A117" s="19"/>
      <c r="C117" s="28"/>
      <c r="H117" s="8"/>
    </row>
    <row r="118" spans="1:8" ht="27" customHeight="1" x14ac:dyDescent="0.75">
      <c r="A118" s="19"/>
      <c r="C118" s="28"/>
      <c r="H118" s="8"/>
    </row>
    <row r="119" spans="1:8" ht="27" customHeight="1" x14ac:dyDescent="0.75">
      <c r="A119" s="19"/>
      <c r="C119" s="28"/>
      <c r="H119" s="8"/>
    </row>
    <row r="120" spans="1:8" ht="27" customHeight="1" x14ac:dyDescent="0.75">
      <c r="A120" s="19"/>
      <c r="C120" s="28"/>
      <c r="H120" s="8"/>
    </row>
    <row r="121" spans="1:8" ht="27" customHeight="1" x14ac:dyDescent="0.75">
      <c r="A121" s="19"/>
      <c r="C121" s="28"/>
      <c r="H121" s="8"/>
    </row>
    <row r="122" spans="1:8" ht="27" customHeight="1" x14ac:dyDescent="0.75">
      <c r="A122" s="19"/>
      <c r="C122" s="28"/>
      <c r="H122" s="8"/>
    </row>
    <row r="123" spans="1:8" ht="27" customHeight="1" x14ac:dyDescent="0.75">
      <c r="A123" s="19"/>
      <c r="C123" s="28"/>
      <c r="H123" s="8"/>
    </row>
    <row r="124" spans="1:8" ht="27" customHeight="1" x14ac:dyDescent="0.75">
      <c r="A124" s="19"/>
      <c r="C124" s="28"/>
      <c r="H124" s="8"/>
    </row>
    <row r="125" spans="1:8" ht="27" customHeight="1" x14ac:dyDescent="0.75">
      <c r="A125" s="19"/>
      <c r="C125" s="28"/>
      <c r="H125" s="8"/>
    </row>
    <row r="126" spans="1:8" ht="27" customHeight="1" x14ac:dyDescent="0.75">
      <c r="A126" s="19"/>
      <c r="C126" s="28"/>
      <c r="H126" s="8"/>
    </row>
    <row r="127" spans="1:8" ht="27" customHeight="1" x14ac:dyDescent="0.75">
      <c r="A127" s="19"/>
      <c r="C127" s="28"/>
      <c r="H127" s="8"/>
    </row>
    <row r="128" spans="1:8" ht="27" customHeight="1" x14ac:dyDescent="0.75">
      <c r="A128" s="19"/>
      <c r="C128" s="28"/>
      <c r="H128" s="8"/>
    </row>
    <row r="129" spans="1:8" ht="27" customHeight="1" x14ac:dyDescent="0.75">
      <c r="A129" s="19"/>
      <c r="C129" s="28"/>
      <c r="H129" s="8"/>
    </row>
    <row r="130" spans="1:8" ht="27" customHeight="1" x14ac:dyDescent="0.75">
      <c r="A130" s="19"/>
      <c r="C130" s="28"/>
      <c r="H130" s="8"/>
    </row>
    <row r="131" spans="1:8" ht="27" customHeight="1" x14ac:dyDescent="0.75">
      <c r="A131" s="19"/>
      <c r="C131" s="28"/>
      <c r="H131" s="8"/>
    </row>
    <row r="132" spans="1:8" ht="27" customHeight="1" x14ac:dyDescent="0.75">
      <c r="A132" s="19"/>
      <c r="C132" s="28"/>
      <c r="H132" s="8"/>
    </row>
    <row r="133" spans="1:8" ht="27" customHeight="1" x14ac:dyDescent="0.75">
      <c r="A133" s="19"/>
      <c r="C133" s="28"/>
      <c r="H133" s="8"/>
    </row>
    <row r="134" spans="1:8" ht="27" customHeight="1" x14ac:dyDescent="0.75">
      <c r="A134" s="19"/>
      <c r="C134" s="28"/>
      <c r="H134" s="8"/>
    </row>
    <row r="135" spans="1:8" ht="27" customHeight="1" x14ac:dyDescent="0.75">
      <c r="A135" s="19"/>
      <c r="C135" s="28"/>
      <c r="H135" s="8"/>
    </row>
    <row r="136" spans="1:8" ht="27" customHeight="1" x14ac:dyDescent="0.75">
      <c r="A136" s="19"/>
      <c r="C136" s="28"/>
      <c r="H136" s="8"/>
    </row>
    <row r="137" spans="1:8" ht="27" customHeight="1" x14ac:dyDescent="0.75">
      <c r="A137" s="19"/>
      <c r="C137" s="28"/>
      <c r="H137" s="8"/>
    </row>
    <row r="138" spans="1:8" ht="27" customHeight="1" x14ac:dyDescent="0.75">
      <c r="A138" s="19"/>
      <c r="C138" s="28"/>
      <c r="H138" s="8"/>
    </row>
    <row r="139" spans="1:8" ht="27" customHeight="1" x14ac:dyDescent="0.75">
      <c r="A139" s="19"/>
      <c r="C139" s="28"/>
      <c r="H139" s="8"/>
    </row>
    <row r="140" spans="1:8" ht="27" customHeight="1" x14ac:dyDescent="0.75">
      <c r="A140" s="19"/>
      <c r="C140" s="28"/>
      <c r="H140" s="8"/>
    </row>
    <row r="141" spans="1:8" ht="27" customHeight="1" x14ac:dyDescent="0.75">
      <c r="A141" s="19"/>
      <c r="C141" s="28"/>
      <c r="H141" s="8"/>
    </row>
    <row r="142" spans="1:8" ht="27" customHeight="1" x14ac:dyDescent="0.75">
      <c r="A142" s="19"/>
      <c r="C142" s="28"/>
      <c r="H142" s="8"/>
    </row>
    <row r="143" spans="1:8" ht="27" customHeight="1" x14ac:dyDescent="0.75">
      <c r="A143" s="19"/>
      <c r="C143" s="28"/>
      <c r="H143" s="8"/>
    </row>
    <row r="144" spans="1:8" ht="27" customHeight="1" x14ac:dyDescent="0.75">
      <c r="A144" s="19"/>
      <c r="C144" s="28"/>
      <c r="H144" s="8"/>
    </row>
    <row r="145" spans="1:8" ht="27" customHeight="1" x14ac:dyDescent="0.75">
      <c r="A145" s="19"/>
      <c r="C145" s="28"/>
      <c r="H145" s="8"/>
    </row>
    <row r="146" spans="1:8" ht="27" customHeight="1" x14ac:dyDescent="0.75">
      <c r="A146" s="19"/>
      <c r="C146" s="28"/>
      <c r="H146" s="8"/>
    </row>
    <row r="147" spans="1:8" ht="27" customHeight="1" x14ac:dyDescent="0.75">
      <c r="A147" s="19"/>
      <c r="C147" s="28"/>
      <c r="H147" s="8"/>
    </row>
    <row r="148" spans="1:8" ht="27" customHeight="1" x14ac:dyDescent="0.75">
      <c r="A148" s="19"/>
      <c r="C148" s="28"/>
      <c r="H148" s="8"/>
    </row>
    <row r="149" spans="1:8" ht="27" customHeight="1" x14ac:dyDescent="0.75">
      <c r="A149" s="19"/>
      <c r="C149" s="28"/>
      <c r="H149" s="8"/>
    </row>
    <row r="150" spans="1:8" ht="27" customHeight="1" x14ac:dyDescent="0.75">
      <c r="A150" s="19"/>
      <c r="C150" s="28"/>
      <c r="H150" s="8"/>
    </row>
    <row r="151" spans="1:8" ht="27" customHeight="1" x14ac:dyDescent="0.75">
      <c r="A151" s="19"/>
      <c r="C151" s="28"/>
      <c r="H151" s="8"/>
    </row>
    <row r="152" spans="1:8" ht="27" customHeight="1" x14ac:dyDescent="0.75">
      <c r="A152" s="19"/>
      <c r="C152" s="28"/>
      <c r="H152" s="8"/>
    </row>
    <row r="153" spans="1:8" ht="27" customHeight="1" x14ac:dyDescent="0.75">
      <c r="A153" s="19"/>
      <c r="C153" s="28"/>
      <c r="H153" s="8"/>
    </row>
    <row r="154" spans="1:8" ht="27" customHeight="1" x14ac:dyDescent="0.75">
      <c r="A154" s="19"/>
      <c r="C154" s="28"/>
      <c r="H154" s="8"/>
    </row>
    <row r="155" spans="1:8" ht="27" customHeight="1" x14ac:dyDescent="0.75">
      <c r="A155" s="19"/>
      <c r="C155" s="28"/>
      <c r="H155" s="8"/>
    </row>
    <row r="156" spans="1:8" ht="27" customHeight="1" x14ac:dyDescent="0.75">
      <c r="A156" s="19"/>
      <c r="C156" s="28"/>
      <c r="H156" s="8"/>
    </row>
    <row r="157" spans="1:8" ht="27" customHeight="1" x14ac:dyDescent="0.75">
      <c r="A157" s="19"/>
      <c r="C157" s="28"/>
      <c r="H157" s="8"/>
    </row>
    <row r="158" spans="1:8" ht="27" customHeight="1" x14ac:dyDescent="0.75">
      <c r="A158" s="19"/>
      <c r="C158" s="28"/>
      <c r="H158" s="8"/>
    </row>
    <row r="159" spans="1:8" ht="27" customHeight="1" x14ac:dyDescent="0.75">
      <c r="A159" s="19"/>
      <c r="C159" s="28"/>
      <c r="H159" s="8"/>
    </row>
    <row r="160" spans="1:8" ht="27" customHeight="1" x14ac:dyDescent="0.75">
      <c r="A160" s="19"/>
      <c r="C160" s="28"/>
      <c r="H160" s="8"/>
    </row>
    <row r="161" spans="1:8" ht="27" customHeight="1" x14ac:dyDescent="0.75">
      <c r="A161" s="19"/>
      <c r="C161" s="28"/>
      <c r="H161" s="8"/>
    </row>
    <row r="162" spans="1:8" ht="27" customHeight="1" x14ac:dyDescent="0.75">
      <c r="A162" s="19"/>
      <c r="C162" s="28"/>
      <c r="H162" s="8"/>
    </row>
    <row r="163" spans="1:8" ht="27" customHeight="1" x14ac:dyDescent="0.75">
      <c r="A163" s="19"/>
      <c r="C163" s="28"/>
      <c r="H163" s="8"/>
    </row>
    <row r="164" spans="1:8" ht="27" customHeight="1" x14ac:dyDescent="0.75">
      <c r="A164" s="19"/>
      <c r="C164" s="28"/>
      <c r="H164" s="8"/>
    </row>
    <row r="165" spans="1:8" ht="27" customHeight="1" x14ac:dyDescent="0.75">
      <c r="A165" s="19"/>
      <c r="C165" s="28"/>
      <c r="H165" s="8"/>
    </row>
    <row r="166" spans="1:8" ht="27" customHeight="1" x14ac:dyDescent="0.75">
      <c r="A166" s="19"/>
      <c r="C166" s="28"/>
      <c r="H166" s="8"/>
    </row>
    <row r="167" spans="1:8" ht="27" customHeight="1" x14ac:dyDescent="0.75">
      <c r="A167" s="19"/>
      <c r="C167" s="28"/>
      <c r="H167" s="8"/>
    </row>
    <row r="168" spans="1:8" ht="27" customHeight="1" x14ac:dyDescent="0.75">
      <c r="A168" s="19"/>
      <c r="C168" s="28"/>
      <c r="H168" s="8"/>
    </row>
    <row r="169" spans="1:8" ht="27" customHeight="1" x14ac:dyDescent="0.75">
      <c r="A169" s="19"/>
      <c r="C169" s="28"/>
      <c r="H169" s="8"/>
    </row>
    <row r="170" spans="1:8" ht="27" customHeight="1" x14ac:dyDescent="0.75">
      <c r="A170" s="19"/>
      <c r="C170" s="28"/>
      <c r="H170" s="8"/>
    </row>
    <row r="171" spans="1:8" ht="27" customHeight="1" x14ac:dyDescent="0.75">
      <c r="A171" s="19"/>
      <c r="C171" s="28"/>
      <c r="H171" s="8"/>
    </row>
    <row r="172" spans="1:8" ht="27" customHeight="1" x14ac:dyDescent="0.75">
      <c r="A172" s="19"/>
      <c r="C172" s="28"/>
      <c r="H172" s="8"/>
    </row>
    <row r="173" spans="1:8" ht="27" customHeight="1" x14ac:dyDescent="0.75">
      <c r="A173" s="19"/>
      <c r="C173" s="28"/>
      <c r="H173" s="8"/>
    </row>
    <row r="174" spans="1:8" ht="27" customHeight="1" x14ac:dyDescent="0.75">
      <c r="A174" s="19"/>
      <c r="C174" s="28"/>
      <c r="H174" s="8"/>
    </row>
    <row r="175" spans="1:8" ht="27" customHeight="1" x14ac:dyDescent="0.75">
      <c r="A175" s="19"/>
      <c r="C175" s="28"/>
      <c r="H175" s="8"/>
    </row>
    <row r="176" spans="1:8" ht="27" customHeight="1" x14ac:dyDescent="0.75">
      <c r="A176" s="19"/>
      <c r="C176" s="28"/>
      <c r="H176" s="8"/>
    </row>
    <row r="177" spans="1:8" ht="27" customHeight="1" x14ac:dyDescent="0.75">
      <c r="A177" s="19"/>
      <c r="C177" s="28"/>
      <c r="H177" s="8"/>
    </row>
    <row r="178" spans="1:8" ht="27" customHeight="1" x14ac:dyDescent="0.75">
      <c r="A178" s="19"/>
      <c r="C178" s="28"/>
      <c r="H178" s="8"/>
    </row>
    <row r="179" spans="1:8" ht="27" customHeight="1" x14ac:dyDescent="0.75">
      <c r="A179" s="19"/>
      <c r="C179" s="28"/>
      <c r="H179" s="8"/>
    </row>
    <row r="180" spans="1:8" ht="27" customHeight="1" x14ac:dyDescent="0.75">
      <c r="A180" s="19"/>
      <c r="C180" s="28"/>
      <c r="H180" s="8"/>
    </row>
    <row r="181" spans="1:8" ht="27" customHeight="1" x14ac:dyDescent="0.75">
      <c r="A181" s="19"/>
      <c r="C181" s="28"/>
      <c r="H181" s="8"/>
    </row>
    <row r="182" spans="1:8" ht="27" customHeight="1" x14ac:dyDescent="0.75">
      <c r="A182" s="19"/>
      <c r="C182" s="28"/>
      <c r="H182" s="8"/>
    </row>
    <row r="183" spans="1:8" ht="27" customHeight="1" x14ac:dyDescent="0.75">
      <c r="A183" s="19"/>
      <c r="C183" s="28"/>
      <c r="H183" s="8"/>
    </row>
    <row r="184" spans="1:8" ht="27" customHeight="1" x14ac:dyDescent="0.75">
      <c r="A184" s="19"/>
      <c r="C184" s="28"/>
      <c r="H184" s="8"/>
    </row>
    <row r="185" spans="1:8" ht="27" customHeight="1" x14ac:dyDescent="0.75">
      <c r="A185" s="19"/>
      <c r="C185" s="28"/>
      <c r="H185" s="8"/>
    </row>
    <row r="186" spans="1:8" ht="27" customHeight="1" x14ac:dyDescent="0.75">
      <c r="A186" s="19"/>
      <c r="C186" s="28"/>
      <c r="H186" s="8"/>
    </row>
    <row r="187" spans="1:8" ht="27" customHeight="1" x14ac:dyDescent="0.75">
      <c r="A187" s="19"/>
      <c r="C187" s="28"/>
      <c r="H187" s="8"/>
    </row>
    <row r="188" spans="1:8" ht="27" customHeight="1" x14ac:dyDescent="0.75">
      <c r="A188" s="19"/>
      <c r="C188" s="28"/>
      <c r="H188" s="8"/>
    </row>
    <row r="189" spans="1:8" ht="27" customHeight="1" x14ac:dyDescent="0.75">
      <c r="A189" s="19"/>
      <c r="C189" s="28"/>
      <c r="H189" s="8"/>
    </row>
    <row r="190" spans="1:8" ht="27" customHeight="1" x14ac:dyDescent="0.75">
      <c r="A190" s="19"/>
      <c r="C190" s="28"/>
      <c r="H190" s="8"/>
    </row>
    <row r="191" spans="1:8" ht="27" customHeight="1" x14ac:dyDescent="0.75">
      <c r="A191" s="19"/>
      <c r="C191" s="28"/>
      <c r="H191" s="8"/>
    </row>
    <row r="192" spans="1:8" ht="27" customHeight="1" x14ac:dyDescent="0.75">
      <c r="A192" s="19"/>
      <c r="C192" s="28"/>
      <c r="H192" s="8"/>
    </row>
    <row r="193" spans="1:8" ht="27" customHeight="1" x14ac:dyDescent="0.75">
      <c r="A193" s="19"/>
      <c r="C193" s="28"/>
      <c r="H193" s="8"/>
    </row>
    <row r="194" spans="1:8" ht="27" customHeight="1" x14ac:dyDescent="0.75">
      <c r="A194" s="19"/>
      <c r="C194" s="28"/>
      <c r="H194" s="8"/>
    </row>
    <row r="195" spans="1:8" ht="27" customHeight="1" x14ac:dyDescent="0.75">
      <c r="A195" s="19"/>
      <c r="C195" s="28"/>
      <c r="H195" s="8"/>
    </row>
    <row r="196" spans="1:8" ht="27" customHeight="1" x14ac:dyDescent="0.75">
      <c r="A196" s="19"/>
      <c r="C196" s="28"/>
      <c r="H196" s="8"/>
    </row>
    <row r="197" spans="1:8" ht="27" customHeight="1" x14ac:dyDescent="0.75">
      <c r="A197" s="19"/>
      <c r="C197" s="28"/>
      <c r="H197" s="8"/>
    </row>
    <row r="198" spans="1:8" ht="27" customHeight="1" x14ac:dyDescent="0.75">
      <c r="A198" s="19"/>
      <c r="C198" s="28"/>
      <c r="H198" s="8"/>
    </row>
    <row r="199" spans="1:8" ht="27" customHeight="1" x14ac:dyDescent="0.75">
      <c r="A199" s="19"/>
      <c r="C199" s="28"/>
      <c r="H199" s="8"/>
    </row>
    <row r="200" spans="1:8" ht="27" customHeight="1" x14ac:dyDescent="0.75">
      <c r="A200" s="19"/>
      <c r="C200" s="28"/>
      <c r="H200" s="8"/>
    </row>
    <row r="201" spans="1:8" ht="27" customHeight="1" x14ac:dyDescent="0.75">
      <c r="A201" s="19"/>
      <c r="C201" s="28"/>
      <c r="H201" s="8"/>
    </row>
    <row r="202" spans="1:8" ht="27" customHeight="1" x14ac:dyDescent="0.75">
      <c r="A202" s="19"/>
      <c r="C202" s="28"/>
      <c r="H202" s="8"/>
    </row>
    <row r="203" spans="1:8" ht="27" customHeight="1" x14ac:dyDescent="0.75">
      <c r="A203" s="19"/>
      <c r="C203" s="28"/>
      <c r="H203" s="8"/>
    </row>
    <row r="204" spans="1:8" ht="27" customHeight="1" x14ac:dyDescent="0.75">
      <c r="A204" s="19"/>
      <c r="C204" s="28"/>
      <c r="H204" s="8"/>
    </row>
    <row r="205" spans="1:8" ht="27" customHeight="1" x14ac:dyDescent="0.75">
      <c r="A205" s="19"/>
      <c r="C205" s="28"/>
      <c r="H205" s="8"/>
    </row>
    <row r="206" spans="1:8" ht="27" customHeight="1" x14ac:dyDescent="0.75">
      <c r="A206" s="19"/>
      <c r="C206" s="28"/>
      <c r="H206" s="8"/>
    </row>
    <row r="207" spans="1:8" ht="27" customHeight="1" x14ac:dyDescent="0.75">
      <c r="A207" s="19"/>
      <c r="C207" s="28"/>
      <c r="H207" s="8"/>
    </row>
    <row r="208" spans="1:8" ht="27" customHeight="1" x14ac:dyDescent="0.75">
      <c r="A208" s="19"/>
      <c r="C208" s="28"/>
      <c r="H208" s="8"/>
    </row>
    <row r="209" spans="1:8" ht="27" customHeight="1" x14ac:dyDescent="0.75">
      <c r="A209" s="19"/>
      <c r="C209" s="28"/>
      <c r="H209" s="8"/>
    </row>
    <row r="210" spans="1:8" ht="27" customHeight="1" x14ac:dyDescent="0.75">
      <c r="A210" s="19"/>
      <c r="C210" s="28"/>
      <c r="H210" s="8"/>
    </row>
    <row r="211" spans="1:8" ht="27" customHeight="1" x14ac:dyDescent="0.75">
      <c r="A211" s="19"/>
      <c r="C211" s="28"/>
      <c r="H211" s="8"/>
    </row>
    <row r="212" spans="1:8" ht="27" customHeight="1" x14ac:dyDescent="0.75">
      <c r="A212" s="19"/>
      <c r="C212" s="28"/>
      <c r="H212" s="8"/>
    </row>
    <row r="213" spans="1:8" ht="27" customHeight="1" x14ac:dyDescent="0.75">
      <c r="A213" s="19"/>
      <c r="C213" s="28"/>
      <c r="H213" s="8"/>
    </row>
    <row r="214" spans="1:8" ht="27" customHeight="1" x14ac:dyDescent="0.75">
      <c r="A214" s="19"/>
      <c r="C214" s="28"/>
      <c r="H214" s="8"/>
    </row>
    <row r="215" spans="1:8" ht="27" customHeight="1" x14ac:dyDescent="0.75">
      <c r="A215" s="19"/>
      <c r="C215" s="28"/>
      <c r="H215" s="8"/>
    </row>
    <row r="216" spans="1:8" ht="27" customHeight="1" x14ac:dyDescent="0.75">
      <c r="A216" s="19"/>
      <c r="C216" s="28"/>
      <c r="H216" s="8"/>
    </row>
    <row r="217" spans="1:8" ht="27" customHeight="1" x14ac:dyDescent="0.75">
      <c r="A217" s="19"/>
      <c r="C217" s="28"/>
      <c r="H217" s="8"/>
    </row>
    <row r="218" spans="1:8" ht="27" customHeight="1" x14ac:dyDescent="0.75">
      <c r="A218" s="19"/>
      <c r="C218" s="28"/>
      <c r="H218" s="8"/>
    </row>
    <row r="219" spans="1:8" ht="27" customHeight="1" x14ac:dyDescent="0.75">
      <c r="A219" s="19"/>
      <c r="C219" s="28"/>
      <c r="H219" s="8"/>
    </row>
    <row r="220" spans="1:8" ht="27" customHeight="1" x14ac:dyDescent="0.75">
      <c r="A220" s="19"/>
      <c r="C220" s="28"/>
      <c r="H220" s="8"/>
    </row>
    <row r="221" spans="1:8" ht="27" customHeight="1" x14ac:dyDescent="0.75">
      <c r="A221" s="19"/>
      <c r="C221" s="28"/>
      <c r="H221" s="8"/>
    </row>
    <row r="222" spans="1:8" ht="27" customHeight="1" x14ac:dyDescent="0.75">
      <c r="A222" s="19"/>
      <c r="C222" s="28"/>
      <c r="H222" s="8"/>
    </row>
    <row r="223" spans="1:8" ht="27" customHeight="1" x14ac:dyDescent="0.75">
      <c r="A223" s="19"/>
      <c r="C223" s="28"/>
      <c r="H223" s="8"/>
    </row>
    <row r="224" spans="1:8" ht="27" customHeight="1" x14ac:dyDescent="0.75">
      <c r="A224" s="19"/>
      <c r="C224" s="28"/>
      <c r="H224" s="8"/>
    </row>
    <row r="225" spans="1:8" ht="27" customHeight="1" x14ac:dyDescent="0.75">
      <c r="A225" s="19"/>
      <c r="C225" s="28"/>
      <c r="H225" s="8"/>
    </row>
    <row r="226" spans="1:8" ht="27" customHeight="1" x14ac:dyDescent="0.75">
      <c r="A226" s="19"/>
      <c r="C226" s="28"/>
      <c r="H226" s="8"/>
    </row>
    <row r="227" spans="1:8" ht="27" customHeight="1" x14ac:dyDescent="0.75">
      <c r="A227" s="19"/>
      <c r="C227" s="28"/>
      <c r="H227" s="8"/>
    </row>
    <row r="228" spans="1:8" ht="27" customHeight="1" x14ac:dyDescent="0.75">
      <c r="A228" s="19"/>
      <c r="C228" s="28"/>
      <c r="H228" s="8"/>
    </row>
    <row r="229" spans="1:8" ht="27" customHeight="1" x14ac:dyDescent="0.75">
      <c r="A229" s="19"/>
      <c r="C229" s="28"/>
      <c r="H229" s="8"/>
    </row>
    <row r="230" spans="1:8" ht="27" customHeight="1" x14ac:dyDescent="0.75">
      <c r="A230" s="19"/>
      <c r="C230" s="28"/>
      <c r="H230" s="8"/>
    </row>
    <row r="231" spans="1:8" ht="27" customHeight="1" x14ac:dyDescent="0.75">
      <c r="A231" s="19"/>
      <c r="C231" s="28"/>
      <c r="H231" s="8"/>
    </row>
    <row r="232" spans="1:8" ht="27" customHeight="1" x14ac:dyDescent="0.75">
      <c r="A232" s="19"/>
      <c r="C232" s="28"/>
      <c r="H232" s="8"/>
    </row>
    <row r="233" spans="1:8" ht="27" customHeight="1" x14ac:dyDescent="0.75">
      <c r="A233" s="19"/>
      <c r="C233" s="28"/>
      <c r="H233" s="8"/>
    </row>
    <row r="234" spans="1:8" ht="27" customHeight="1" x14ac:dyDescent="0.75">
      <c r="A234" s="19"/>
      <c r="C234" s="28"/>
      <c r="H234" s="8"/>
    </row>
    <row r="235" spans="1:8" ht="27" customHeight="1" x14ac:dyDescent="0.75">
      <c r="A235" s="19"/>
      <c r="C235" s="28"/>
      <c r="H235" s="8"/>
    </row>
    <row r="236" spans="1:8" ht="27" customHeight="1" x14ac:dyDescent="0.75">
      <c r="A236" s="19"/>
      <c r="C236" s="28"/>
      <c r="H236" s="8"/>
    </row>
    <row r="237" spans="1:8" ht="27" customHeight="1" x14ac:dyDescent="0.75">
      <c r="A237" s="19"/>
      <c r="C237" s="28"/>
      <c r="H237" s="8"/>
    </row>
    <row r="238" spans="1:8" ht="27" customHeight="1" x14ac:dyDescent="0.75">
      <c r="A238" s="19"/>
      <c r="C238" s="28"/>
      <c r="H238" s="8"/>
    </row>
    <row r="239" spans="1:8" ht="27" customHeight="1" x14ac:dyDescent="0.75">
      <c r="A239" s="19"/>
      <c r="C239" s="28"/>
      <c r="H239" s="8"/>
    </row>
    <row r="240" spans="1:8" ht="27" customHeight="1" x14ac:dyDescent="0.75">
      <c r="A240" s="19"/>
      <c r="C240" s="28"/>
      <c r="H240" s="8"/>
    </row>
    <row r="241" spans="1:8" ht="27" customHeight="1" x14ac:dyDescent="0.75">
      <c r="A241" s="19"/>
      <c r="C241" s="28"/>
      <c r="H241" s="8"/>
    </row>
    <row r="242" spans="1:8" ht="27" customHeight="1" x14ac:dyDescent="0.75">
      <c r="A242" s="19"/>
      <c r="C242" s="28"/>
      <c r="H242" s="8"/>
    </row>
    <row r="243" spans="1:8" ht="27" customHeight="1" x14ac:dyDescent="0.75">
      <c r="A243" s="19"/>
      <c r="C243" s="28"/>
      <c r="H243" s="8"/>
    </row>
    <row r="244" spans="1:8" ht="27" customHeight="1" x14ac:dyDescent="0.75">
      <c r="A244" s="19"/>
      <c r="C244" s="28"/>
      <c r="H244" s="8"/>
    </row>
    <row r="245" spans="1:8" ht="27" customHeight="1" x14ac:dyDescent="0.75">
      <c r="A245" s="19"/>
      <c r="C245" s="28"/>
      <c r="H245" s="8"/>
    </row>
    <row r="246" spans="1:8" ht="27" customHeight="1" x14ac:dyDescent="0.75">
      <c r="A246" s="19"/>
      <c r="C246" s="28"/>
      <c r="H246" s="8"/>
    </row>
    <row r="247" spans="1:8" ht="27" customHeight="1" x14ac:dyDescent="0.75">
      <c r="A247" s="19"/>
      <c r="C247" s="28"/>
      <c r="H247" s="8"/>
    </row>
    <row r="248" spans="1:8" ht="27" customHeight="1" x14ac:dyDescent="0.75">
      <c r="A248" s="19"/>
      <c r="C248" s="28"/>
      <c r="H248" s="8"/>
    </row>
    <row r="249" spans="1:8" ht="27" customHeight="1" x14ac:dyDescent="0.75">
      <c r="A249" s="19"/>
      <c r="C249" s="28"/>
      <c r="H249" s="8"/>
    </row>
    <row r="250" spans="1:8" ht="27" customHeight="1" x14ac:dyDescent="0.75">
      <c r="A250" s="19"/>
      <c r="C250" s="28"/>
      <c r="H250" s="8"/>
    </row>
    <row r="251" spans="1:8" ht="27" customHeight="1" x14ac:dyDescent="0.75">
      <c r="A251" s="19"/>
      <c r="C251" s="28"/>
      <c r="H251" s="8"/>
    </row>
    <row r="252" spans="1:8" ht="27" customHeight="1" x14ac:dyDescent="0.75">
      <c r="A252" s="19"/>
      <c r="C252" s="28"/>
      <c r="H252" s="8"/>
    </row>
    <row r="253" spans="1:8" ht="27" customHeight="1" x14ac:dyDescent="0.75">
      <c r="A253" s="19"/>
      <c r="C253" s="28"/>
      <c r="H253" s="8"/>
    </row>
    <row r="254" spans="1:8" ht="27" customHeight="1" x14ac:dyDescent="0.75">
      <c r="A254" s="19"/>
      <c r="C254" s="28"/>
      <c r="H254" s="8"/>
    </row>
    <row r="255" spans="1:8" ht="27" customHeight="1" x14ac:dyDescent="0.75">
      <c r="A255" s="19"/>
      <c r="C255" s="28"/>
      <c r="H255" s="8"/>
    </row>
    <row r="256" spans="1:8" ht="27" customHeight="1" x14ac:dyDescent="0.75">
      <c r="A256" s="19"/>
      <c r="C256" s="28"/>
      <c r="H256" s="8"/>
    </row>
    <row r="257" spans="1:8" ht="27" customHeight="1" x14ac:dyDescent="0.75">
      <c r="A257" s="19"/>
      <c r="C257" s="28"/>
      <c r="H257" s="8"/>
    </row>
    <row r="258" spans="1:8" ht="27" customHeight="1" x14ac:dyDescent="0.75">
      <c r="A258" s="19"/>
      <c r="C258" s="28"/>
      <c r="H258" s="8"/>
    </row>
    <row r="259" spans="1:8" ht="27" customHeight="1" x14ac:dyDescent="0.75">
      <c r="A259" s="19"/>
      <c r="C259" s="28"/>
      <c r="H259" s="8"/>
    </row>
    <row r="260" spans="1:8" ht="27" customHeight="1" x14ac:dyDescent="0.75">
      <c r="A260" s="19"/>
      <c r="C260" s="28"/>
      <c r="H260" s="8"/>
    </row>
    <row r="261" spans="1:8" ht="27" customHeight="1" x14ac:dyDescent="0.75">
      <c r="A261" s="19"/>
      <c r="C261" s="28"/>
      <c r="H261" s="8"/>
    </row>
    <row r="262" spans="1:8" ht="27" customHeight="1" x14ac:dyDescent="0.75">
      <c r="A262" s="19"/>
      <c r="C262" s="28"/>
      <c r="H262" s="8"/>
    </row>
    <row r="263" spans="1:8" ht="27" customHeight="1" x14ac:dyDescent="0.75">
      <c r="A263" s="19"/>
      <c r="C263" s="28"/>
      <c r="H263" s="8"/>
    </row>
    <row r="264" spans="1:8" ht="27" customHeight="1" x14ac:dyDescent="0.75">
      <c r="A264" s="19"/>
      <c r="C264" s="28"/>
      <c r="H264" s="8"/>
    </row>
    <row r="265" spans="1:8" ht="27" customHeight="1" x14ac:dyDescent="0.75">
      <c r="A265" s="19"/>
      <c r="C265" s="28"/>
      <c r="H265" s="8"/>
    </row>
    <row r="266" spans="1:8" ht="27" customHeight="1" x14ac:dyDescent="0.75">
      <c r="A266" s="19"/>
      <c r="C266" s="28"/>
      <c r="H266" s="8"/>
    </row>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20"/>
  <sheetViews>
    <sheetView topLeftCell="B46" zoomScale="108" workbookViewId="0">
      <selection activeCell="C44" sqref="C44"/>
    </sheetView>
  </sheetViews>
  <sheetFormatPr defaultColWidth="14.5" defaultRowHeight="15" customHeight="1" x14ac:dyDescent="0.75"/>
  <cols>
    <col min="1" max="1" width="16.1796875" customWidth="1"/>
    <col min="2" max="2" width="63" customWidth="1"/>
    <col min="3" max="3" width="16.1796875" customWidth="1"/>
    <col min="4" max="4" width="24.5" customWidth="1"/>
    <col min="5" max="6" width="8.81640625" customWidth="1"/>
    <col min="7" max="7" width="15.31640625" customWidth="1"/>
    <col min="8" max="8" width="62.5" customWidth="1"/>
  </cols>
  <sheetData>
    <row r="1" spans="1:8" ht="27" customHeight="1" x14ac:dyDescent="0.75">
      <c r="A1" s="19"/>
      <c r="B1" s="1" t="s">
        <v>138</v>
      </c>
      <c r="C1" s="28"/>
      <c r="H1" s="8"/>
    </row>
    <row r="2" spans="1:8" ht="63" customHeight="1" x14ac:dyDescent="0.75">
      <c r="A2" s="248"/>
      <c r="B2" s="249" t="s">
        <v>139</v>
      </c>
      <c r="C2" s="250" t="s">
        <v>509</v>
      </c>
      <c r="D2" s="251"/>
      <c r="H2" s="8"/>
    </row>
    <row r="3" spans="1:8" ht="18.75" customHeight="1" x14ac:dyDescent="0.75">
      <c r="A3" s="252"/>
      <c r="B3" s="253" t="s">
        <v>0</v>
      </c>
      <c r="C3" s="254" t="s">
        <v>1</v>
      </c>
      <c r="D3" s="266" t="s">
        <v>510</v>
      </c>
      <c r="E3" s="10"/>
      <c r="F3" s="10"/>
      <c r="G3" s="10"/>
      <c r="H3" s="10" t="s">
        <v>6</v>
      </c>
    </row>
    <row r="4" spans="1:8" ht="40.5" customHeight="1" x14ac:dyDescent="0.75">
      <c r="A4" s="486" t="s">
        <v>511</v>
      </c>
      <c r="B4" s="171" t="s">
        <v>71</v>
      </c>
      <c r="C4" s="242">
        <v>0</v>
      </c>
      <c r="D4" s="214">
        <f t="shared" ref="D4:D15" si="0">IF($C$20&lt;&gt;0,C4/$C$20*(1-$C$18),0)</f>
        <v>0</v>
      </c>
      <c r="H4" s="11" t="s">
        <v>72</v>
      </c>
    </row>
    <row r="5" spans="1:8" ht="32.25" customHeight="1" x14ac:dyDescent="0.75">
      <c r="A5" s="487"/>
      <c r="B5" s="171" t="s">
        <v>73</v>
      </c>
      <c r="C5" s="241">
        <v>0</v>
      </c>
      <c r="D5" s="214">
        <f t="shared" si="0"/>
        <v>0</v>
      </c>
      <c r="H5" s="11"/>
    </row>
    <row r="6" spans="1:8" ht="33" customHeight="1" x14ac:dyDescent="0.75">
      <c r="A6" s="487"/>
      <c r="B6" s="171" t="s">
        <v>74</v>
      </c>
      <c r="C6" s="241">
        <v>0</v>
      </c>
      <c r="D6" s="214">
        <f t="shared" si="0"/>
        <v>0</v>
      </c>
      <c r="H6" s="11"/>
    </row>
    <row r="7" spans="1:8" ht="33" customHeight="1" x14ac:dyDescent="0.75">
      <c r="A7" s="487"/>
      <c r="B7" s="171" t="s">
        <v>75</v>
      </c>
      <c r="C7" s="241">
        <v>0</v>
      </c>
      <c r="D7" s="214">
        <f t="shared" si="0"/>
        <v>0</v>
      </c>
      <c r="H7" s="11"/>
    </row>
    <row r="8" spans="1:8" ht="33" customHeight="1" x14ac:dyDescent="0.75">
      <c r="A8" s="487"/>
      <c r="B8" s="172" t="s">
        <v>140</v>
      </c>
      <c r="C8" s="241">
        <v>0</v>
      </c>
      <c r="D8" s="214">
        <f t="shared" si="0"/>
        <v>0</v>
      </c>
      <c r="H8" s="11"/>
    </row>
    <row r="9" spans="1:8" ht="33" customHeight="1" x14ac:dyDescent="0.75">
      <c r="A9" s="487"/>
      <c r="B9" s="172" t="s">
        <v>500</v>
      </c>
      <c r="C9" s="241">
        <v>0</v>
      </c>
      <c r="D9" s="214">
        <f t="shared" si="0"/>
        <v>0</v>
      </c>
      <c r="H9" s="11"/>
    </row>
    <row r="10" spans="1:8" ht="53.25" customHeight="1" x14ac:dyDescent="0.75">
      <c r="A10" s="487"/>
      <c r="B10" s="172" t="s">
        <v>141</v>
      </c>
      <c r="C10" s="241">
        <v>0</v>
      </c>
      <c r="D10" s="214">
        <f t="shared" si="0"/>
        <v>0</v>
      </c>
      <c r="H10" s="11"/>
    </row>
    <row r="11" spans="1:8" ht="30" customHeight="1" x14ac:dyDescent="0.75">
      <c r="A11" s="487"/>
      <c r="B11" s="172" t="s">
        <v>142</v>
      </c>
      <c r="C11" s="241">
        <v>0</v>
      </c>
      <c r="D11" s="214">
        <f t="shared" si="0"/>
        <v>0</v>
      </c>
      <c r="H11" s="489"/>
    </row>
    <row r="12" spans="1:8" ht="30" customHeight="1" x14ac:dyDescent="0.75">
      <c r="A12" s="487"/>
      <c r="B12" s="172" t="s">
        <v>143</v>
      </c>
      <c r="C12" s="241">
        <v>0</v>
      </c>
      <c r="D12" s="214">
        <f t="shared" si="0"/>
        <v>0</v>
      </c>
      <c r="H12" s="490"/>
    </row>
    <row r="13" spans="1:8" ht="56.25" customHeight="1" x14ac:dyDescent="0.75">
      <c r="A13" s="487"/>
      <c r="B13" s="172" t="s">
        <v>144</v>
      </c>
      <c r="C13" s="241">
        <v>1</v>
      </c>
      <c r="D13" s="214">
        <f t="shared" si="0"/>
        <v>1</v>
      </c>
      <c r="E13" s="127" t="s">
        <v>494</v>
      </c>
      <c r="H13" s="156"/>
    </row>
    <row r="14" spans="1:8" ht="15.75" customHeight="1" x14ac:dyDescent="0.75">
      <c r="A14" s="487"/>
      <c r="B14" s="173" t="s">
        <v>573</v>
      </c>
      <c r="C14" s="241">
        <v>0</v>
      </c>
      <c r="D14" s="214">
        <f t="shared" si="0"/>
        <v>0</v>
      </c>
      <c r="E14" s="127"/>
      <c r="H14" s="156"/>
    </row>
    <row r="15" spans="1:8" ht="18.75" customHeight="1" x14ac:dyDescent="0.75">
      <c r="A15" s="488"/>
      <c r="B15" s="173" t="s">
        <v>145</v>
      </c>
      <c r="C15" s="241">
        <v>0</v>
      </c>
      <c r="D15" s="214">
        <f t="shared" si="0"/>
        <v>0</v>
      </c>
      <c r="F15" s="114"/>
      <c r="G15" s="114"/>
      <c r="H15" s="11"/>
    </row>
    <row r="16" spans="1:8" ht="18.75" customHeight="1" x14ac:dyDescent="0.75">
      <c r="A16" s="234"/>
      <c r="B16" s="165" t="s">
        <v>146</v>
      </c>
      <c r="C16" s="113">
        <v>1</v>
      </c>
      <c r="D16" s="243">
        <v>1</v>
      </c>
      <c r="E16" s="127" t="s">
        <v>495</v>
      </c>
      <c r="H16" s="11"/>
    </row>
    <row r="17" spans="1:8" ht="18.75" customHeight="1" x14ac:dyDescent="0.75">
      <c r="A17" s="234"/>
      <c r="B17" s="165" t="s">
        <v>147</v>
      </c>
      <c r="C17" s="113">
        <v>1</v>
      </c>
      <c r="D17" s="243">
        <v>1</v>
      </c>
      <c r="E17" s="127" t="s">
        <v>495</v>
      </c>
      <c r="H17" s="11"/>
    </row>
    <row r="18" spans="1:8" ht="27" customHeight="1" x14ac:dyDescent="0.75">
      <c r="A18" s="237"/>
      <c r="B18" s="238" t="s">
        <v>387</v>
      </c>
      <c r="C18" s="218">
        <v>0</v>
      </c>
      <c r="D18" s="224">
        <f>C18</f>
        <v>0</v>
      </c>
      <c r="H18" s="8"/>
    </row>
    <row r="19" spans="1:8" ht="16.5" customHeight="1" x14ac:dyDescent="0.75">
      <c r="A19" s="19"/>
      <c r="B19" s="11"/>
      <c r="C19" s="127" t="s">
        <v>518</v>
      </c>
      <c r="D19" s="8"/>
    </row>
    <row r="20" spans="1:8" ht="16.5" customHeight="1" x14ac:dyDescent="0.75">
      <c r="A20" s="19"/>
      <c r="B20" s="11" t="s">
        <v>389</v>
      </c>
      <c r="C20" s="112">
        <f>SUM(C4:C15)</f>
        <v>1</v>
      </c>
      <c r="D20" s="8"/>
    </row>
    <row r="21" spans="1:8" ht="16.5" customHeight="1" x14ac:dyDescent="0.75">
      <c r="A21" s="19"/>
      <c r="B21" s="11"/>
      <c r="C21" s="12"/>
      <c r="D21" s="8"/>
    </row>
    <row r="22" spans="1:8" ht="16.5" customHeight="1" x14ac:dyDescent="0.75">
      <c r="A22" s="19"/>
      <c r="B22" s="11"/>
      <c r="C22" s="12"/>
      <c r="D22" s="8"/>
    </row>
    <row r="23" spans="1:8" ht="16.5" customHeight="1" x14ac:dyDescent="0.75">
      <c r="A23" s="19"/>
      <c r="B23" s="11"/>
      <c r="C23" s="12"/>
      <c r="D23" s="8"/>
    </row>
    <row r="24" spans="1:8" ht="16.5" customHeight="1" x14ac:dyDescent="0.75">
      <c r="A24" s="19"/>
      <c r="B24" s="11"/>
      <c r="C24" s="12"/>
      <c r="D24" s="8"/>
    </row>
    <row r="25" spans="1:8" ht="16.5" customHeight="1" x14ac:dyDescent="0.75">
      <c r="A25" s="19"/>
      <c r="B25" s="11"/>
      <c r="C25" s="12"/>
      <c r="D25" s="8"/>
    </row>
    <row r="26" spans="1:8" ht="16.5" customHeight="1" x14ac:dyDescent="0.75">
      <c r="A26" s="19"/>
      <c r="B26" s="156" t="s">
        <v>521</v>
      </c>
      <c r="C26" s="12"/>
      <c r="D26" s="8"/>
    </row>
    <row r="27" spans="1:8" ht="16.5" customHeight="1" x14ac:dyDescent="0.75">
      <c r="A27" s="19"/>
      <c r="B27" s="378" t="s">
        <v>112</v>
      </c>
      <c r="C27" s="379" t="s">
        <v>148</v>
      </c>
      <c r="D27" s="380"/>
    </row>
    <row r="28" spans="1:8" ht="16.5" customHeight="1" x14ac:dyDescent="0.75">
      <c r="A28" s="19"/>
      <c r="B28" s="331" t="s">
        <v>30</v>
      </c>
      <c r="C28" s="365">
        <f>$C$47*$D$8</f>
        <v>0</v>
      </c>
      <c r="D28" s="381" t="s">
        <v>149</v>
      </c>
    </row>
    <row r="29" spans="1:8" ht="14.25" customHeight="1" x14ac:dyDescent="0.75">
      <c r="B29" s="331" t="s">
        <v>32</v>
      </c>
      <c r="C29" s="363">
        <v>0</v>
      </c>
      <c r="D29" s="332" t="s">
        <v>150</v>
      </c>
    </row>
    <row r="30" spans="1:8" ht="16.5" customHeight="1" x14ac:dyDescent="0.75">
      <c r="A30" s="19"/>
      <c r="B30" s="331" t="s">
        <v>34</v>
      </c>
      <c r="C30" s="365">
        <f>$C$47*$D$12</f>
        <v>0</v>
      </c>
      <c r="D30" s="381" t="s">
        <v>151</v>
      </c>
    </row>
    <row r="31" spans="1:8" ht="16.5" customHeight="1" x14ac:dyDescent="0.75">
      <c r="A31" s="19"/>
      <c r="B31" s="331" t="s">
        <v>36</v>
      </c>
      <c r="C31" s="365">
        <f>$C$47*D10</f>
        <v>0</v>
      </c>
      <c r="D31" s="381" t="s">
        <v>152</v>
      </c>
    </row>
    <row r="32" spans="1:8" ht="16.5" customHeight="1" x14ac:dyDescent="0.75">
      <c r="A32" s="19"/>
      <c r="B32" s="331" t="s">
        <v>38</v>
      </c>
      <c r="C32" s="365">
        <f>D4*$C$47*C17</f>
        <v>0</v>
      </c>
      <c r="D32" s="382" t="s">
        <v>89</v>
      </c>
    </row>
    <row r="33" spans="1:7" ht="16.5" customHeight="1" x14ac:dyDescent="0.75">
      <c r="A33" s="19"/>
      <c r="B33" s="331" t="s">
        <v>40</v>
      </c>
      <c r="C33" s="365">
        <f>D5*$C$47*C17</f>
        <v>0</v>
      </c>
      <c r="D33" s="382" t="s">
        <v>90</v>
      </c>
    </row>
    <row r="34" spans="1:7" ht="16.5" customHeight="1" x14ac:dyDescent="0.75">
      <c r="A34" s="19"/>
      <c r="B34" s="331" t="s">
        <v>41</v>
      </c>
      <c r="C34" s="365">
        <f>D6*$C$47*C17</f>
        <v>0</v>
      </c>
      <c r="D34" s="382" t="s">
        <v>91</v>
      </c>
    </row>
    <row r="35" spans="1:7" ht="16.5" customHeight="1" x14ac:dyDescent="0.75">
      <c r="A35" s="19"/>
      <c r="B35" s="331" t="s">
        <v>42</v>
      </c>
      <c r="C35" s="365">
        <f>D7*$C$47*C17</f>
        <v>0</v>
      </c>
      <c r="D35" s="382" t="s">
        <v>92</v>
      </c>
    </row>
    <row r="36" spans="1:7" ht="16.5" customHeight="1" x14ac:dyDescent="0.75">
      <c r="A36" s="19"/>
      <c r="B36" s="331" t="s">
        <v>43</v>
      </c>
      <c r="C36" s="365">
        <f>D18*C$47*C16</f>
        <v>0</v>
      </c>
      <c r="D36" s="382" t="s">
        <v>93</v>
      </c>
      <c r="G36" s="110">
        <f>SUM(Lodges!C30,Restaurants!C30,SUM(Households!C33:D33),NatParkPA!C30,Tourism!C29,ComRevSh!C28)/(1-C10-C8-C11-C12)</f>
        <v>36662.372114388367</v>
      </c>
    </row>
    <row r="37" spans="1:7" ht="16.5" customHeight="1" x14ac:dyDescent="0.75">
      <c r="A37" s="19"/>
      <c r="B37" s="331" t="s">
        <v>45</v>
      </c>
      <c r="C37" s="383">
        <v>0</v>
      </c>
      <c r="D37" s="382" t="s">
        <v>153</v>
      </c>
      <c r="G37" s="110">
        <f>SUM(Lodges!C30,Restaurants!C30,SUM(Households!C33:D33),NatParkPA!C30,Tourism!C29,ComRevSh!C28)</f>
        <v>36662.372114388367</v>
      </c>
    </row>
    <row r="38" spans="1:7" ht="16.5" customHeight="1" x14ac:dyDescent="0.75">
      <c r="A38" s="19"/>
      <c r="B38" s="331" t="s">
        <v>47</v>
      </c>
      <c r="C38" s="383">
        <v>0</v>
      </c>
      <c r="D38" s="382" t="s">
        <v>153</v>
      </c>
      <c r="G38" s="110"/>
    </row>
    <row r="39" spans="1:7" ht="16.5" customHeight="1" x14ac:dyDescent="0.75">
      <c r="A39" s="19"/>
      <c r="B39" s="331" t="s">
        <v>48</v>
      </c>
      <c r="C39" s="383">
        <v>0</v>
      </c>
      <c r="D39" s="382" t="s">
        <v>154</v>
      </c>
      <c r="G39" s="110"/>
    </row>
    <row r="40" spans="1:7" ht="16.5" customHeight="1" x14ac:dyDescent="0.75">
      <c r="A40" s="19"/>
      <c r="B40" s="331" t="s">
        <v>50</v>
      </c>
      <c r="C40" s="383">
        <v>0</v>
      </c>
      <c r="D40" s="382" t="s">
        <v>155</v>
      </c>
      <c r="G40" s="110"/>
    </row>
    <row r="41" spans="1:7" ht="16.5" customHeight="1" x14ac:dyDescent="0.75">
      <c r="A41" s="19"/>
      <c r="B41" s="331" t="s">
        <v>52</v>
      </c>
      <c r="C41" s="383">
        <v>0</v>
      </c>
      <c r="D41" s="382" t="s">
        <v>156</v>
      </c>
      <c r="G41" s="110"/>
    </row>
    <row r="42" spans="1:7" ht="16.5" customHeight="1" x14ac:dyDescent="0.75">
      <c r="A42" s="19"/>
      <c r="B42" s="331" t="s">
        <v>54</v>
      </c>
      <c r="C42" s="365">
        <v>0</v>
      </c>
      <c r="D42" s="382" t="s">
        <v>157</v>
      </c>
      <c r="G42" s="110"/>
    </row>
    <row r="43" spans="1:7" ht="16.5" customHeight="1" x14ac:dyDescent="0.75">
      <c r="A43" s="19"/>
      <c r="B43" s="329" t="s">
        <v>570</v>
      </c>
      <c r="C43" s="480">
        <f>$D$14*$C$47</f>
        <v>0</v>
      </c>
      <c r="D43" s="346" t="s">
        <v>571</v>
      </c>
      <c r="G43" s="110"/>
    </row>
    <row r="44" spans="1:7" ht="16.5" customHeight="1" x14ac:dyDescent="0.75">
      <c r="A44" s="19"/>
      <c r="B44" s="329" t="s">
        <v>57</v>
      </c>
      <c r="C44" s="480">
        <f>$D$15*$C$47</f>
        <v>0</v>
      </c>
      <c r="D44" s="354" t="s">
        <v>572</v>
      </c>
      <c r="G44" s="110"/>
    </row>
    <row r="45" spans="1:7" ht="16.5" customHeight="1" x14ac:dyDescent="0.75">
      <c r="A45" s="19"/>
      <c r="B45" s="384" t="s">
        <v>59</v>
      </c>
      <c r="C45" s="365">
        <f>$C$47*$D$13 + C47*SUM(D4:D7)*(1-D17) + C47*D18*(1-D16)</f>
        <v>36662.372114388367</v>
      </c>
      <c r="D45" s="382" t="s">
        <v>158</v>
      </c>
      <c r="G45" s="110"/>
    </row>
    <row r="46" spans="1:7" ht="16.5" customHeight="1" x14ac:dyDescent="0.75">
      <c r="A46" s="19"/>
      <c r="B46" s="331" t="s">
        <v>61</v>
      </c>
      <c r="C46" s="385">
        <f>SUM(C28:C45)</f>
        <v>36662.372114388367</v>
      </c>
      <c r="D46" s="382" t="s">
        <v>62</v>
      </c>
      <c r="G46" s="110"/>
    </row>
    <row r="47" spans="1:7" ht="47.25" customHeight="1" x14ac:dyDescent="0.75">
      <c r="A47" s="19"/>
      <c r="B47" s="331" t="s">
        <v>63</v>
      </c>
      <c r="C47" s="383">
        <f>SUM(Lodges!C30,Restaurants!C30,SUM(Households!C33:D33),NatParkPA!C30,Tourism!C29,ComRevSh!C28)/(1-SUM(D8:D12))</f>
        <v>36662.372114388367</v>
      </c>
      <c r="D47" s="382" t="s">
        <v>159</v>
      </c>
      <c r="F47" s="127" t="s">
        <v>385</v>
      </c>
    </row>
    <row r="48" spans="1:7" ht="16.5" customHeight="1" x14ac:dyDescent="0.75">
      <c r="A48" s="19"/>
      <c r="B48" s="331" t="s">
        <v>65</v>
      </c>
      <c r="C48" s="383">
        <f>C47-C46</f>
        <v>0</v>
      </c>
      <c r="D48" s="382" t="s">
        <v>102</v>
      </c>
    </row>
    <row r="49" spans="1:8" ht="16.5" customHeight="1" x14ac:dyDescent="0.75">
      <c r="A49" s="19"/>
      <c r="B49" s="386" t="s">
        <v>67</v>
      </c>
      <c r="C49" s="387">
        <f>C48/C47</f>
        <v>0</v>
      </c>
      <c r="D49" s="388" t="s">
        <v>103</v>
      </c>
    </row>
    <row r="50" spans="1:8" ht="15.75" customHeight="1" x14ac:dyDescent="0.75">
      <c r="A50" s="19"/>
      <c r="C50" s="28"/>
      <c r="H50" s="8"/>
    </row>
    <row r="51" spans="1:8" ht="15.75" customHeight="1" x14ac:dyDescent="0.75">
      <c r="A51" s="19"/>
      <c r="C51" s="28"/>
      <c r="H51" s="8"/>
    </row>
    <row r="52" spans="1:8" ht="15.75" customHeight="1" x14ac:dyDescent="0.75">
      <c r="A52" s="19"/>
      <c r="C52" s="28"/>
      <c r="H52" s="8"/>
    </row>
    <row r="53" spans="1:8" ht="15.75" customHeight="1" x14ac:dyDescent="0.75">
      <c r="A53" s="19"/>
      <c r="C53" s="28"/>
      <c r="H53" s="8"/>
    </row>
    <row r="54" spans="1:8" ht="15.75" customHeight="1" x14ac:dyDescent="0.75">
      <c r="A54" s="19"/>
      <c r="B54" s="23" t="s">
        <v>506</v>
      </c>
      <c r="H54" s="8"/>
    </row>
    <row r="55" spans="1:8" ht="15.75" customHeight="1" x14ac:dyDescent="0.75">
      <c r="A55" s="19"/>
      <c r="B55" s="33" t="s">
        <v>0</v>
      </c>
      <c r="C55" s="34" t="s">
        <v>1</v>
      </c>
      <c r="D55" s="35" t="s">
        <v>2</v>
      </c>
      <c r="E55" s="35" t="s">
        <v>3</v>
      </c>
      <c r="F55" s="35" t="s">
        <v>4</v>
      </c>
      <c r="G55" s="35" t="s">
        <v>5</v>
      </c>
      <c r="H55" s="8"/>
    </row>
    <row r="56" spans="1:8" ht="15.75" customHeight="1" x14ac:dyDescent="0.75">
      <c r="A56" s="19"/>
      <c r="B56" s="198" t="s">
        <v>71</v>
      </c>
      <c r="C56" s="199">
        <f t="shared" ref="C56:C65" si="1">C4*100</f>
        <v>0</v>
      </c>
      <c r="D56" s="181" t="s">
        <v>426</v>
      </c>
      <c r="E56" s="181">
        <v>0</v>
      </c>
      <c r="F56" s="181">
        <v>100</v>
      </c>
      <c r="G56" s="181">
        <v>0.01</v>
      </c>
      <c r="H56" s="8"/>
    </row>
    <row r="57" spans="1:8" ht="15.75" customHeight="1" x14ac:dyDescent="0.75">
      <c r="A57" s="19"/>
      <c r="B57" s="198" t="s">
        <v>73</v>
      </c>
      <c r="C57" s="199">
        <f t="shared" si="1"/>
        <v>0</v>
      </c>
      <c r="D57" s="181" t="s">
        <v>427</v>
      </c>
      <c r="E57" s="181">
        <v>0</v>
      </c>
      <c r="F57" s="181">
        <v>100</v>
      </c>
      <c r="G57" s="181">
        <v>0.01</v>
      </c>
      <c r="H57" s="8"/>
    </row>
    <row r="58" spans="1:8" ht="15.75" customHeight="1" x14ac:dyDescent="0.75">
      <c r="A58" s="19"/>
      <c r="B58" s="198" t="s">
        <v>74</v>
      </c>
      <c r="C58" s="199">
        <f t="shared" si="1"/>
        <v>0</v>
      </c>
      <c r="D58" s="181" t="s">
        <v>428</v>
      </c>
      <c r="E58" s="181">
        <v>0</v>
      </c>
      <c r="F58" s="181">
        <v>100</v>
      </c>
      <c r="G58" s="181">
        <v>0.01</v>
      </c>
      <c r="H58" s="8"/>
    </row>
    <row r="59" spans="1:8" ht="15.75" customHeight="1" x14ac:dyDescent="0.75">
      <c r="A59" s="19"/>
      <c r="B59" s="198" t="s">
        <v>75</v>
      </c>
      <c r="C59" s="199">
        <f t="shared" si="1"/>
        <v>0</v>
      </c>
      <c r="D59" s="181" t="s">
        <v>429</v>
      </c>
      <c r="E59" s="181">
        <v>0</v>
      </c>
      <c r="F59" s="181">
        <v>100</v>
      </c>
      <c r="G59" s="181">
        <v>0.01</v>
      </c>
      <c r="H59" s="8"/>
    </row>
    <row r="60" spans="1:8" ht="15.75" customHeight="1" x14ac:dyDescent="0.75">
      <c r="A60" s="19"/>
      <c r="B60" s="198" t="s">
        <v>140</v>
      </c>
      <c r="C60" s="199">
        <f t="shared" si="1"/>
        <v>0</v>
      </c>
      <c r="D60" s="181" t="s">
        <v>430</v>
      </c>
      <c r="E60" s="181">
        <v>0</v>
      </c>
      <c r="F60" s="181">
        <v>100</v>
      </c>
      <c r="G60" s="181">
        <v>0.01</v>
      </c>
      <c r="H60" s="8"/>
    </row>
    <row r="61" spans="1:8" ht="15.75" customHeight="1" x14ac:dyDescent="0.75">
      <c r="A61" s="19"/>
      <c r="B61" s="204" t="s">
        <v>496</v>
      </c>
      <c r="C61" s="199">
        <f t="shared" si="1"/>
        <v>0</v>
      </c>
      <c r="D61" s="181" t="s">
        <v>431</v>
      </c>
      <c r="E61" s="181">
        <v>0</v>
      </c>
      <c r="F61" s="181">
        <v>100</v>
      </c>
      <c r="G61" s="181">
        <v>0.01</v>
      </c>
      <c r="H61" s="8"/>
    </row>
    <row r="62" spans="1:8" ht="15.75" customHeight="1" x14ac:dyDescent="0.75">
      <c r="A62" s="19"/>
      <c r="B62" s="198" t="s">
        <v>141</v>
      </c>
      <c r="C62" s="199">
        <f t="shared" si="1"/>
        <v>0</v>
      </c>
      <c r="D62" s="181" t="s">
        <v>432</v>
      </c>
      <c r="E62" s="181">
        <v>0</v>
      </c>
      <c r="F62" s="181">
        <v>100</v>
      </c>
      <c r="G62" s="181">
        <v>0.01</v>
      </c>
      <c r="H62" s="8"/>
    </row>
    <row r="63" spans="1:8" ht="15.75" customHeight="1" x14ac:dyDescent="0.75">
      <c r="A63" s="19"/>
      <c r="B63" s="198" t="s">
        <v>142</v>
      </c>
      <c r="C63" s="199">
        <f t="shared" si="1"/>
        <v>0</v>
      </c>
      <c r="D63" s="181" t="s">
        <v>433</v>
      </c>
      <c r="E63" s="181">
        <v>0</v>
      </c>
      <c r="F63" s="181">
        <v>100</v>
      </c>
      <c r="G63" s="181">
        <v>0.01</v>
      </c>
      <c r="H63" s="8"/>
    </row>
    <row r="64" spans="1:8" ht="15.75" customHeight="1" x14ac:dyDescent="0.75">
      <c r="A64" s="19"/>
      <c r="B64" s="198" t="s">
        <v>143</v>
      </c>
      <c r="C64" s="199">
        <f t="shared" si="1"/>
        <v>0</v>
      </c>
      <c r="D64" s="181" t="s">
        <v>434</v>
      </c>
      <c r="E64" s="181">
        <v>0</v>
      </c>
      <c r="F64" s="181">
        <v>100</v>
      </c>
      <c r="G64" s="181">
        <v>0.01</v>
      </c>
      <c r="H64" s="8"/>
    </row>
    <row r="65" spans="1:8" ht="15.75" customHeight="1" x14ac:dyDescent="0.75">
      <c r="A65" s="19"/>
      <c r="B65" s="198" t="s">
        <v>144</v>
      </c>
      <c r="C65" s="199">
        <f t="shared" si="1"/>
        <v>100</v>
      </c>
      <c r="D65" s="181" t="s">
        <v>435</v>
      </c>
      <c r="E65" s="181">
        <v>0</v>
      </c>
      <c r="F65" s="181">
        <v>100</v>
      </c>
      <c r="G65" s="181">
        <v>0.01</v>
      </c>
      <c r="H65" s="8"/>
    </row>
    <row r="66" spans="1:8" ht="15.75" customHeight="1" x14ac:dyDescent="0.75">
      <c r="A66" s="19"/>
      <c r="B66" s="205" t="s">
        <v>145</v>
      </c>
      <c r="C66" s="199">
        <f>C15*100</f>
        <v>0</v>
      </c>
      <c r="D66" s="181" t="s">
        <v>459</v>
      </c>
      <c r="E66" s="181">
        <v>0</v>
      </c>
      <c r="F66" s="181">
        <v>100</v>
      </c>
      <c r="G66" s="181">
        <v>0.01</v>
      </c>
      <c r="H66" s="8"/>
    </row>
    <row r="67" spans="1:8" ht="15.75" customHeight="1" x14ac:dyDescent="0.75">
      <c r="A67" s="19"/>
      <c r="B67" s="205" t="s">
        <v>146</v>
      </c>
      <c r="C67" s="199">
        <f t="shared" ref="C67:C68" si="2">D16*100</f>
        <v>100</v>
      </c>
      <c r="D67" s="181" t="s">
        <v>503</v>
      </c>
      <c r="E67" s="181">
        <v>0</v>
      </c>
      <c r="F67" s="181">
        <v>100</v>
      </c>
      <c r="G67" s="181">
        <v>0.01</v>
      </c>
      <c r="H67" s="8"/>
    </row>
    <row r="68" spans="1:8" ht="15.75" customHeight="1" x14ac:dyDescent="0.75">
      <c r="A68" s="19"/>
      <c r="B68" s="205" t="s">
        <v>147</v>
      </c>
      <c r="C68" s="199">
        <f t="shared" si="2"/>
        <v>100</v>
      </c>
      <c r="D68" s="181" t="s">
        <v>160</v>
      </c>
      <c r="E68" s="181">
        <v>0</v>
      </c>
      <c r="F68" s="181">
        <v>100</v>
      </c>
      <c r="G68" s="181">
        <v>0.01</v>
      </c>
      <c r="H68" s="8"/>
    </row>
    <row r="69" spans="1:8" ht="15.75" customHeight="1" x14ac:dyDescent="0.75">
      <c r="A69" s="19"/>
      <c r="B69" s="207" t="s">
        <v>387</v>
      </c>
      <c r="C69" s="208">
        <f>C18*100</f>
        <v>0</v>
      </c>
      <c r="D69" s="181" t="s">
        <v>392</v>
      </c>
      <c r="E69" s="189">
        <v>0</v>
      </c>
      <c r="F69" s="189">
        <v>100</v>
      </c>
      <c r="G69" s="206">
        <v>0.01</v>
      </c>
      <c r="H69" s="8"/>
    </row>
    <row r="70" spans="1:8" ht="15.75" customHeight="1" x14ac:dyDescent="0.75">
      <c r="A70" s="19"/>
      <c r="C70" s="28"/>
      <c r="H70" s="8"/>
    </row>
    <row r="71" spans="1:8" ht="15.75" customHeight="1" x14ac:dyDescent="0.75">
      <c r="A71" s="19"/>
      <c r="C71" s="28"/>
      <c r="H71" s="8"/>
    </row>
    <row r="72" spans="1:8" ht="15.75" customHeight="1" x14ac:dyDescent="0.75">
      <c r="A72" s="19"/>
      <c r="C72" s="28"/>
      <c r="H72" s="8"/>
    </row>
    <row r="73" spans="1:8" ht="15.75" customHeight="1" x14ac:dyDescent="0.75">
      <c r="A73" s="19"/>
      <c r="C73" s="28"/>
      <c r="H73" s="8"/>
    </row>
    <row r="74" spans="1:8" ht="15.75" customHeight="1" x14ac:dyDescent="0.75">
      <c r="A74" s="19"/>
      <c r="C74" s="28"/>
      <c r="H74" s="8"/>
    </row>
    <row r="75" spans="1:8" ht="15.75" customHeight="1" x14ac:dyDescent="0.75">
      <c r="A75" s="19"/>
      <c r="C75" s="28"/>
      <c r="H75" s="8"/>
    </row>
    <row r="76" spans="1:8" ht="15.75" customHeight="1" x14ac:dyDescent="0.75">
      <c r="A76" s="19"/>
      <c r="C76" s="28"/>
      <c r="H76" s="8"/>
    </row>
    <row r="77" spans="1:8" ht="15.75" customHeight="1" x14ac:dyDescent="0.75">
      <c r="A77" s="19"/>
      <c r="C77" s="28"/>
      <c r="H77" s="8"/>
    </row>
    <row r="78" spans="1:8" ht="15.75" customHeight="1" x14ac:dyDescent="0.75">
      <c r="A78" s="19"/>
      <c r="C78" s="28"/>
      <c r="H78" s="8"/>
    </row>
    <row r="79" spans="1:8" ht="15.75" customHeight="1" x14ac:dyDescent="0.75">
      <c r="A79" s="19"/>
      <c r="C79" s="28"/>
      <c r="H79" s="8"/>
    </row>
    <row r="80" spans="1:8" ht="15.75" customHeight="1" x14ac:dyDescent="0.75">
      <c r="A80" s="19"/>
      <c r="C80" s="28"/>
      <c r="H80" s="8"/>
    </row>
    <row r="81" spans="1:8" ht="15.75" customHeight="1" x14ac:dyDescent="0.75">
      <c r="A81" s="19"/>
      <c r="C81" s="28"/>
      <c r="H81" s="8"/>
    </row>
    <row r="82" spans="1:8" ht="15.75" customHeight="1" x14ac:dyDescent="0.75">
      <c r="A82" s="19"/>
      <c r="C82" s="28"/>
      <c r="H82" s="8"/>
    </row>
    <row r="83" spans="1:8" ht="15.75" customHeight="1" x14ac:dyDescent="0.75">
      <c r="A83" s="19"/>
      <c r="C83" s="28"/>
      <c r="H83" s="8"/>
    </row>
    <row r="84" spans="1:8" ht="15.75" customHeight="1" x14ac:dyDescent="0.75">
      <c r="A84" s="19"/>
      <c r="C84" s="28"/>
      <c r="H84" s="8"/>
    </row>
    <row r="85" spans="1:8" ht="15.75" customHeight="1" x14ac:dyDescent="0.75">
      <c r="A85" s="19"/>
      <c r="C85" s="28"/>
      <c r="H85" s="8"/>
    </row>
    <row r="86" spans="1:8" ht="15.75" customHeight="1" x14ac:dyDescent="0.75">
      <c r="A86" s="19"/>
      <c r="C86" s="28"/>
      <c r="H86" s="8"/>
    </row>
    <row r="87" spans="1:8" ht="15.75" customHeight="1" x14ac:dyDescent="0.75">
      <c r="A87" s="19"/>
      <c r="C87" s="28"/>
      <c r="H87" s="8"/>
    </row>
    <row r="88" spans="1:8" ht="15.75" customHeight="1" x14ac:dyDescent="0.75">
      <c r="A88" s="19"/>
      <c r="C88" s="28"/>
      <c r="H88" s="8"/>
    </row>
    <row r="89" spans="1:8" ht="15.75" customHeight="1" x14ac:dyDescent="0.75">
      <c r="A89" s="19"/>
      <c r="C89" s="28"/>
      <c r="H89" s="8"/>
    </row>
    <row r="90" spans="1:8" ht="15.75" customHeight="1" x14ac:dyDescent="0.75">
      <c r="A90" s="19"/>
      <c r="C90" s="28"/>
      <c r="H90" s="8"/>
    </row>
    <row r="91" spans="1:8" ht="15.75" customHeight="1" x14ac:dyDescent="0.75">
      <c r="A91" s="19"/>
      <c r="C91" s="28"/>
      <c r="H91" s="8"/>
    </row>
    <row r="92" spans="1:8" ht="15.75" customHeight="1" x14ac:dyDescent="0.75">
      <c r="A92" s="19"/>
      <c r="C92" s="28"/>
      <c r="H92" s="8"/>
    </row>
    <row r="93" spans="1:8" ht="15.75" customHeight="1" x14ac:dyDescent="0.75">
      <c r="A93" s="19"/>
      <c r="C93" s="28"/>
      <c r="H93" s="8"/>
    </row>
    <row r="94" spans="1:8" ht="15.75" customHeight="1" x14ac:dyDescent="0.75">
      <c r="A94" s="19"/>
      <c r="C94" s="28"/>
      <c r="H94" s="8"/>
    </row>
    <row r="95" spans="1:8" ht="15.75" customHeight="1" x14ac:dyDescent="0.75">
      <c r="A95" s="19"/>
      <c r="C95" s="28"/>
      <c r="H95" s="8"/>
    </row>
    <row r="96" spans="1:8" ht="15.75" customHeight="1" x14ac:dyDescent="0.75">
      <c r="A96" s="19"/>
      <c r="C96" s="28"/>
      <c r="H96" s="8"/>
    </row>
    <row r="97" spans="1:8" ht="15.75" customHeight="1" x14ac:dyDescent="0.75">
      <c r="A97" s="19"/>
      <c r="C97" s="28"/>
      <c r="H97" s="8"/>
    </row>
    <row r="98" spans="1:8" ht="15.75" customHeight="1" x14ac:dyDescent="0.75">
      <c r="A98" s="19"/>
      <c r="C98" s="28"/>
      <c r="H98" s="8"/>
    </row>
    <row r="99" spans="1:8" ht="15.75" customHeight="1" x14ac:dyDescent="0.75">
      <c r="A99" s="19"/>
      <c r="C99" s="28"/>
      <c r="H99" s="8"/>
    </row>
    <row r="100" spans="1:8" ht="15.75" customHeight="1" x14ac:dyDescent="0.75">
      <c r="A100" s="19"/>
      <c r="C100" s="28"/>
      <c r="H100" s="8"/>
    </row>
    <row r="101" spans="1:8" ht="15.75" customHeight="1" x14ac:dyDescent="0.75">
      <c r="A101" s="19"/>
      <c r="C101" s="28"/>
      <c r="H101" s="8"/>
    </row>
    <row r="102" spans="1:8" ht="15.75" customHeight="1" x14ac:dyDescent="0.75">
      <c r="A102" s="19"/>
      <c r="C102" s="28"/>
      <c r="H102" s="8"/>
    </row>
    <row r="103" spans="1:8" ht="15.75" customHeight="1" x14ac:dyDescent="0.75">
      <c r="A103" s="19"/>
      <c r="C103" s="28"/>
      <c r="H103" s="8"/>
    </row>
    <row r="104" spans="1:8" ht="15.75" customHeight="1" x14ac:dyDescent="0.75">
      <c r="A104" s="19"/>
      <c r="C104" s="28"/>
      <c r="H104" s="8"/>
    </row>
    <row r="105" spans="1:8" ht="15.75" customHeight="1" x14ac:dyDescent="0.75">
      <c r="A105" s="19"/>
      <c r="C105" s="28"/>
      <c r="H105" s="8"/>
    </row>
    <row r="106" spans="1:8" ht="15.75" customHeight="1" x14ac:dyDescent="0.75">
      <c r="A106" s="19"/>
      <c r="C106" s="28"/>
      <c r="H106" s="8"/>
    </row>
    <row r="107" spans="1:8" ht="15.75" customHeight="1" x14ac:dyDescent="0.75">
      <c r="A107" s="19"/>
      <c r="C107" s="28"/>
      <c r="H107" s="8"/>
    </row>
    <row r="108" spans="1:8" ht="15.75" customHeight="1" x14ac:dyDescent="0.75">
      <c r="A108" s="19"/>
      <c r="C108" s="28"/>
      <c r="H108" s="8"/>
    </row>
    <row r="109" spans="1:8" ht="15.75" customHeight="1" x14ac:dyDescent="0.75">
      <c r="A109" s="19"/>
      <c r="C109" s="28"/>
      <c r="H109" s="8"/>
    </row>
    <row r="110" spans="1:8" ht="15.75" customHeight="1" x14ac:dyDescent="0.75">
      <c r="A110" s="19"/>
      <c r="C110" s="28"/>
      <c r="H110" s="8"/>
    </row>
    <row r="111" spans="1:8" ht="15.75" customHeight="1" x14ac:dyDescent="0.75">
      <c r="A111" s="19"/>
      <c r="C111" s="28"/>
      <c r="H111" s="8"/>
    </row>
    <row r="112" spans="1:8" ht="15.75" customHeight="1" x14ac:dyDescent="0.75">
      <c r="A112" s="19"/>
      <c r="C112" s="28"/>
      <c r="H112" s="8"/>
    </row>
    <row r="113" spans="1:8" ht="15.75" customHeight="1" x14ac:dyDescent="0.75">
      <c r="A113" s="19"/>
      <c r="C113" s="28"/>
      <c r="H113" s="8"/>
    </row>
    <row r="114" spans="1:8" ht="15.75" customHeight="1" x14ac:dyDescent="0.75">
      <c r="A114" s="19"/>
      <c r="C114" s="28"/>
      <c r="H114" s="8"/>
    </row>
    <row r="115" spans="1:8" ht="15.75" customHeight="1" x14ac:dyDescent="0.75">
      <c r="A115" s="19"/>
      <c r="C115" s="28"/>
      <c r="H115" s="8"/>
    </row>
    <row r="116" spans="1:8" ht="15.75" customHeight="1" x14ac:dyDescent="0.75">
      <c r="A116" s="19"/>
      <c r="C116" s="28"/>
      <c r="H116" s="8"/>
    </row>
    <row r="117" spans="1:8" ht="15.75" customHeight="1" x14ac:dyDescent="0.75">
      <c r="A117" s="19"/>
      <c r="C117" s="28"/>
      <c r="H117" s="8"/>
    </row>
    <row r="118" spans="1:8" ht="15.75" customHeight="1" x14ac:dyDescent="0.75">
      <c r="A118" s="19"/>
      <c r="C118" s="28"/>
      <c r="H118" s="8"/>
    </row>
    <row r="119" spans="1:8" ht="15.75" customHeight="1" x14ac:dyDescent="0.75">
      <c r="A119" s="19"/>
      <c r="C119" s="28"/>
      <c r="H119" s="8"/>
    </row>
    <row r="120" spans="1:8" ht="15.75" customHeight="1" x14ac:dyDescent="0.75">
      <c r="A120" s="19"/>
      <c r="C120" s="28"/>
      <c r="H120" s="8"/>
    </row>
    <row r="121" spans="1:8" ht="15.75" customHeight="1" x14ac:dyDescent="0.75">
      <c r="A121" s="19"/>
      <c r="C121" s="28"/>
      <c r="H121" s="8"/>
    </row>
    <row r="122" spans="1:8" ht="15.75" customHeight="1" x14ac:dyDescent="0.75">
      <c r="A122" s="19"/>
      <c r="C122" s="28"/>
      <c r="H122" s="8"/>
    </row>
    <row r="123" spans="1:8" ht="15.75" customHeight="1" x14ac:dyDescent="0.75">
      <c r="A123" s="19"/>
      <c r="C123" s="28"/>
      <c r="H123" s="8"/>
    </row>
    <row r="124" spans="1:8" ht="15.75" customHeight="1" x14ac:dyDescent="0.75">
      <c r="A124" s="19"/>
      <c r="C124" s="28"/>
      <c r="H124" s="8"/>
    </row>
    <row r="125" spans="1:8" ht="15.75" customHeight="1" x14ac:dyDescent="0.75">
      <c r="A125" s="19"/>
      <c r="C125" s="28"/>
      <c r="H125" s="8"/>
    </row>
    <row r="126" spans="1:8" ht="15.75" customHeight="1" x14ac:dyDescent="0.75">
      <c r="A126" s="19"/>
      <c r="C126" s="28"/>
      <c r="H126" s="8"/>
    </row>
    <row r="127" spans="1:8" ht="15.75" customHeight="1" x14ac:dyDescent="0.75">
      <c r="A127" s="19"/>
      <c r="C127" s="28"/>
      <c r="H127" s="8"/>
    </row>
    <row r="128" spans="1:8" ht="15.75" customHeight="1" x14ac:dyDescent="0.75">
      <c r="A128" s="19"/>
      <c r="C128" s="28"/>
      <c r="H128" s="8"/>
    </row>
    <row r="129" spans="1:8" ht="15.75" customHeight="1" x14ac:dyDescent="0.75">
      <c r="A129" s="19"/>
      <c r="C129" s="28"/>
      <c r="H129" s="8"/>
    </row>
    <row r="130" spans="1:8" ht="15.75" customHeight="1" x14ac:dyDescent="0.75">
      <c r="A130" s="19"/>
      <c r="C130" s="28"/>
      <c r="H130" s="8"/>
    </row>
    <row r="131" spans="1:8" ht="15.75" customHeight="1" x14ac:dyDescent="0.75">
      <c r="A131" s="19"/>
      <c r="C131" s="28"/>
      <c r="H131" s="8"/>
    </row>
    <row r="132" spans="1:8" ht="15.75" customHeight="1" x14ac:dyDescent="0.75">
      <c r="A132" s="19"/>
      <c r="C132" s="28"/>
      <c r="H132" s="8"/>
    </row>
    <row r="133" spans="1:8" ht="15.75" customHeight="1" x14ac:dyDescent="0.75">
      <c r="A133" s="19"/>
      <c r="C133" s="28"/>
      <c r="H133" s="8"/>
    </row>
    <row r="134" spans="1:8" ht="15.75" customHeight="1" x14ac:dyDescent="0.75">
      <c r="A134" s="19"/>
      <c r="C134" s="28"/>
      <c r="H134" s="8"/>
    </row>
    <row r="135" spans="1:8" ht="15.75" customHeight="1" x14ac:dyDescent="0.75">
      <c r="A135" s="19"/>
      <c r="C135" s="28"/>
      <c r="H135" s="8"/>
    </row>
    <row r="136" spans="1:8" ht="15.75" customHeight="1" x14ac:dyDescent="0.75">
      <c r="A136" s="19"/>
      <c r="C136" s="28"/>
      <c r="H136" s="8"/>
    </row>
    <row r="137" spans="1:8" ht="15.75" customHeight="1" x14ac:dyDescent="0.75">
      <c r="A137" s="19"/>
      <c r="C137" s="28"/>
      <c r="H137" s="8"/>
    </row>
    <row r="138" spans="1:8" ht="15.75" customHeight="1" x14ac:dyDescent="0.75">
      <c r="A138" s="19"/>
      <c r="C138" s="28"/>
      <c r="H138" s="8"/>
    </row>
    <row r="139" spans="1:8" ht="15.75" customHeight="1" x14ac:dyDescent="0.75">
      <c r="A139" s="19"/>
      <c r="C139" s="28"/>
      <c r="H139" s="8"/>
    </row>
    <row r="140" spans="1:8" ht="15.75" customHeight="1" x14ac:dyDescent="0.75">
      <c r="A140" s="19"/>
      <c r="C140" s="28"/>
      <c r="H140" s="8"/>
    </row>
    <row r="141" spans="1:8" ht="15.75" customHeight="1" x14ac:dyDescent="0.75">
      <c r="A141" s="19"/>
      <c r="C141" s="28"/>
      <c r="H141" s="8"/>
    </row>
    <row r="142" spans="1:8" ht="15.75" customHeight="1" x14ac:dyDescent="0.75">
      <c r="A142" s="19"/>
      <c r="C142" s="28"/>
      <c r="H142" s="8"/>
    </row>
    <row r="143" spans="1:8" ht="15.75" customHeight="1" x14ac:dyDescent="0.75">
      <c r="A143" s="19"/>
      <c r="C143" s="28"/>
      <c r="H143" s="8"/>
    </row>
    <row r="144" spans="1:8" ht="15.75" customHeight="1" x14ac:dyDescent="0.75">
      <c r="A144" s="19"/>
      <c r="C144" s="28"/>
      <c r="H144" s="8"/>
    </row>
    <row r="145" spans="1:8" ht="15.75" customHeight="1" x14ac:dyDescent="0.75">
      <c r="A145" s="19"/>
      <c r="C145" s="28"/>
      <c r="H145" s="8"/>
    </row>
    <row r="146" spans="1:8" ht="15.75" customHeight="1" x14ac:dyDescent="0.75">
      <c r="A146" s="19"/>
      <c r="C146" s="28"/>
      <c r="H146" s="8"/>
    </row>
    <row r="147" spans="1:8" ht="15.75" customHeight="1" x14ac:dyDescent="0.75">
      <c r="A147" s="19"/>
      <c r="C147" s="28"/>
      <c r="H147" s="8"/>
    </row>
    <row r="148" spans="1:8" ht="15.75" customHeight="1" x14ac:dyDescent="0.75">
      <c r="A148" s="19"/>
      <c r="C148" s="28"/>
      <c r="H148" s="8"/>
    </row>
    <row r="149" spans="1:8" ht="15.75" customHeight="1" x14ac:dyDescent="0.75">
      <c r="A149" s="19"/>
      <c r="C149" s="28"/>
      <c r="H149" s="8"/>
    </row>
    <row r="150" spans="1:8" ht="15.75" customHeight="1" x14ac:dyDescent="0.75">
      <c r="A150" s="19"/>
      <c r="C150" s="28"/>
      <c r="H150" s="8"/>
    </row>
    <row r="151" spans="1:8" ht="15.75" customHeight="1" x14ac:dyDescent="0.75">
      <c r="A151" s="19"/>
      <c r="C151" s="28"/>
      <c r="H151" s="8"/>
    </row>
    <row r="152" spans="1:8" ht="15.75" customHeight="1" x14ac:dyDescent="0.75">
      <c r="A152" s="19"/>
      <c r="C152" s="28"/>
      <c r="H152" s="8"/>
    </row>
    <row r="153" spans="1:8" ht="15.75" customHeight="1" x14ac:dyDescent="0.75">
      <c r="A153" s="19"/>
      <c r="C153" s="28"/>
      <c r="H153" s="8"/>
    </row>
    <row r="154" spans="1:8" ht="15.75" customHeight="1" x14ac:dyDescent="0.75">
      <c r="A154" s="19"/>
      <c r="C154" s="28"/>
      <c r="H154" s="8"/>
    </row>
    <row r="155" spans="1:8" ht="15.75" customHeight="1" x14ac:dyDescent="0.75">
      <c r="A155" s="19"/>
      <c r="C155" s="28"/>
      <c r="H155" s="8"/>
    </row>
    <row r="156" spans="1:8" ht="15.75" customHeight="1" x14ac:dyDescent="0.75">
      <c r="A156" s="19"/>
      <c r="C156" s="28"/>
      <c r="H156" s="8"/>
    </row>
    <row r="157" spans="1:8" ht="15.75" customHeight="1" x14ac:dyDescent="0.75">
      <c r="A157" s="19"/>
      <c r="C157" s="28"/>
      <c r="H157" s="8"/>
    </row>
    <row r="158" spans="1:8" ht="15.75" customHeight="1" x14ac:dyDescent="0.75">
      <c r="A158" s="19"/>
      <c r="C158" s="28"/>
      <c r="H158" s="8"/>
    </row>
    <row r="159" spans="1:8" ht="15.75" customHeight="1" x14ac:dyDescent="0.75">
      <c r="A159" s="19"/>
      <c r="C159" s="28"/>
      <c r="H159" s="8"/>
    </row>
    <row r="160" spans="1:8" ht="15.75" customHeight="1" x14ac:dyDescent="0.75">
      <c r="A160" s="19"/>
      <c r="C160" s="28"/>
      <c r="H160" s="8"/>
    </row>
    <row r="161" spans="1:8" ht="15.75" customHeight="1" x14ac:dyDescent="0.75">
      <c r="A161" s="19"/>
      <c r="C161" s="28"/>
      <c r="H161" s="8"/>
    </row>
    <row r="162" spans="1:8" ht="15.75" customHeight="1" x14ac:dyDescent="0.75">
      <c r="A162" s="19"/>
      <c r="C162" s="28"/>
      <c r="H162" s="8"/>
    </row>
    <row r="163" spans="1:8" ht="15.75" customHeight="1" x14ac:dyDescent="0.75">
      <c r="A163" s="19"/>
      <c r="C163" s="28"/>
      <c r="H163" s="8"/>
    </row>
    <row r="164" spans="1:8" ht="15.75" customHeight="1" x14ac:dyDescent="0.75">
      <c r="A164" s="19"/>
      <c r="C164" s="28"/>
      <c r="H164" s="8"/>
    </row>
    <row r="165" spans="1:8" ht="15.75" customHeight="1" x14ac:dyDescent="0.75">
      <c r="A165" s="19"/>
      <c r="C165" s="28"/>
      <c r="H165" s="8"/>
    </row>
    <row r="166" spans="1:8" ht="15.75" customHeight="1" x14ac:dyDescent="0.75">
      <c r="A166" s="19"/>
      <c r="C166" s="28"/>
      <c r="H166" s="8"/>
    </row>
    <row r="167" spans="1:8" ht="15.75" customHeight="1" x14ac:dyDescent="0.75">
      <c r="A167" s="19"/>
      <c r="C167" s="28"/>
      <c r="H167" s="8"/>
    </row>
    <row r="168" spans="1:8" ht="15.75" customHeight="1" x14ac:dyDescent="0.75">
      <c r="A168" s="19"/>
      <c r="C168" s="28"/>
      <c r="H168" s="8"/>
    </row>
    <row r="169" spans="1:8" ht="15.75" customHeight="1" x14ac:dyDescent="0.75">
      <c r="A169" s="19"/>
      <c r="C169" s="28"/>
      <c r="H169" s="8"/>
    </row>
    <row r="170" spans="1:8" ht="15.75" customHeight="1" x14ac:dyDescent="0.75">
      <c r="A170" s="19"/>
      <c r="C170" s="28"/>
      <c r="H170" s="8"/>
    </row>
    <row r="171" spans="1:8" ht="15.75" customHeight="1" x14ac:dyDescent="0.75">
      <c r="A171" s="19"/>
      <c r="C171" s="28"/>
      <c r="H171" s="8"/>
    </row>
    <row r="172" spans="1:8" ht="15.75" customHeight="1" x14ac:dyDescent="0.75">
      <c r="A172" s="19"/>
      <c r="C172" s="28"/>
      <c r="H172" s="8"/>
    </row>
    <row r="173" spans="1:8" ht="15.75" customHeight="1" x14ac:dyDescent="0.75">
      <c r="A173" s="19"/>
      <c r="C173" s="28"/>
      <c r="H173" s="8"/>
    </row>
    <row r="174" spans="1:8" ht="15.75" customHeight="1" x14ac:dyDescent="0.75">
      <c r="A174" s="19"/>
      <c r="C174" s="28"/>
      <c r="H174" s="8"/>
    </row>
    <row r="175" spans="1:8" ht="15.75" customHeight="1" x14ac:dyDescent="0.75">
      <c r="A175" s="19"/>
      <c r="C175" s="28"/>
      <c r="H175" s="8"/>
    </row>
    <row r="176" spans="1:8" ht="15.75" customHeight="1" x14ac:dyDescent="0.75">
      <c r="A176" s="19"/>
      <c r="C176" s="28"/>
      <c r="H176" s="8"/>
    </row>
    <row r="177" spans="1:8" ht="15.75" customHeight="1" x14ac:dyDescent="0.75">
      <c r="A177" s="19"/>
      <c r="C177" s="28"/>
      <c r="H177" s="8"/>
    </row>
    <row r="178" spans="1:8" ht="15.75" customHeight="1" x14ac:dyDescent="0.75">
      <c r="A178" s="19"/>
      <c r="C178" s="28"/>
      <c r="H178" s="8"/>
    </row>
    <row r="179" spans="1:8" ht="15.75" customHeight="1" x14ac:dyDescent="0.75">
      <c r="A179" s="19"/>
      <c r="C179" s="28"/>
      <c r="H179" s="8"/>
    </row>
    <row r="180" spans="1:8" ht="15.75" customHeight="1" x14ac:dyDescent="0.75">
      <c r="A180" s="19"/>
      <c r="C180" s="28"/>
      <c r="H180" s="8"/>
    </row>
    <row r="181" spans="1:8" ht="15.75" customHeight="1" x14ac:dyDescent="0.75">
      <c r="A181" s="19"/>
      <c r="C181" s="28"/>
      <c r="H181" s="8"/>
    </row>
    <row r="182" spans="1:8" ht="15.75" customHeight="1" x14ac:dyDescent="0.75">
      <c r="A182" s="19"/>
      <c r="C182" s="28"/>
      <c r="H182" s="8"/>
    </row>
    <row r="183" spans="1:8" ht="15.75" customHeight="1" x14ac:dyDescent="0.75">
      <c r="A183" s="19"/>
      <c r="C183" s="28"/>
      <c r="H183" s="8"/>
    </row>
    <row r="184" spans="1:8" ht="15.75" customHeight="1" x14ac:dyDescent="0.75">
      <c r="A184" s="19"/>
      <c r="C184" s="28"/>
      <c r="H184" s="8"/>
    </row>
    <row r="185" spans="1:8" ht="15.75" customHeight="1" x14ac:dyDescent="0.75">
      <c r="A185" s="19"/>
      <c r="C185" s="28"/>
      <c r="H185" s="8"/>
    </row>
    <row r="186" spans="1:8" ht="15.75" customHeight="1" x14ac:dyDescent="0.75">
      <c r="A186" s="19"/>
      <c r="C186" s="28"/>
      <c r="H186" s="8"/>
    </row>
    <row r="187" spans="1:8" ht="15.75" customHeight="1" x14ac:dyDescent="0.75">
      <c r="A187" s="19"/>
      <c r="C187" s="28"/>
      <c r="H187" s="8"/>
    </row>
    <row r="188" spans="1:8" ht="15.75" customHeight="1" x14ac:dyDescent="0.75">
      <c r="A188" s="19"/>
      <c r="C188" s="28"/>
      <c r="H188" s="8"/>
    </row>
    <row r="189" spans="1:8" ht="15.75" customHeight="1" x14ac:dyDescent="0.75">
      <c r="A189" s="19"/>
      <c r="C189" s="28"/>
      <c r="H189" s="8"/>
    </row>
    <row r="190" spans="1:8" ht="15.75" customHeight="1" x14ac:dyDescent="0.75">
      <c r="A190" s="19"/>
      <c r="C190" s="28"/>
      <c r="H190" s="8"/>
    </row>
    <row r="191" spans="1:8" ht="15.75" customHeight="1" x14ac:dyDescent="0.75">
      <c r="A191" s="19"/>
      <c r="C191" s="28"/>
      <c r="H191" s="8"/>
    </row>
    <row r="192" spans="1:8" ht="15.75" customHeight="1" x14ac:dyDescent="0.75">
      <c r="A192" s="19"/>
      <c r="C192" s="28"/>
      <c r="H192" s="8"/>
    </row>
    <row r="193" spans="1:8" ht="15.75" customHeight="1" x14ac:dyDescent="0.75">
      <c r="A193" s="19"/>
      <c r="C193" s="28"/>
      <c r="H193" s="8"/>
    </row>
    <row r="194" spans="1:8" ht="15.75" customHeight="1" x14ac:dyDescent="0.75">
      <c r="A194" s="19"/>
      <c r="C194" s="28"/>
      <c r="H194" s="8"/>
    </row>
    <row r="195" spans="1:8" ht="15.75" customHeight="1" x14ac:dyDescent="0.75">
      <c r="A195" s="19"/>
      <c r="C195" s="28"/>
      <c r="H195" s="8"/>
    </row>
    <row r="196" spans="1:8" ht="15.75" customHeight="1" x14ac:dyDescent="0.75">
      <c r="A196" s="19"/>
      <c r="C196" s="28"/>
      <c r="H196" s="8"/>
    </row>
    <row r="197" spans="1:8" ht="15.75" customHeight="1" x14ac:dyDescent="0.75">
      <c r="A197" s="19"/>
      <c r="C197" s="28"/>
      <c r="H197" s="8"/>
    </row>
    <row r="198" spans="1:8" ht="15.75" customHeight="1" x14ac:dyDescent="0.75">
      <c r="A198" s="19"/>
      <c r="C198" s="28"/>
      <c r="H198" s="8"/>
    </row>
    <row r="199" spans="1:8" ht="15.75" customHeight="1" x14ac:dyDescent="0.75">
      <c r="A199" s="19"/>
      <c r="C199" s="28"/>
      <c r="H199" s="8"/>
    </row>
    <row r="200" spans="1:8" ht="15.75" customHeight="1" x14ac:dyDescent="0.75">
      <c r="A200" s="19"/>
      <c r="C200" s="28"/>
      <c r="H200" s="8"/>
    </row>
    <row r="201" spans="1:8" ht="15.75" customHeight="1" x14ac:dyDescent="0.75">
      <c r="A201" s="19"/>
      <c r="C201" s="28"/>
      <c r="H201" s="8"/>
    </row>
    <row r="202" spans="1:8" ht="15.75" customHeight="1" x14ac:dyDescent="0.75">
      <c r="A202" s="19"/>
      <c r="C202" s="28"/>
      <c r="H202" s="8"/>
    </row>
    <row r="203" spans="1:8" ht="15.75" customHeight="1" x14ac:dyDescent="0.75">
      <c r="A203" s="19"/>
      <c r="C203" s="28"/>
      <c r="H203" s="8"/>
    </row>
    <row r="204" spans="1:8" ht="15.75" customHeight="1" x14ac:dyDescent="0.75">
      <c r="A204" s="19"/>
      <c r="C204" s="28"/>
      <c r="H204" s="8"/>
    </row>
    <row r="205" spans="1:8" ht="15.75" customHeight="1" x14ac:dyDescent="0.75">
      <c r="A205" s="19"/>
      <c r="C205" s="28"/>
      <c r="H205" s="8"/>
    </row>
    <row r="206" spans="1:8" ht="15.75" customHeight="1" x14ac:dyDescent="0.75">
      <c r="A206" s="19"/>
      <c r="C206" s="28"/>
      <c r="H206" s="8"/>
    </row>
    <row r="207" spans="1:8" ht="15.75" customHeight="1" x14ac:dyDescent="0.75">
      <c r="A207" s="19"/>
      <c r="C207" s="28"/>
      <c r="H207" s="8"/>
    </row>
    <row r="208" spans="1:8" ht="15.75" customHeight="1" x14ac:dyDescent="0.75">
      <c r="A208" s="19"/>
      <c r="C208" s="28"/>
      <c r="H208" s="8"/>
    </row>
    <row r="209" spans="1:8" ht="15.75" customHeight="1" x14ac:dyDescent="0.75">
      <c r="A209" s="19"/>
      <c r="C209" s="28"/>
      <c r="H209" s="8"/>
    </row>
    <row r="210" spans="1:8" ht="15.75" customHeight="1" x14ac:dyDescent="0.75">
      <c r="A210" s="19"/>
      <c r="C210" s="28"/>
      <c r="H210" s="8"/>
    </row>
    <row r="211" spans="1:8" ht="15.75" customHeight="1" x14ac:dyDescent="0.75">
      <c r="A211" s="19"/>
      <c r="C211" s="28"/>
      <c r="H211" s="8"/>
    </row>
    <row r="212" spans="1:8" ht="15.75" customHeight="1" x14ac:dyDescent="0.75">
      <c r="A212" s="19"/>
      <c r="C212" s="28"/>
      <c r="H212" s="8"/>
    </row>
    <row r="213" spans="1:8" ht="15.75" customHeight="1" x14ac:dyDescent="0.75">
      <c r="A213" s="19"/>
      <c r="C213" s="28"/>
      <c r="H213" s="8"/>
    </row>
    <row r="214" spans="1:8" ht="15.75" customHeight="1" x14ac:dyDescent="0.75">
      <c r="A214" s="19"/>
      <c r="C214" s="28"/>
      <c r="H214" s="8"/>
    </row>
    <row r="215" spans="1:8" ht="15.75" customHeight="1" x14ac:dyDescent="0.75">
      <c r="A215" s="19"/>
      <c r="C215" s="28"/>
      <c r="H215" s="8"/>
    </row>
    <row r="216" spans="1:8" ht="15.75" customHeight="1" x14ac:dyDescent="0.75">
      <c r="A216" s="19"/>
      <c r="C216" s="28"/>
      <c r="H216" s="8"/>
    </row>
    <row r="217" spans="1:8" ht="15.75" customHeight="1" x14ac:dyDescent="0.75">
      <c r="A217" s="19"/>
      <c r="C217" s="28"/>
      <c r="H217" s="8"/>
    </row>
    <row r="218" spans="1:8" ht="15.75" customHeight="1" x14ac:dyDescent="0.75">
      <c r="A218" s="19"/>
      <c r="C218" s="28"/>
      <c r="H218" s="8"/>
    </row>
    <row r="219" spans="1:8" ht="15.75" customHeight="1" x14ac:dyDescent="0.75">
      <c r="A219" s="19"/>
      <c r="C219" s="28"/>
      <c r="H219" s="8"/>
    </row>
    <row r="220" spans="1:8" ht="15.75" customHeight="1" x14ac:dyDescent="0.75">
      <c r="A220" s="19"/>
      <c r="C220" s="28"/>
      <c r="H220" s="8"/>
    </row>
    <row r="221" spans="1:8" ht="15.75" customHeight="1" x14ac:dyDescent="0.75">
      <c r="A221" s="19"/>
      <c r="C221" s="28"/>
      <c r="H221" s="8"/>
    </row>
    <row r="222" spans="1:8" ht="15.75" customHeight="1" x14ac:dyDescent="0.75">
      <c r="A222" s="19"/>
      <c r="C222" s="28"/>
      <c r="H222" s="8"/>
    </row>
    <row r="223" spans="1:8" ht="15.75" customHeight="1" x14ac:dyDescent="0.75">
      <c r="A223" s="19"/>
      <c r="C223" s="28"/>
      <c r="H223" s="8"/>
    </row>
    <row r="224" spans="1:8" ht="15.75" customHeight="1" x14ac:dyDescent="0.75">
      <c r="A224" s="19"/>
      <c r="C224" s="28"/>
      <c r="H224" s="8"/>
    </row>
    <row r="225" spans="1:8" ht="15.75" customHeight="1" x14ac:dyDescent="0.75">
      <c r="A225" s="19"/>
      <c r="C225" s="28"/>
      <c r="H225" s="8"/>
    </row>
    <row r="226" spans="1:8" ht="15.75" customHeight="1" x14ac:dyDescent="0.75">
      <c r="A226" s="19"/>
      <c r="C226" s="28"/>
      <c r="H226" s="8"/>
    </row>
    <row r="227" spans="1:8" ht="15.75" customHeight="1" x14ac:dyDescent="0.75">
      <c r="A227" s="19"/>
      <c r="C227" s="28"/>
      <c r="H227" s="8"/>
    </row>
    <row r="228" spans="1:8" ht="15.75" customHeight="1" x14ac:dyDescent="0.75">
      <c r="A228" s="19"/>
      <c r="C228" s="28"/>
      <c r="H228" s="8"/>
    </row>
    <row r="229" spans="1:8" ht="15.75" customHeight="1" x14ac:dyDescent="0.75">
      <c r="A229" s="19"/>
      <c r="C229" s="28"/>
      <c r="H229" s="8"/>
    </row>
    <row r="230" spans="1:8" ht="15.75" customHeight="1" x14ac:dyDescent="0.75">
      <c r="A230" s="19"/>
      <c r="C230" s="28"/>
      <c r="H230" s="8"/>
    </row>
    <row r="231" spans="1:8" ht="15.75" customHeight="1" x14ac:dyDescent="0.75">
      <c r="A231" s="19"/>
      <c r="C231" s="28"/>
      <c r="H231" s="8"/>
    </row>
    <row r="232" spans="1:8" ht="15.75" customHeight="1" x14ac:dyDescent="0.75">
      <c r="A232" s="19"/>
      <c r="C232" s="28"/>
      <c r="H232" s="8"/>
    </row>
    <row r="233" spans="1:8" ht="15.75" customHeight="1" x14ac:dyDescent="0.75">
      <c r="A233" s="19"/>
      <c r="C233" s="28"/>
      <c r="H233" s="8"/>
    </row>
    <row r="234" spans="1:8" ht="15.75" customHeight="1" x14ac:dyDescent="0.75">
      <c r="A234" s="19"/>
      <c r="C234" s="28"/>
      <c r="H234" s="8"/>
    </row>
    <row r="235" spans="1:8" ht="15.75" customHeight="1" x14ac:dyDescent="0.75">
      <c r="A235" s="19"/>
      <c r="C235" s="28"/>
      <c r="H235" s="8"/>
    </row>
    <row r="236" spans="1:8" ht="15.75" customHeight="1" x14ac:dyDescent="0.75">
      <c r="A236" s="19"/>
      <c r="C236" s="28"/>
      <c r="H236" s="8"/>
    </row>
    <row r="237" spans="1:8" ht="15.75" customHeight="1" x14ac:dyDescent="0.75">
      <c r="A237" s="19"/>
      <c r="C237" s="28"/>
      <c r="H237" s="8"/>
    </row>
    <row r="238" spans="1:8" ht="15.75" customHeight="1" x14ac:dyDescent="0.75">
      <c r="A238" s="19"/>
      <c r="C238" s="28"/>
      <c r="H238" s="8"/>
    </row>
    <row r="239" spans="1:8" ht="15.75" customHeight="1" x14ac:dyDescent="0.75">
      <c r="A239" s="19"/>
      <c r="C239" s="28"/>
      <c r="H239" s="8"/>
    </row>
    <row r="240" spans="1:8" ht="15.75" customHeight="1" x14ac:dyDescent="0.75">
      <c r="A240" s="19"/>
      <c r="C240" s="28"/>
      <c r="H240" s="8"/>
    </row>
    <row r="241" spans="1:8" ht="15.75" customHeight="1" x14ac:dyDescent="0.75">
      <c r="A241" s="19"/>
      <c r="C241" s="28"/>
      <c r="H241" s="8"/>
    </row>
    <row r="242" spans="1:8" ht="15.75" customHeight="1" x14ac:dyDescent="0.75">
      <c r="A242" s="19"/>
      <c r="C242" s="28"/>
      <c r="H242" s="8"/>
    </row>
    <row r="243" spans="1:8" ht="15.75" customHeight="1" x14ac:dyDescent="0.75">
      <c r="A243" s="19"/>
      <c r="C243" s="28"/>
      <c r="H243" s="8"/>
    </row>
    <row r="244" spans="1:8" ht="15.75" customHeight="1" x14ac:dyDescent="0.75">
      <c r="A244" s="19"/>
      <c r="C244" s="28"/>
      <c r="H244" s="8"/>
    </row>
    <row r="245" spans="1:8" ht="15.75" customHeight="1" x14ac:dyDescent="0.75">
      <c r="A245" s="19"/>
      <c r="C245" s="28"/>
      <c r="H245" s="8"/>
    </row>
    <row r="246" spans="1:8" ht="15.75" customHeight="1" x14ac:dyDescent="0.75">
      <c r="A246" s="19"/>
      <c r="C246" s="28"/>
      <c r="H246" s="8"/>
    </row>
    <row r="247" spans="1:8" ht="15.75" customHeight="1" x14ac:dyDescent="0.75">
      <c r="A247" s="19"/>
      <c r="C247" s="28"/>
      <c r="H247" s="8"/>
    </row>
    <row r="248" spans="1:8" ht="15.75" customHeight="1" x14ac:dyDescent="0.75">
      <c r="A248" s="19"/>
      <c r="C248" s="28"/>
      <c r="H248" s="8"/>
    </row>
    <row r="249" spans="1:8" ht="15.75" customHeight="1" x14ac:dyDescent="0.75">
      <c r="A249" s="19"/>
      <c r="C249" s="28"/>
      <c r="H249" s="8"/>
    </row>
    <row r="250" spans="1:8" ht="15.75" customHeight="1" x14ac:dyDescent="0.75">
      <c r="A250" s="19"/>
      <c r="C250" s="28"/>
      <c r="H250" s="8"/>
    </row>
    <row r="251" spans="1:8" ht="15.75" customHeight="1" x14ac:dyDescent="0.75">
      <c r="A251" s="19"/>
      <c r="C251" s="28"/>
      <c r="H251" s="8"/>
    </row>
    <row r="252" spans="1:8" ht="15.75" customHeight="1" x14ac:dyDescent="0.75">
      <c r="A252" s="19"/>
      <c r="C252" s="28"/>
      <c r="H252" s="8"/>
    </row>
    <row r="253" spans="1:8" ht="15.75" customHeight="1" x14ac:dyDescent="0.75">
      <c r="A253" s="19"/>
      <c r="C253" s="28"/>
      <c r="H253" s="8"/>
    </row>
    <row r="254" spans="1:8" ht="15.75" customHeight="1" x14ac:dyDescent="0.75">
      <c r="A254" s="19"/>
      <c r="C254" s="28"/>
      <c r="H254" s="8"/>
    </row>
    <row r="255" spans="1:8" ht="15.75" customHeight="1" x14ac:dyDescent="0.75">
      <c r="A255" s="19"/>
      <c r="C255" s="28"/>
      <c r="H255" s="8"/>
    </row>
    <row r="256" spans="1:8" ht="15.75" customHeight="1" x14ac:dyDescent="0.75">
      <c r="A256" s="19"/>
      <c r="C256" s="28"/>
      <c r="H256" s="8"/>
    </row>
    <row r="257" spans="1:8" ht="15.75" customHeight="1" x14ac:dyDescent="0.75">
      <c r="A257" s="19"/>
      <c r="C257" s="28"/>
      <c r="H257" s="8"/>
    </row>
    <row r="258" spans="1:8" ht="15.75" customHeight="1" x14ac:dyDescent="0.75">
      <c r="A258" s="19"/>
      <c r="C258" s="28"/>
      <c r="H258" s="8"/>
    </row>
    <row r="259" spans="1:8" ht="15.75" customHeight="1" x14ac:dyDescent="0.75">
      <c r="A259" s="19"/>
      <c r="C259" s="28"/>
      <c r="H259" s="8"/>
    </row>
    <row r="260" spans="1:8" ht="15.75" customHeight="1" x14ac:dyDescent="0.75">
      <c r="A260" s="19"/>
      <c r="C260" s="28"/>
      <c r="H260" s="8"/>
    </row>
    <row r="261" spans="1:8" ht="15.75" customHeight="1" x14ac:dyDescent="0.75">
      <c r="A261" s="19"/>
      <c r="C261" s="28"/>
      <c r="H261" s="8"/>
    </row>
    <row r="262" spans="1:8" ht="15.75" customHeight="1" x14ac:dyDescent="0.75">
      <c r="A262" s="19"/>
      <c r="C262" s="28"/>
      <c r="H262" s="8"/>
    </row>
    <row r="263" spans="1:8" ht="15.75" customHeight="1" x14ac:dyDescent="0.75">
      <c r="A263" s="19"/>
      <c r="C263" s="28"/>
      <c r="H263" s="8"/>
    </row>
    <row r="264" spans="1:8" ht="15.75" customHeight="1" x14ac:dyDescent="0.75">
      <c r="A264" s="19"/>
      <c r="C264" s="28"/>
      <c r="H264" s="8"/>
    </row>
    <row r="265" spans="1:8" ht="15.75" customHeight="1" x14ac:dyDescent="0.75">
      <c r="A265" s="19"/>
      <c r="C265" s="28"/>
      <c r="H265" s="8"/>
    </row>
    <row r="266" spans="1:8" ht="15.75" customHeight="1" x14ac:dyDescent="0.75">
      <c r="A266" s="19"/>
      <c r="C266" s="28"/>
      <c r="H266" s="8"/>
    </row>
    <row r="267" spans="1:8" ht="15.75" customHeight="1" x14ac:dyDescent="0.75">
      <c r="A267" s="19"/>
      <c r="C267" s="28"/>
      <c r="H267" s="8"/>
    </row>
    <row r="268" spans="1:8" ht="15.75" customHeight="1" x14ac:dyDescent="0.75">
      <c r="A268" s="19"/>
      <c r="C268" s="28"/>
      <c r="H268" s="8"/>
    </row>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row r="1020" ht="15.75" customHeight="1" x14ac:dyDescent="0.75"/>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29" workbookViewId="0">
      <selection activeCell="B42" sqref="B42:D43"/>
    </sheetView>
  </sheetViews>
  <sheetFormatPr defaultColWidth="14.5" defaultRowHeight="15" customHeight="1" x14ac:dyDescent="0.75"/>
  <cols>
    <col min="1" max="1" width="19.1796875" customWidth="1"/>
    <col min="2" max="2" width="85.31640625" customWidth="1"/>
    <col min="3" max="3" width="11.81640625" customWidth="1"/>
    <col min="4" max="4" width="36" customWidth="1"/>
    <col min="5" max="5" width="28.1796875" customWidth="1"/>
    <col min="6" max="7" width="8.81640625" customWidth="1"/>
    <col min="8" max="8" width="42.81640625" customWidth="1"/>
    <col min="9" max="9" width="59.5" customWidth="1"/>
  </cols>
  <sheetData>
    <row r="1" spans="1:8" ht="26.25" customHeight="1" x14ac:dyDescent="0.75">
      <c r="B1" s="1" t="s">
        <v>161</v>
      </c>
    </row>
    <row r="2" spans="1:8" ht="47.25" customHeight="1" x14ac:dyDescent="0.75">
      <c r="A2" s="245"/>
      <c r="B2" s="270" t="s">
        <v>162</v>
      </c>
      <c r="C2" s="271" t="s">
        <v>70</v>
      </c>
      <c r="D2" s="251"/>
    </row>
    <row r="3" spans="1:8" ht="26.25" customHeight="1" x14ac:dyDescent="0.75">
      <c r="A3" s="269"/>
      <c r="B3" s="259" t="s">
        <v>0</v>
      </c>
      <c r="C3" s="254" t="s">
        <v>1</v>
      </c>
      <c r="D3" s="272" t="s">
        <v>510</v>
      </c>
      <c r="E3" s="10"/>
      <c r="F3" s="10"/>
      <c r="G3" s="10"/>
      <c r="H3" s="10" t="s">
        <v>6</v>
      </c>
    </row>
    <row r="4" spans="1:8" ht="30.75" customHeight="1" x14ac:dyDescent="0.75">
      <c r="A4" s="486" t="s">
        <v>511</v>
      </c>
      <c r="B4" s="174" t="s">
        <v>71</v>
      </c>
      <c r="C4" s="210">
        <v>5.2999999999999999E-2</v>
      </c>
      <c r="D4" s="244">
        <f t="shared" ref="D4:D15" si="0">C4/$C$20*(1-$C$18)</f>
        <v>3.9750000000000001E-2</v>
      </c>
      <c r="E4" s="1"/>
      <c r="F4" s="1"/>
      <c r="G4" s="1"/>
      <c r="H4" s="37" t="s">
        <v>72</v>
      </c>
    </row>
    <row r="5" spans="1:8" ht="30.75" customHeight="1" x14ac:dyDescent="0.75">
      <c r="A5" s="487"/>
      <c r="B5" s="171" t="s">
        <v>73</v>
      </c>
      <c r="C5" s="211">
        <v>0</v>
      </c>
      <c r="D5" s="244">
        <f t="shared" si="0"/>
        <v>0</v>
      </c>
      <c r="E5" s="1"/>
      <c r="F5" s="1"/>
      <c r="G5" s="1"/>
      <c r="H5" s="11"/>
    </row>
    <row r="6" spans="1:8" ht="30.75" customHeight="1" x14ac:dyDescent="0.75">
      <c r="A6" s="487"/>
      <c r="B6" s="171" t="s">
        <v>74</v>
      </c>
      <c r="C6" s="211">
        <v>4.2999999999999997E-2</v>
      </c>
      <c r="D6" s="244">
        <f t="shared" si="0"/>
        <v>3.2250000000000001E-2</v>
      </c>
      <c r="E6" s="1"/>
      <c r="F6" s="1"/>
      <c r="G6" s="1"/>
      <c r="H6" s="11"/>
    </row>
    <row r="7" spans="1:8" ht="30.75" customHeight="1" x14ac:dyDescent="0.75">
      <c r="A7" s="487"/>
      <c r="B7" s="171" t="s">
        <v>75</v>
      </c>
      <c r="C7" s="211">
        <v>6.9999999999999993E-3</v>
      </c>
      <c r="D7" s="244">
        <f t="shared" si="0"/>
        <v>5.2499999999999995E-3</v>
      </c>
      <c r="E7" s="1"/>
      <c r="F7" s="1"/>
      <c r="G7" s="1"/>
      <c r="H7" s="11"/>
    </row>
    <row r="8" spans="1:8" ht="39" customHeight="1" x14ac:dyDescent="0.75">
      <c r="A8" s="487"/>
      <c r="B8" s="172" t="s">
        <v>163</v>
      </c>
      <c r="C8" s="211">
        <v>1.1000000000000001E-2</v>
      </c>
      <c r="D8" s="244">
        <f t="shared" si="0"/>
        <v>8.2500000000000004E-3</v>
      </c>
      <c r="E8" s="1"/>
      <c r="F8" s="1"/>
      <c r="G8" s="1"/>
      <c r="H8" s="37" t="s">
        <v>79</v>
      </c>
    </row>
    <row r="9" spans="1:8" ht="39" customHeight="1" x14ac:dyDescent="0.75">
      <c r="A9" s="487"/>
      <c r="B9" s="172" t="s">
        <v>500</v>
      </c>
      <c r="C9" s="211">
        <v>0</v>
      </c>
      <c r="D9" s="244">
        <f t="shared" si="0"/>
        <v>0</v>
      </c>
      <c r="E9" s="1"/>
      <c r="F9" s="1"/>
      <c r="G9" s="1"/>
      <c r="H9" s="37"/>
    </row>
    <row r="10" spans="1:8" ht="26.25" customHeight="1" x14ac:dyDescent="0.75">
      <c r="A10" s="487"/>
      <c r="B10" s="172" t="s">
        <v>108</v>
      </c>
      <c r="C10" s="211">
        <v>0</v>
      </c>
      <c r="D10" s="244">
        <f t="shared" si="0"/>
        <v>0</v>
      </c>
      <c r="E10" s="1"/>
      <c r="F10" s="1"/>
      <c r="G10" s="1"/>
      <c r="H10" s="11"/>
    </row>
    <row r="11" spans="1:8" ht="26.25" customHeight="1" x14ac:dyDescent="0.75">
      <c r="A11" s="487"/>
      <c r="B11" s="172" t="s">
        <v>164</v>
      </c>
      <c r="C11" s="211">
        <v>0.11299999999999999</v>
      </c>
      <c r="D11" s="244">
        <f t="shared" si="0"/>
        <v>8.4749999999999992E-2</v>
      </c>
      <c r="E11" s="1"/>
      <c r="F11" s="1"/>
      <c r="G11" s="1"/>
      <c r="H11" s="11"/>
    </row>
    <row r="12" spans="1:8" ht="26.25" customHeight="1" x14ac:dyDescent="0.75">
      <c r="A12" s="487"/>
      <c r="B12" s="172" t="s">
        <v>109</v>
      </c>
      <c r="C12" s="211">
        <v>0.30399999999999999</v>
      </c>
      <c r="D12" s="244">
        <f t="shared" si="0"/>
        <v>0.22799999999999998</v>
      </c>
      <c r="E12" s="1"/>
      <c r="F12" s="1"/>
      <c r="G12" s="1"/>
      <c r="H12" s="11"/>
    </row>
    <row r="13" spans="1:8" ht="26.25" customHeight="1" x14ac:dyDescent="0.75">
      <c r="A13" s="487"/>
      <c r="B13" s="172" t="s">
        <v>165</v>
      </c>
      <c r="C13" s="211">
        <v>0.39899999999999997</v>
      </c>
      <c r="D13" s="244">
        <f t="shared" si="0"/>
        <v>0.29924999999999996</v>
      </c>
      <c r="E13" s="1"/>
      <c r="F13" s="1"/>
      <c r="G13" s="1"/>
      <c r="H13" s="32">
        <f>SUM(C4:C15)</f>
        <v>1</v>
      </c>
    </row>
    <row r="14" spans="1:8" ht="26.25" customHeight="1" x14ac:dyDescent="0.75">
      <c r="A14" s="487"/>
      <c r="B14" s="475" t="s">
        <v>558</v>
      </c>
      <c r="C14" s="473">
        <v>2.4E-2</v>
      </c>
      <c r="D14" s="477">
        <f t="shared" si="0"/>
        <v>1.8000000000000002E-2</v>
      </c>
      <c r="E14" s="1"/>
      <c r="F14" s="1"/>
      <c r="G14" s="1"/>
      <c r="H14" s="11"/>
    </row>
    <row r="15" spans="1:8" ht="26.25" customHeight="1" x14ac:dyDescent="0.75">
      <c r="A15" s="488"/>
      <c r="B15" s="172" t="s">
        <v>166</v>
      </c>
      <c r="C15" s="211">
        <v>4.5999999999999999E-2</v>
      </c>
      <c r="D15" s="244">
        <f t="shared" si="0"/>
        <v>3.4500000000000003E-2</v>
      </c>
      <c r="E15" s="1"/>
      <c r="F15" s="1"/>
      <c r="G15" s="1"/>
      <c r="H15" s="11"/>
    </row>
    <row r="16" spans="1:8" ht="26.25" customHeight="1" x14ac:dyDescent="0.75">
      <c r="A16" s="245"/>
      <c r="B16" s="165" t="s">
        <v>167</v>
      </c>
      <c r="C16" s="113">
        <v>1</v>
      </c>
      <c r="D16" s="240">
        <f>C16</f>
        <v>1</v>
      </c>
      <c r="E16" s="1"/>
      <c r="F16" s="1"/>
      <c r="G16" s="1"/>
      <c r="H16" s="11"/>
    </row>
    <row r="17" spans="1:9" ht="26.25" customHeight="1" x14ac:dyDescent="0.75">
      <c r="A17" s="273"/>
      <c r="B17" s="239" t="s">
        <v>84</v>
      </c>
      <c r="C17" s="113">
        <v>0.8</v>
      </c>
      <c r="D17" s="274">
        <f>C17</f>
        <v>0.8</v>
      </c>
      <c r="E17" s="1"/>
      <c r="F17" s="1"/>
      <c r="G17" s="1"/>
      <c r="H17" s="11"/>
    </row>
    <row r="18" spans="1:9" ht="26.25" customHeight="1" x14ac:dyDescent="0.75">
      <c r="A18" s="257"/>
      <c r="B18" s="227" t="s">
        <v>387</v>
      </c>
      <c r="C18" s="111">
        <v>0.25</v>
      </c>
      <c r="D18" s="275">
        <f>C18</f>
        <v>0.25</v>
      </c>
      <c r="I18" s="11"/>
    </row>
    <row r="19" spans="1:9" ht="15.75" customHeight="1" x14ac:dyDescent="0.75">
      <c r="B19" s="11"/>
      <c r="C19" s="127" t="s">
        <v>518</v>
      </c>
    </row>
    <row r="20" spans="1:9" ht="15.75" customHeight="1" x14ac:dyDescent="0.75">
      <c r="B20" s="11" t="s">
        <v>389</v>
      </c>
      <c r="C20" s="112">
        <f>SUM(C4:C15)</f>
        <v>1</v>
      </c>
    </row>
    <row r="21" spans="1:9" ht="15.75" customHeight="1" x14ac:dyDescent="0.75">
      <c r="B21" s="11"/>
      <c r="C21" s="37"/>
    </row>
    <row r="22" spans="1:9" ht="15.75" customHeight="1" x14ac:dyDescent="0.75">
      <c r="B22" s="11"/>
      <c r="C22" s="37"/>
    </row>
    <row r="23" spans="1:9" ht="15.75" customHeight="1" x14ac:dyDescent="0.75">
      <c r="B23" s="11"/>
      <c r="C23" s="37"/>
    </row>
    <row r="24" spans="1:9" ht="15.75" customHeight="1" x14ac:dyDescent="0.75">
      <c r="B24" s="11"/>
      <c r="C24" s="37"/>
    </row>
    <row r="25" spans="1:9" ht="15.75" customHeight="1" x14ac:dyDescent="0.75">
      <c r="B25" s="156" t="s">
        <v>521</v>
      </c>
      <c r="C25" s="37"/>
    </row>
    <row r="26" spans="1:9" ht="15.75" customHeight="1" x14ac:dyDescent="0.75">
      <c r="B26" s="357" t="s">
        <v>168</v>
      </c>
      <c r="C26" s="358" t="s">
        <v>48</v>
      </c>
      <c r="D26" s="359"/>
    </row>
    <row r="27" spans="1:9" ht="15.75" customHeight="1" x14ac:dyDescent="0.75">
      <c r="B27" s="360" t="s">
        <v>30</v>
      </c>
      <c r="C27" s="336">
        <f>$D8*$C$46</f>
        <v>937.91432678942351</v>
      </c>
      <c r="D27" s="361" t="s">
        <v>169</v>
      </c>
    </row>
    <row r="28" spans="1:9" ht="14.25" customHeight="1" x14ac:dyDescent="0.75">
      <c r="B28" s="362" t="s">
        <v>32</v>
      </c>
      <c r="C28" s="363">
        <v>0</v>
      </c>
      <c r="D28" s="364" t="s">
        <v>170</v>
      </c>
    </row>
    <row r="29" spans="1:9" ht="15.75" customHeight="1" x14ac:dyDescent="0.75">
      <c r="B29" s="360" t="s">
        <v>34</v>
      </c>
      <c r="C29" s="336">
        <f>($D11+$D$12)*$C$46</f>
        <v>35555.47947919905</v>
      </c>
      <c r="D29" s="361" t="s">
        <v>171</v>
      </c>
    </row>
    <row r="30" spans="1:9" ht="15.75" customHeight="1" x14ac:dyDescent="0.75">
      <c r="B30" s="360" t="s">
        <v>36</v>
      </c>
      <c r="C30" s="336">
        <f>$D10*$C$46</f>
        <v>0</v>
      </c>
      <c r="D30" s="361" t="s">
        <v>172</v>
      </c>
    </row>
    <row r="31" spans="1:9" ht="15.75" customHeight="1" x14ac:dyDescent="0.75">
      <c r="B31" s="362" t="s">
        <v>38</v>
      </c>
      <c r="C31" s="365">
        <f>D4*$C$46*C17</f>
        <v>3615.2334050792324</v>
      </c>
      <c r="D31" s="366" t="s">
        <v>89</v>
      </c>
    </row>
    <row r="32" spans="1:9" ht="15.75" customHeight="1" x14ac:dyDescent="0.75">
      <c r="B32" s="362" t="s">
        <v>40</v>
      </c>
      <c r="C32" s="365">
        <f>D5*$C$46*C17</f>
        <v>0</v>
      </c>
      <c r="D32" s="366" t="s">
        <v>90</v>
      </c>
    </row>
    <row r="33" spans="2:5" ht="15.75" customHeight="1" x14ac:dyDescent="0.75">
      <c r="B33" s="362" t="s">
        <v>41</v>
      </c>
      <c r="C33" s="365">
        <f>D6*$C$46*C17</f>
        <v>2933.1138946869246</v>
      </c>
      <c r="D33" s="366" t="s">
        <v>91</v>
      </c>
    </row>
    <row r="34" spans="2:5" ht="15.75" customHeight="1" x14ac:dyDescent="0.75">
      <c r="B34" s="362" t="s">
        <v>42</v>
      </c>
      <c r="C34" s="365">
        <f>D7*$C$46*C17</f>
        <v>477.48365727461555</v>
      </c>
      <c r="D34" s="366" t="s">
        <v>92</v>
      </c>
    </row>
    <row r="35" spans="2:5" ht="15.75" customHeight="1" x14ac:dyDescent="0.75">
      <c r="B35" s="360" t="s">
        <v>43</v>
      </c>
      <c r="C35" s="336">
        <f>D18*C46*C16</f>
        <v>28421.646266346164</v>
      </c>
      <c r="D35" s="366" t="s">
        <v>93</v>
      </c>
    </row>
    <row r="36" spans="2:5" ht="15.75" customHeight="1" x14ac:dyDescent="0.75">
      <c r="B36" s="360" t="s">
        <v>45</v>
      </c>
      <c r="C36" s="367">
        <v>0</v>
      </c>
      <c r="D36" s="366" t="s">
        <v>173</v>
      </c>
    </row>
    <row r="37" spans="2:5" ht="15.75" customHeight="1" x14ac:dyDescent="0.75">
      <c r="B37" s="360" t="s">
        <v>47</v>
      </c>
      <c r="C37" s="367">
        <v>0</v>
      </c>
      <c r="D37" s="366" t="s">
        <v>173</v>
      </c>
    </row>
    <row r="38" spans="2:5" ht="15.75" customHeight="1" x14ac:dyDescent="0.75">
      <c r="B38" s="360" t="s">
        <v>48</v>
      </c>
      <c r="C38" s="368">
        <v>0</v>
      </c>
      <c r="D38" s="366" t="s">
        <v>174</v>
      </c>
    </row>
    <row r="39" spans="2:5" ht="15.75" customHeight="1" x14ac:dyDescent="0.75">
      <c r="B39" s="360" t="s">
        <v>50</v>
      </c>
      <c r="C39" s="368">
        <v>0</v>
      </c>
      <c r="D39" s="366" t="s">
        <v>175</v>
      </c>
    </row>
    <row r="40" spans="2:5" ht="15.75" customHeight="1" x14ac:dyDescent="0.75">
      <c r="B40" s="360" t="s">
        <v>52</v>
      </c>
      <c r="C40" s="368">
        <v>0</v>
      </c>
      <c r="D40" s="366" t="s">
        <v>176</v>
      </c>
    </row>
    <row r="41" spans="2:5" ht="15.75" customHeight="1" x14ac:dyDescent="0.75">
      <c r="B41" s="360" t="s">
        <v>54</v>
      </c>
      <c r="C41" s="368">
        <v>0</v>
      </c>
      <c r="D41" s="366" t="s">
        <v>177</v>
      </c>
    </row>
    <row r="42" spans="2:5" ht="15.75" customHeight="1" x14ac:dyDescent="0.75">
      <c r="B42" s="329" t="s">
        <v>570</v>
      </c>
      <c r="C42" s="350">
        <f>$D$14*$C$46</f>
        <v>2046.3585311769241</v>
      </c>
      <c r="D42" s="346" t="s">
        <v>571</v>
      </c>
    </row>
    <row r="43" spans="2:5" ht="15.75" customHeight="1" x14ac:dyDescent="0.75">
      <c r="B43" s="329" t="s">
        <v>57</v>
      </c>
      <c r="C43" s="350">
        <f>$D$15*$C$46</f>
        <v>3922.1871847557709</v>
      </c>
      <c r="D43" s="354" t="s">
        <v>572</v>
      </c>
    </row>
    <row r="44" spans="2:5" ht="15.75" customHeight="1" x14ac:dyDescent="0.75">
      <c r="B44" s="370" t="s">
        <v>59</v>
      </c>
      <c r="C44" s="336">
        <f>D13*C46 + C46*SUM(D4:D7)*(1-C17) + C46*D18*(1-C16)</f>
        <v>35777.168320076547</v>
      </c>
      <c r="D44" s="371" t="s">
        <v>178</v>
      </c>
    </row>
    <row r="45" spans="2:5" ht="15.75" customHeight="1" x14ac:dyDescent="0.75">
      <c r="B45" s="360" t="s">
        <v>61</v>
      </c>
      <c r="C45" s="336">
        <f>SUM(C27:C44)</f>
        <v>113686.58506538466</v>
      </c>
      <c r="D45" s="369" t="s">
        <v>179</v>
      </c>
    </row>
    <row r="46" spans="2:5" ht="15.75" customHeight="1" x14ac:dyDescent="0.75">
      <c r="B46" s="360" t="s">
        <v>63</v>
      </c>
      <c r="C46" s="336">
        <f>Tourists!$C$36+SUM(Households!C41:D41) + Ag!C37 + Tourism!C37 + Nonag!C37 + Fishing!C39 + Lodges!C38 + ComRevSh!C36 + NatParkPA!C38</f>
        <v>113686.58506538466</v>
      </c>
      <c r="D46" s="369" t="s">
        <v>180</v>
      </c>
      <c r="E46" s="42" t="s">
        <v>386</v>
      </c>
    </row>
    <row r="47" spans="2:5" ht="15.75" customHeight="1" x14ac:dyDescent="0.75">
      <c r="B47" s="360" t="s">
        <v>65</v>
      </c>
      <c r="C47" s="367">
        <f>C46-C45</f>
        <v>0</v>
      </c>
      <c r="D47" s="372"/>
    </row>
    <row r="48" spans="2:5" ht="15.75" customHeight="1" x14ac:dyDescent="0.75">
      <c r="B48" s="360" t="s">
        <v>67</v>
      </c>
      <c r="C48" s="373">
        <f>C47/C46</f>
        <v>0</v>
      </c>
      <c r="D48" s="372"/>
    </row>
    <row r="49" spans="2:7" ht="15.75" customHeight="1" x14ac:dyDescent="0.75">
      <c r="B49" s="370" t="s">
        <v>59</v>
      </c>
      <c r="C49" s="374"/>
      <c r="D49" s="372"/>
    </row>
    <row r="50" spans="2:7" ht="15.75" customHeight="1" x14ac:dyDescent="0.75">
      <c r="B50" s="375" t="s">
        <v>181</v>
      </c>
      <c r="C50" s="376"/>
      <c r="D50" s="377"/>
    </row>
    <row r="51" spans="2:7" ht="15.75" customHeight="1" x14ac:dyDescent="0.75"/>
    <row r="52" spans="2:7" ht="15.75" customHeight="1" x14ac:dyDescent="0.75"/>
    <row r="53" spans="2:7" ht="15.75" customHeight="1" x14ac:dyDescent="0.75">
      <c r="B53" s="23" t="s">
        <v>506</v>
      </c>
    </row>
    <row r="54" spans="2:7" ht="15.75" customHeight="1" x14ac:dyDescent="0.75">
      <c r="B54" s="33" t="s">
        <v>0</v>
      </c>
      <c r="C54" s="34" t="s">
        <v>1</v>
      </c>
      <c r="D54" s="35" t="s">
        <v>2</v>
      </c>
      <c r="E54" s="35" t="s">
        <v>3</v>
      </c>
      <c r="F54" s="35" t="s">
        <v>4</v>
      </c>
      <c r="G54" s="35" t="s">
        <v>5</v>
      </c>
    </row>
    <row r="55" spans="2:7" ht="15" customHeight="1" x14ac:dyDescent="0.75">
      <c r="B55" s="198" t="s">
        <v>71</v>
      </c>
      <c r="C55" s="199">
        <f t="shared" ref="C55:C64" si="1">C4*100</f>
        <v>5.3</v>
      </c>
      <c r="D55" s="181" t="s">
        <v>436</v>
      </c>
      <c r="E55" s="181">
        <v>0</v>
      </c>
      <c r="F55" s="181">
        <v>100</v>
      </c>
      <c r="G55" s="181">
        <v>0.01</v>
      </c>
    </row>
    <row r="56" spans="2:7" ht="15" customHeight="1" x14ac:dyDescent="0.75">
      <c r="B56" s="198" t="s">
        <v>73</v>
      </c>
      <c r="C56" s="199">
        <f t="shared" si="1"/>
        <v>0</v>
      </c>
      <c r="D56" s="181" t="s">
        <v>437</v>
      </c>
      <c r="E56" s="181">
        <v>0</v>
      </c>
      <c r="F56" s="181">
        <v>100</v>
      </c>
      <c r="G56" s="181">
        <v>0.01</v>
      </c>
    </row>
    <row r="57" spans="2:7" ht="15" customHeight="1" x14ac:dyDescent="0.75">
      <c r="B57" s="198" t="s">
        <v>74</v>
      </c>
      <c r="C57" s="199">
        <f t="shared" si="1"/>
        <v>4.3</v>
      </c>
      <c r="D57" s="181" t="s">
        <v>438</v>
      </c>
      <c r="E57" s="181">
        <v>0</v>
      </c>
      <c r="F57" s="181">
        <v>100</v>
      </c>
      <c r="G57" s="181">
        <v>0.01</v>
      </c>
    </row>
    <row r="58" spans="2:7" ht="15" customHeight="1" x14ac:dyDescent="0.75">
      <c r="B58" s="198" t="s">
        <v>75</v>
      </c>
      <c r="C58" s="199">
        <f t="shared" si="1"/>
        <v>0.7</v>
      </c>
      <c r="D58" s="181" t="s">
        <v>439</v>
      </c>
      <c r="E58" s="181">
        <v>0</v>
      </c>
      <c r="F58" s="181">
        <v>100</v>
      </c>
      <c r="G58" s="181">
        <v>0.01</v>
      </c>
    </row>
    <row r="59" spans="2:7" ht="15" customHeight="1" x14ac:dyDescent="0.75">
      <c r="B59" s="198" t="s">
        <v>163</v>
      </c>
      <c r="C59" s="199">
        <f t="shared" si="1"/>
        <v>1.1000000000000001</v>
      </c>
      <c r="D59" s="181" t="s">
        <v>440</v>
      </c>
      <c r="E59" s="181">
        <v>0</v>
      </c>
      <c r="F59" s="181">
        <v>100</v>
      </c>
      <c r="G59" s="181">
        <v>0.01</v>
      </c>
    </row>
    <row r="60" spans="2:7" ht="15" customHeight="1" x14ac:dyDescent="0.75">
      <c r="B60" s="198" t="s">
        <v>496</v>
      </c>
      <c r="C60" s="199">
        <f t="shared" si="1"/>
        <v>0</v>
      </c>
      <c r="D60" s="181" t="s">
        <v>441</v>
      </c>
      <c r="E60" s="181">
        <v>0</v>
      </c>
      <c r="F60" s="181">
        <v>100</v>
      </c>
      <c r="G60" s="181">
        <v>0.01</v>
      </c>
    </row>
    <row r="61" spans="2:7" ht="15" customHeight="1" x14ac:dyDescent="0.75">
      <c r="B61" s="198" t="s">
        <v>108</v>
      </c>
      <c r="C61" s="199">
        <f t="shared" si="1"/>
        <v>0</v>
      </c>
      <c r="D61" s="181" t="s">
        <v>442</v>
      </c>
      <c r="E61" s="181">
        <v>0</v>
      </c>
      <c r="F61" s="181">
        <v>100</v>
      </c>
      <c r="G61" s="181">
        <v>0.01</v>
      </c>
    </row>
    <row r="62" spans="2:7" ht="15" customHeight="1" x14ac:dyDescent="0.75">
      <c r="B62" s="198" t="s">
        <v>164</v>
      </c>
      <c r="C62" s="199">
        <f t="shared" si="1"/>
        <v>11.299999999999999</v>
      </c>
      <c r="D62" s="181" t="s">
        <v>443</v>
      </c>
      <c r="E62" s="181">
        <v>0</v>
      </c>
      <c r="F62" s="181">
        <v>100</v>
      </c>
      <c r="G62" s="181">
        <v>0.01</v>
      </c>
    </row>
    <row r="63" spans="2:7" ht="15" customHeight="1" x14ac:dyDescent="0.75">
      <c r="B63" s="198" t="s">
        <v>109</v>
      </c>
      <c r="C63" s="199">
        <f t="shared" si="1"/>
        <v>30.4</v>
      </c>
      <c r="D63" s="181" t="s">
        <v>444</v>
      </c>
      <c r="E63" s="181">
        <v>0</v>
      </c>
      <c r="F63" s="181">
        <v>100</v>
      </c>
      <c r="G63" s="181">
        <v>0.01</v>
      </c>
    </row>
    <row r="64" spans="2:7" ht="15" customHeight="1" x14ac:dyDescent="0.75">
      <c r="B64" s="198" t="s">
        <v>165</v>
      </c>
      <c r="C64" s="199">
        <f t="shared" si="1"/>
        <v>39.9</v>
      </c>
      <c r="D64" s="181" t="s">
        <v>445</v>
      </c>
      <c r="E64" s="181">
        <v>0</v>
      </c>
      <c r="F64" s="181">
        <v>100</v>
      </c>
      <c r="G64" s="181">
        <v>0.01</v>
      </c>
    </row>
    <row r="65" spans="2:7" ht="15" customHeight="1" x14ac:dyDescent="0.75">
      <c r="B65" s="198" t="s">
        <v>166</v>
      </c>
      <c r="C65" s="199">
        <f t="shared" ref="C65" si="2">C15*100</f>
        <v>4.5999999999999996</v>
      </c>
      <c r="D65" s="181" t="s">
        <v>460</v>
      </c>
      <c r="E65" s="181">
        <v>0</v>
      </c>
      <c r="F65" s="181">
        <v>100</v>
      </c>
      <c r="G65" s="181">
        <v>0.01</v>
      </c>
    </row>
    <row r="66" spans="2:7" ht="15" customHeight="1" x14ac:dyDescent="0.75">
      <c r="B66" s="205" t="s">
        <v>167</v>
      </c>
      <c r="C66" s="199">
        <f t="shared" ref="C66:C67" si="3">D16*100</f>
        <v>100</v>
      </c>
      <c r="D66" s="181" t="s">
        <v>502</v>
      </c>
      <c r="E66" s="181">
        <v>0</v>
      </c>
      <c r="F66" s="181">
        <v>100</v>
      </c>
      <c r="G66" s="181">
        <v>0.01</v>
      </c>
    </row>
    <row r="67" spans="2:7" ht="15" customHeight="1" x14ac:dyDescent="0.75">
      <c r="B67" s="205" t="s">
        <v>84</v>
      </c>
      <c r="C67" s="199">
        <f t="shared" si="3"/>
        <v>80</v>
      </c>
      <c r="D67" s="181" t="s">
        <v>182</v>
      </c>
      <c r="E67" s="181">
        <v>0</v>
      </c>
      <c r="F67" s="181">
        <v>100</v>
      </c>
      <c r="G67" s="181">
        <v>0.01</v>
      </c>
    </row>
    <row r="68" spans="2:7" ht="15" customHeight="1" x14ac:dyDescent="0.75">
      <c r="B68" s="207" t="s">
        <v>387</v>
      </c>
      <c r="C68" s="208">
        <f>C18*100</f>
        <v>25</v>
      </c>
      <c r="D68" s="181" t="s">
        <v>394</v>
      </c>
      <c r="E68" s="189">
        <v>0</v>
      </c>
      <c r="F68" s="189">
        <v>100</v>
      </c>
      <c r="G68" s="206">
        <v>0.01</v>
      </c>
    </row>
    <row r="69" spans="2:7" ht="26.25" customHeight="1" x14ac:dyDescent="0.75"/>
    <row r="70" spans="2:7" ht="26.25" customHeight="1" x14ac:dyDescent="0.75"/>
    <row r="71" spans="2:7" ht="26.25" customHeight="1" x14ac:dyDescent="0.75"/>
    <row r="72" spans="2:7" ht="26.25" customHeight="1" x14ac:dyDescent="0.75"/>
    <row r="73" spans="2:7" ht="26.25" customHeight="1" x14ac:dyDescent="0.75"/>
    <row r="74" spans="2:7" ht="26.25" customHeight="1" x14ac:dyDescent="0.75"/>
    <row r="75" spans="2:7" ht="26.25" customHeight="1" x14ac:dyDescent="0.75"/>
    <row r="76" spans="2:7" ht="26.25" customHeight="1" x14ac:dyDescent="0.75"/>
    <row r="77" spans="2:7" ht="26.25" customHeight="1" x14ac:dyDescent="0.75"/>
    <row r="78" spans="2:7" ht="26.25" customHeight="1" x14ac:dyDescent="0.75"/>
    <row r="79" spans="2:7" ht="26.25" customHeight="1" x14ac:dyDescent="0.75"/>
    <row r="80" spans="2:7"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8"/>
  <sheetViews>
    <sheetView topLeftCell="A31" zoomScale="125" workbookViewId="0">
      <selection activeCell="B42" sqref="B42:D43"/>
    </sheetView>
  </sheetViews>
  <sheetFormatPr defaultColWidth="14.5" defaultRowHeight="15" customHeight="1" x14ac:dyDescent="0.75"/>
  <cols>
    <col min="1" max="1" width="20.81640625" customWidth="1"/>
    <col min="2" max="2" width="63.179687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75">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75">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75">
      <c r="A3" s="245"/>
      <c r="B3" s="164" t="s">
        <v>0</v>
      </c>
      <c r="C3" s="168" t="s">
        <v>1</v>
      </c>
      <c r="D3" s="166" t="s">
        <v>388</v>
      </c>
      <c r="E3" s="10"/>
      <c r="F3" s="10"/>
      <c r="G3" s="10"/>
      <c r="H3" s="10" t="s">
        <v>6</v>
      </c>
      <c r="J3" s="37"/>
      <c r="K3" s="37"/>
      <c r="L3" s="37"/>
      <c r="M3" s="37"/>
      <c r="N3" s="37"/>
      <c r="O3" s="37"/>
      <c r="P3" s="37"/>
      <c r="Q3" s="37"/>
      <c r="R3" s="37"/>
      <c r="S3" s="37"/>
      <c r="T3" s="37"/>
      <c r="U3" s="37"/>
      <c r="V3" s="37"/>
      <c r="W3" s="37"/>
      <c r="X3" s="37"/>
      <c r="Y3" s="37"/>
      <c r="Z3" s="37"/>
    </row>
    <row r="4" spans="1:26" ht="30" customHeight="1" x14ac:dyDescent="0.75">
      <c r="A4" s="486" t="s">
        <v>511</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75">
      <c r="A5" s="487"/>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75">
      <c r="A6" s="487"/>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75">
      <c r="A7" s="487"/>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75">
      <c r="A8" s="487"/>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75">
      <c r="A9" s="487"/>
      <c r="B9" s="172" t="s">
        <v>481</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75">
      <c r="A10" s="487"/>
      <c r="B10" s="172" t="s">
        <v>482</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75">
      <c r="A11" s="487"/>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75">
      <c r="A12" s="487"/>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75">
      <c r="A13" s="487"/>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75">
      <c r="A14" s="487"/>
      <c r="B14" s="475" t="s">
        <v>559</v>
      </c>
      <c r="C14" s="478">
        <v>4.8814814814814811E-2</v>
      </c>
      <c r="D14" s="479">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75">
      <c r="A15" s="488"/>
      <c r="B15" s="172" t="s">
        <v>560</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75">
      <c r="A16" s="245"/>
      <c r="B16" s="165" t="s">
        <v>191</v>
      </c>
      <c r="C16" s="279">
        <v>0.65820105820105823</v>
      </c>
      <c r="D16" s="277">
        <f>C16</f>
        <v>0.65820105820105823</v>
      </c>
      <c r="E16" s="37"/>
      <c r="F16" s="462"/>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75">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75">
      <c r="A18" s="257"/>
      <c r="B18" s="227" t="s">
        <v>387</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75">
      <c r="B19" s="11"/>
      <c r="C19" s="127" t="s">
        <v>518</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75">
      <c r="B20" s="11" t="s">
        <v>389</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75">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75">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75">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75">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75">
      <c r="B25" s="156" t="s">
        <v>521</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75">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75">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75">
      <c r="B28" s="331" t="s">
        <v>32</v>
      </c>
      <c r="C28" s="345">
        <v>0</v>
      </c>
      <c r="D28" s="346" t="s">
        <v>193</v>
      </c>
    </row>
    <row r="29" spans="1:26" ht="14.25" customHeight="1" x14ac:dyDescent="0.75">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75">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75">
      <c r="B31" s="463" t="s">
        <v>38</v>
      </c>
      <c r="C31" s="464">
        <f>D4*$C$46*C17</f>
        <v>1498.1604894432135</v>
      </c>
      <c r="D31" s="465" t="s">
        <v>89</v>
      </c>
      <c r="E31" s="466" t="s">
        <v>552</v>
      </c>
      <c r="F31" s="37"/>
      <c r="G31" s="37"/>
      <c r="H31" s="37"/>
      <c r="J31" s="37"/>
      <c r="K31" s="37"/>
      <c r="L31" s="37"/>
      <c r="M31" s="37"/>
      <c r="N31" s="37"/>
      <c r="O31" s="37"/>
      <c r="P31" s="37"/>
      <c r="Q31" s="37"/>
      <c r="R31" s="37"/>
      <c r="S31" s="37"/>
      <c r="T31" s="37"/>
      <c r="U31" s="37"/>
      <c r="V31" s="37"/>
      <c r="W31" s="37"/>
      <c r="X31" s="37"/>
      <c r="Y31" s="37"/>
      <c r="Z31" s="37"/>
    </row>
    <row r="32" spans="1:26" ht="14.25" customHeight="1" x14ac:dyDescent="0.75">
      <c r="B32" s="463" t="s">
        <v>40</v>
      </c>
      <c r="C32" s="464">
        <f>D5*$C$46*C17</f>
        <v>473.06482999988225</v>
      </c>
      <c r="D32" s="465"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75">
      <c r="B33" s="463" t="s">
        <v>41</v>
      </c>
      <c r="C33" s="464">
        <f>D6*$C$46*C17</f>
        <v>1392.4662864842833</v>
      </c>
      <c r="D33" s="465"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75">
      <c r="B34" s="463" t="s">
        <v>42</v>
      </c>
      <c r="C34" s="464">
        <f>D7*$C$46*C17</f>
        <v>679.74127298798135</v>
      </c>
      <c r="D34" s="465"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75">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75">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75">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75">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75">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75">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75">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75">
      <c r="B42" s="329" t="s">
        <v>570</v>
      </c>
      <c r="C42" s="350">
        <f>$D$14*$C$46</f>
        <v>924.82856864232792</v>
      </c>
      <c r="D42" s="346" t="s">
        <v>571</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75">
      <c r="B43" s="329" t="s">
        <v>57</v>
      </c>
      <c r="C43" s="350">
        <f>$D$15*$C$46</f>
        <v>1327.1981626733605</v>
      </c>
      <c r="D43" s="354" t="s">
        <v>572</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75">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75">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75">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75">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75">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75">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75">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75">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75">
      <c r="B52" s="23" t="s">
        <v>506</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75">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75">
      <c r="B54" s="198" t="s">
        <v>71</v>
      </c>
      <c r="C54" s="310">
        <f t="shared" ref="C54:C63" si="1">C4*100</f>
        <v>9.757142857142858</v>
      </c>
      <c r="D54" s="311" t="s">
        <v>446</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75">
      <c r="B55" s="198" t="s">
        <v>73</v>
      </c>
      <c r="C55" s="310">
        <f t="shared" si="1"/>
        <v>3.0809523809523807</v>
      </c>
      <c r="D55" s="311" t="s">
        <v>447</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75">
      <c r="B56" s="198" t="s">
        <v>74</v>
      </c>
      <c r="C56" s="310">
        <f t="shared" si="1"/>
        <v>9.0687830687830679</v>
      </c>
      <c r="D56" s="311" t="s">
        <v>448</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75">
      <c r="B57" s="198" t="s">
        <v>75</v>
      </c>
      <c r="C57" s="310">
        <f t="shared" si="1"/>
        <v>4.4269841269841264</v>
      </c>
      <c r="D57" s="311" t="s">
        <v>449</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75">
      <c r="B58" s="198" t="s">
        <v>186</v>
      </c>
      <c r="C58" s="310">
        <f t="shared" si="1"/>
        <v>2.770899470899471</v>
      </c>
      <c r="D58" s="311" t="s">
        <v>450</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75">
      <c r="B59" s="198" t="s">
        <v>497</v>
      </c>
      <c r="C59" s="310">
        <f t="shared" si="1"/>
        <v>0.18148148148148149</v>
      </c>
      <c r="D59" s="181" t="s">
        <v>451</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75">
      <c r="B60" s="198" t="s">
        <v>108</v>
      </c>
      <c r="C60" s="310">
        <f t="shared" si="1"/>
        <v>0</v>
      </c>
      <c r="D60" s="311" t="s">
        <v>452</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75">
      <c r="B61" s="198" t="s">
        <v>188</v>
      </c>
      <c r="C61" s="310">
        <f t="shared" si="1"/>
        <v>8.228571428571426</v>
      </c>
      <c r="D61" s="311" t="s">
        <v>453</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75">
      <c r="B62" s="198" t="s">
        <v>109</v>
      </c>
      <c r="C62" s="310">
        <f t="shared" si="1"/>
        <v>13.216402116402119</v>
      </c>
      <c r="D62" s="311" t="s">
        <v>454</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75">
      <c r="B63" s="198" t="s">
        <v>189</v>
      </c>
      <c r="C63" s="310">
        <f t="shared" si="1"/>
        <v>37.382010582010579</v>
      </c>
      <c r="D63" s="311" t="s">
        <v>455</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75">
      <c r="B64" s="198" t="s">
        <v>190</v>
      </c>
      <c r="C64" s="310">
        <f t="shared" ref="C64" si="2">C15*100</f>
        <v>7.0052910052910065</v>
      </c>
      <c r="D64" s="311" t="s">
        <v>461</v>
      </c>
      <c r="E64" s="311">
        <v>0</v>
      </c>
      <c r="F64" s="311">
        <v>100</v>
      </c>
      <c r="G64" s="311">
        <v>0.01</v>
      </c>
      <c r="H64" s="37"/>
      <c r="I64" s="11"/>
      <c r="J64" s="37"/>
      <c r="K64" s="37"/>
      <c r="L64" s="37"/>
      <c r="M64" s="37"/>
      <c r="N64" s="37"/>
      <c r="O64" s="37"/>
      <c r="P64" s="37"/>
      <c r="Q64" s="37"/>
      <c r="R64" s="37"/>
      <c r="S64" s="37"/>
      <c r="T64" s="37"/>
      <c r="U64" s="37"/>
      <c r="V64" s="37"/>
      <c r="W64" s="37"/>
      <c r="X64" s="37"/>
      <c r="Y64" s="37"/>
      <c r="Z64" s="37"/>
    </row>
    <row r="65" spans="2:26" ht="14.25" customHeight="1" x14ac:dyDescent="0.75">
      <c r="B65" s="205" t="s">
        <v>191</v>
      </c>
      <c r="C65" s="310">
        <f t="shared" ref="C65:C66" si="3">D16*100</f>
        <v>65.820105820105823</v>
      </c>
      <c r="D65" s="311" t="s">
        <v>505</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75">
      <c r="B66" s="205" t="s">
        <v>84</v>
      </c>
      <c r="C66" s="310">
        <f t="shared" si="3"/>
        <v>81.04497354497353</v>
      </c>
      <c r="D66" s="311" t="s">
        <v>204</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75">
      <c r="B67" s="207" t="s">
        <v>387</v>
      </c>
      <c r="C67" s="312">
        <f>C18*100</f>
        <v>23.827513227513222</v>
      </c>
      <c r="D67" s="181" t="s">
        <v>395</v>
      </c>
      <c r="E67" s="189">
        <v>0</v>
      </c>
      <c r="F67" s="189">
        <v>100</v>
      </c>
      <c r="G67" s="206">
        <v>0.01</v>
      </c>
      <c r="H67" s="37"/>
      <c r="I67" s="11"/>
      <c r="J67" s="37"/>
      <c r="K67" s="37"/>
      <c r="L67" s="37"/>
      <c r="M67" s="37"/>
      <c r="N67" s="37"/>
      <c r="O67" s="37"/>
      <c r="P67" s="37"/>
      <c r="Q67" s="37"/>
      <c r="R67" s="37"/>
      <c r="S67" s="37"/>
      <c r="T67" s="37"/>
      <c r="U67" s="37"/>
      <c r="V67" s="37"/>
      <c r="W67" s="37"/>
      <c r="X67" s="37"/>
      <c r="Y67" s="37"/>
      <c r="Z67" s="37"/>
    </row>
    <row r="68" spans="2:26" ht="14.25" customHeight="1" x14ac:dyDescent="0.75">
      <c r="H68" s="37"/>
      <c r="I68" s="11"/>
      <c r="J68" s="37"/>
      <c r="K68" s="37"/>
      <c r="L68" s="37"/>
      <c r="M68" s="37"/>
      <c r="N68" s="37"/>
      <c r="O68" s="37"/>
      <c r="P68" s="37"/>
      <c r="Q68" s="37"/>
      <c r="R68" s="37"/>
      <c r="S68" s="37"/>
      <c r="T68" s="37"/>
      <c r="U68" s="37"/>
      <c r="V68" s="37"/>
      <c r="W68" s="37"/>
      <c r="X68" s="37"/>
      <c r="Y68" s="37"/>
      <c r="Z68" s="37"/>
    </row>
    <row r="69" spans="2:26" ht="14.25" customHeight="1" x14ac:dyDescent="0.75">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75">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75">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75">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75">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75">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75">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75">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75">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75">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75">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75">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75">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75">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75">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75">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75">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75">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75">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75">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75">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75">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75">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75">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75">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75">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75">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75">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75">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75">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75">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75">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75">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75">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75">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75">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75">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75">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75">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75">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75">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75">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75">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75">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75">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75">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75">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75">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75">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75">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75">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75">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75">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75">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75">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75">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75">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75">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75">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75">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75">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75">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75">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75">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75">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75">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75">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75">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75">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75">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75">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75">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75">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75">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75">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75">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75">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75">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75">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75">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75">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75">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75">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75">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75">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75">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75">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75">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75">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75">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75">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75">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75">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75">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75">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75">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75">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75">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75">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75">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75">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75">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75">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75">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75">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75">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75">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75">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75">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75">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75">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75">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75">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75">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75">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75">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75">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75">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75">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75">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75">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75">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75">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75">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75">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75">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75">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75">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75">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75">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75">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75">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75">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75">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75">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75">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75">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75">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75">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75">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75">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75">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75">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75">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75">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75">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75">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75">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75">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75">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75">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75">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75">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75">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75">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75">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75">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75">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75">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75">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75">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75">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75">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75">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75">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75">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75">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75">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75">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75">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75">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75">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75">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75">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75">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75">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75">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75">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75">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75">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75">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75">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75">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75">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75">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75">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75">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75">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75">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75">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75">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75">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75">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75">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75">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75">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75">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75">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5.75" customHeight="1" x14ac:dyDescent="0.75"/>
    <row r="268" spans="2:26" ht="15.75" customHeight="1" x14ac:dyDescent="0.75"/>
    <row r="269" spans="2:26" ht="15.75" customHeight="1" x14ac:dyDescent="0.75"/>
    <row r="270" spans="2:26" ht="15.75" customHeight="1" x14ac:dyDescent="0.75"/>
    <row r="271" spans="2:26" ht="15.75" customHeight="1" x14ac:dyDescent="0.75"/>
    <row r="272" spans="2:26"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8"/>
  <sheetViews>
    <sheetView topLeftCell="A31" zoomScale="125" workbookViewId="0">
      <selection activeCell="B42" sqref="B42:D43"/>
    </sheetView>
  </sheetViews>
  <sheetFormatPr defaultColWidth="14.5" defaultRowHeight="15" customHeight="1" x14ac:dyDescent="0.75"/>
  <cols>
    <col min="1" max="1" width="15.31640625" customWidth="1"/>
    <col min="2" max="2" width="71.31640625" customWidth="1"/>
    <col min="4" max="4" width="25.1796875" customWidth="1"/>
    <col min="5" max="7" width="8.81640625" customWidth="1"/>
    <col min="8" max="8" width="74.1796875" customWidth="1"/>
  </cols>
  <sheetData>
    <row r="1" spans="1:8" ht="27" customHeight="1" x14ac:dyDescent="0.75">
      <c r="A1" s="19"/>
      <c r="B1" s="1" t="s">
        <v>533</v>
      </c>
      <c r="C1" s="28"/>
      <c r="H1" s="8"/>
    </row>
    <row r="2" spans="1:8" ht="63.75" customHeight="1" x14ac:dyDescent="0.75">
      <c r="A2" s="248"/>
      <c r="B2" s="249" t="s">
        <v>508</v>
      </c>
      <c r="C2" s="250" t="s">
        <v>509</v>
      </c>
      <c r="D2" s="251"/>
      <c r="H2" s="8"/>
    </row>
    <row r="3" spans="1:8" ht="14.25" customHeight="1" x14ac:dyDescent="0.75">
      <c r="A3" s="267"/>
      <c r="B3" s="259" t="s">
        <v>0</v>
      </c>
      <c r="C3" s="268" t="s">
        <v>1</v>
      </c>
      <c r="D3" s="266" t="s">
        <v>510</v>
      </c>
      <c r="E3" s="10"/>
      <c r="F3" s="10"/>
      <c r="G3" s="10"/>
      <c r="H3" s="10" t="s">
        <v>6</v>
      </c>
    </row>
    <row r="4" spans="1:8" ht="29.25" customHeight="1" x14ac:dyDescent="0.75">
      <c r="A4" s="486" t="s">
        <v>511</v>
      </c>
      <c r="B4" s="174" t="s">
        <v>71</v>
      </c>
      <c r="C4" s="167">
        <v>0.11</v>
      </c>
      <c r="D4" s="214">
        <f t="shared" ref="D4:D15" si="0">C4/$C$20*(1-$C$18)</f>
        <v>7.0766666666666658E-2</v>
      </c>
      <c r="E4" s="29"/>
      <c r="F4" s="157"/>
      <c r="G4" s="30"/>
      <c r="H4" s="31" t="s">
        <v>72</v>
      </c>
    </row>
    <row r="5" spans="1:8" ht="36" customHeight="1" x14ac:dyDescent="0.75">
      <c r="A5" s="487"/>
      <c r="B5" s="171" t="s">
        <v>73</v>
      </c>
      <c r="C5" s="167">
        <v>0.10333333333333333</v>
      </c>
      <c r="D5" s="214">
        <f t="shared" si="0"/>
        <v>6.6477777777777775E-2</v>
      </c>
      <c r="F5" s="157"/>
      <c r="G5" s="16"/>
      <c r="H5" s="11"/>
    </row>
    <row r="6" spans="1:8" ht="33.75" customHeight="1" x14ac:dyDescent="0.75">
      <c r="A6" s="487"/>
      <c r="B6" s="171" t="s">
        <v>74</v>
      </c>
      <c r="C6" s="167">
        <v>0.01</v>
      </c>
      <c r="D6" s="214">
        <f t="shared" si="0"/>
        <v>6.4333333333333334E-3</v>
      </c>
      <c r="F6" s="157"/>
      <c r="G6" s="16"/>
      <c r="H6" s="11"/>
    </row>
    <row r="7" spans="1:8" ht="33.75" customHeight="1" x14ac:dyDescent="0.75">
      <c r="A7" s="487"/>
      <c r="B7" s="171" t="s">
        <v>75</v>
      </c>
      <c r="C7" s="167">
        <v>1.5333333333333334E-2</v>
      </c>
      <c r="D7" s="214">
        <f t="shared" si="0"/>
        <v>9.8644444444444448E-3</v>
      </c>
      <c r="F7" s="157"/>
      <c r="G7" s="16"/>
      <c r="H7" s="11"/>
    </row>
    <row r="8" spans="1:8" ht="33.75" customHeight="1" x14ac:dyDescent="0.75">
      <c r="A8" s="487"/>
      <c r="B8" s="172" t="s">
        <v>107</v>
      </c>
      <c r="C8" s="167">
        <v>6.6666666666666662E-3</v>
      </c>
      <c r="D8" s="214">
        <f t="shared" si="0"/>
        <v>4.2888888888888881E-3</v>
      </c>
      <c r="F8" s="157"/>
      <c r="G8" s="16"/>
      <c r="H8" s="11"/>
    </row>
    <row r="9" spans="1:8" ht="33.75" customHeight="1" x14ac:dyDescent="0.75">
      <c r="A9" s="487"/>
      <c r="B9" s="172" t="s">
        <v>498</v>
      </c>
      <c r="C9" s="167">
        <v>0</v>
      </c>
      <c r="D9" s="214">
        <f t="shared" si="0"/>
        <v>0</v>
      </c>
      <c r="F9" s="157"/>
      <c r="G9" s="16"/>
      <c r="H9" s="11"/>
    </row>
    <row r="10" spans="1:8" ht="18" customHeight="1" x14ac:dyDescent="0.75">
      <c r="A10" s="487"/>
      <c r="B10" s="172" t="s">
        <v>108</v>
      </c>
      <c r="C10" s="167">
        <v>0</v>
      </c>
      <c r="D10" s="214">
        <f t="shared" si="0"/>
        <v>0</v>
      </c>
      <c r="F10" s="157"/>
      <c r="G10" s="16"/>
      <c r="H10" s="11"/>
    </row>
    <row r="11" spans="1:8" ht="27" customHeight="1" x14ac:dyDescent="0.75">
      <c r="A11" s="487"/>
      <c r="B11" s="172" t="s">
        <v>78</v>
      </c>
      <c r="C11" s="167">
        <v>0.128</v>
      </c>
      <c r="D11" s="214">
        <f t="shared" si="0"/>
        <v>8.2346666666666665E-2</v>
      </c>
      <c r="F11" s="157"/>
      <c r="G11" s="16"/>
      <c r="H11" s="11"/>
    </row>
    <row r="12" spans="1:8" ht="18" customHeight="1" x14ac:dyDescent="0.75">
      <c r="A12" s="487"/>
      <c r="B12" s="172" t="s">
        <v>109</v>
      </c>
      <c r="C12" s="167">
        <v>0.15733333333333333</v>
      </c>
      <c r="D12" s="214">
        <f t="shared" si="0"/>
        <v>0.10121777777777777</v>
      </c>
      <c r="F12" s="157"/>
      <c r="G12" s="16"/>
      <c r="H12" s="11"/>
    </row>
    <row r="13" spans="1:8" ht="41.25" customHeight="1" x14ac:dyDescent="0.75">
      <c r="A13" s="487"/>
      <c r="B13" s="172" t="s">
        <v>110</v>
      </c>
      <c r="C13" s="167">
        <v>0.40933333333333333</v>
      </c>
      <c r="D13" s="214">
        <f t="shared" si="0"/>
        <v>0.26333777777777778</v>
      </c>
      <c r="F13" s="157"/>
      <c r="G13" s="16"/>
      <c r="H13" s="32"/>
    </row>
    <row r="14" spans="1:8" ht="16.5" customHeight="1" x14ac:dyDescent="0.75">
      <c r="A14" s="487"/>
      <c r="B14" s="475" t="s">
        <v>557</v>
      </c>
      <c r="C14" s="476">
        <v>2.2000000000000002E-2</v>
      </c>
      <c r="D14" s="474">
        <f t="shared" si="0"/>
        <v>1.4153333333333334E-2</v>
      </c>
      <c r="G14" s="16"/>
      <c r="H14" s="11"/>
    </row>
    <row r="15" spans="1:8" ht="16.5" customHeight="1" x14ac:dyDescent="0.75">
      <c r="A15" s="488"/>
      <c r="B15" s="172" t="s">
        <v>111</v>
      </c>
      <c r="C15" s="167">
        <v>3.7999999999999999E-2</v>
      </c>
      <c r="D15" s="214">
        <f t="shared" si="0"/>
        <v>2.4446666666666665E-2</v>
      </c>
      <c r="G15" s="16"/>
      <c r="H15" s="11"/>
    </row>
    <row r="16" spans="1:8" ht="16.5" customHeight="1" x14ac:dyDescent="0.75">
      <c r="A16" s="234"/>
      <c r="B16" s="165" t="s">
        <v>83</v>
      </c>
      <c r="C16" s="113">
        <v>0.9946666666666667</v>
      </c>
      <c r="D16" s="235">
        <f>C16</f>
        <v>0.9946666666666667</v>
      </c>
      <c r="E16" s="114"/>
      <c r="G16" s="16"/>
      <c r="H16" s="11"/>
    </row>
    <row r="17" spans="1:8" ht="16.5" customHeight="1" x14ac:dyDescent="0.75">
      <c r="A17" s="234"/>
      <c r="B17" s="239" t="s">
        <v>84</v>
      </c>
      <c r="C17" s="113">
        <v>0.66666666666666674</v>
      </c>
      <c r="D17" s="236">
        <f>C17</f>
        <v>0.66666666666666674</v>
      </c>
      <c r="E17" s="6"/>
      <c r="F17" s="6"/>
      <c r="G17" s="17"/>
      <c r="H17" s="18"/>
    </row>
    <row r="18" spans="1:8" ht="27" customHeight="1" x14ac:dyDescent="0.75">
      <c r="A18" s="237"/>
      <c r="B18" s="227" t="s">
        <v>387</v>
      </c>
      <c r="C18" s="218">
        <v>0.35666666666666663</v>
      </c>
      <c r="D18" s="224">
        <f>C18</f>
        <v>0.35666666666666663</v>
      </c>
      <c r="H18" s="8"/>
    </row>
    <row r="19" spans="1:8" ht="16.5" customHeight="1" x14ac:dyDescent="0.75">
      <c r="A19" s="19"/>
      <c r="B19" s="11"/>
      <c r="C19" s="127" t="s">
        <v>518</v>
      </c>
      <c r="D19" s="8"/>
    </row>
    <row r="20" spans="1:8" ht="16.5" customHeight="1" x14ac:dyDescent="0.75">
      <c r="A20" s="19"/>
      <c r="B20" s="11" t="s">
        <v>389</v>
      </c>
      <c r="C20" s="112">
        <f>SUM(C4:C15)</f>
        <v>1</v>
      </c>
      <c r="D20" s="158">
        <f>SUM(D4:D15)</f>
        <v>0.64333333333333331</v>
      </c>
    </row>
    <row r="21" spans="1:8" ht="16.5" customHeight="1" x14ac:dyDescent="0.75">
      <c r="A21" s="19"/>
      <c r="B21" s="11"/>
      <c r="C21" s="12"/>
      <c r="D21" s="158">
        <f>D20+D18</f>
        <v>1</v>
      </c>
    </row>
    <row r="22" spans="1:8" ht="16.5" customHeight="1" x14ac:dyDescent="0.75">
      <c r="A22" s="19"/>
      <c r="B22" s="11"/>
      <c r="C22" s="12"/>
      <c r="D22" s="8"/>
    </row>
    <row r="23" spans="1:8" ht="16.5" customHeight="1" x14ac:dyDescent="0.75">
      <c r="A23" s="19"/>
      <c r="B23" s="11"/>
      <c r="C23" s="12"/>
      <c r="D23" s="8"/>
    </row>
    <row r="24" spans="1:8" ht="16.5" customHeight="1" x14ac:dyDescent="0.75">
      <c r="A24" s="19"/>
      <c r="B24" s="156" t="s">
        <v>521</v>
      </c>
      <c r="C24" s="12"/>
      <c r="D24" s="8"/>
    </row>
    <row r="25" spans="1:8" ht="16.5" customHeight="1" x14ac:dyDescent="0.75">
      <c r="A25" s="19"/>
      <c r="B25" s="389" t="s">
        <v>112</v>
      </c>
      <c r="C25" s="390" t="s">
        <v>32</v>
      </c>
      <c r="D25" s="391"/>
    </row>
    <row r="26" spans="1:8" ht="16.5" customHeight="1" x14ac:dyDescent="0.75">
      <c r="A26" s="19"/>
      <c r="B26" s="331" t="s">
        <v>30</v>
      </c>
      <c r="C26" s="365">
        <f>$D$8*$C$46</f>
        <v>2101.1881256969564</v>
      </c>
      <c r="D26" s="381" t="s">
        <v>113</v>
      </c>
    </row>
    <row r="27" spans="1:8" ht="16.5" customHeight="1" x14ac:dyDescent="0.75">
      <c r="A27" s="19"/>
      <c r="B27" s="331" t="s">
        <v>32</v>
      </c>
      <c r="C27" s="365">
        <v>0</v>
      </c>
      <c r="D27" s="382" t="s">
        <v>114</v>
      </c>
    </row>
    <row r="28" spans="1:8" ht="16.5" customHeight="1" x14ac:dyDescent="0.75">
      <c r="A28" s="19"/>
      <c r="B28" s="331" t="s">
        <v>34</v>
      </c>
      <c r="C28" s="365">
        <f>SUM($D$11:$D$12)*$C$46</f>
        <v>89930.85177982974</v>
      </c>
      <c r="D28" s="381" t="s">
        <v>115</v>
      </c>
    </row>
    <row r="29" spans="1:8" ht="16.5" customHeight="1" x14ac:dyDescent="0.75">
      <c r="A29" s="19"/>
      <c r="B29" s="331" t="s">
        <v>36</v>
      </c>
      <c r="C29" s="365">
        <f>$D$10*$C$46</f>
        <v>0</v>
      </c>
      <c r="D29" s="381" t="s">
        <v>116</v>
      </c>
    </row>
    <row r="30" spans="1:8" ht="16.5" customHeight="1" x14ac:dyDescent="0.75">
      <c r="A30" s="19"/>
      <c r="B30" s="331" t="s">
        <v>38</v>
      </c>
      <c r="C30" s="365">
        <f>D4*$C$46*C17</f>
        <v>23113.069382666527</v>
      </c>
      <c r="D30" s="382" t="s">
        <v>89</v>
      </c>
    </row>
    <row r="31" spans="1:8" ht="16.5" customHeight="1" x14ac:dyDescent="0.75">
      <c r="A31" s="19"/>
      <c r="B31" s="331" t="s">
        <v>40</v>
      </c>
      <c r="C31" s="365">
        <f>D5*$C$46*C17</f>
        <v>21712.277298868557</v>
      </c>
      <c r="D31" s="382" t="s">
        <v>90</v>
      </c>
    </row>
    <row r="32" spans="1:8" ht="16.5" customHeight="1" x14ac:dyDescent="0.75">
      <c r="A32" s="19"/>
      <c r="B32" s="331" t="s">
        <v>41</v>
      </c>
      <c r="C32" s="365">
        <f>D6*$C$46*C17</f>
        <v>2101.1881256969573</v>
      </c>
      <c r="D32" s="382" t="s">
        <v>91</v>
      </c>
    </row>
    <row r="33" spans="1:4" ht="16.5" customHeight="1" x14ac:dyDescent="0.75">
      <c r="A33" s="19"/>
      <c r="B33" s="331" t="s">
        <v>42</v>
      </c>
      <c r="C33" s="365">
        <f>D7*$C$46*C17</f>
        <v>3221.8217927353339</v>
      </c>
      <c r="D33" s="382" t="s">
        <v>92</v>
      </c>
    </row>
    <row r="34" spans="1:4" ht="16.5" customHeight="1" x14ac:dyDescent="0.75">
      <c r="A34" s="19"/>
      <c r="B34" s="331" t="s">
        <v>43</v>
      </c>
      <c r="C34" s="365">
        <f>D18*$C$46*C16</f>
        <v>173804.1850459922</v>
      </c>
      <c r="D34" s="382" t="s">
        <v>93</v>
      </c>
    </row>
    <row r="35" spans="1:4" ht="16.5" customHeight="1" x14ac:dyDescent="0.75">
      <c r="A35" s="19"/>
      <c r="B35" s="331" t="s">
        <v>45</v>
      </c>
      <c r="C35" s="365">
        <v>0</v>
      </c>
      <c r="D35" s="382" t="s">
        <v>117</v>
      </c>
    </row>
    <row r="36" spans="1:4" ht="16.5" customHeight="1" x14ac:dyDescent="0.75">
      <c r="A36" s="19"/>
      <c r="B36" s="331" t="s">
        <v>47</v>
      </c>
      <c r="C36" s="383">
        <v>0</v>
      </c>
      <c r="D36" s="382" t="s">
        <v>117</v>
      </c>
    </row>
    <row r="37" spans="1:4" ht="16.5" customHeight="1" x14ac:dyDescent="0.75">
      <c r="A37" s="19"/>
      <c r="B37" s="331" t="s">
        <v>48</v>
      </c>
      <c r="C37" s="383">
        <v>0</v>
      </c>
      <c r="D37" s="382" t="s">
        <v>118</v>
      </c>
    </row>
    <row r="38" spans="1:4" ht="16.5" customHeight="1" x14ac:dyDescent="0.75">
      <c r="A38" s="19"/>
      <c r="B38" s="331" t="s">
        <v>50</v>
      </c>
      <c r="C38" s="383">
        <v>0</v>
      </c>
      <c r="D38" s="382" t="s">
        <v>119</v>
      </c>
    </row>
    <row r="39" spans="1:4" ht="16.5" customHeight="1" x14ac:dyDescent="0.75">
      <c r="A39" s="19"/>
      <c r="B39" s="331" t="s">
        <v>52</v>
      </c>
      <c r="C39" s="383">
        <v>0</v>
      </c>
      <c r="D39" s="382" t="s">
        <v>120</v>
      </c>
    </row>
    <row r="40" spans="1:4" ht="16.5" customHeight="1" x14ac:dyDescent="0.75">
      <c r="A40" s="19"/>
      <c r="B40" s="331" t="s">
        <v>54</v>
      </c>
      <c r="C40" s="383">
        <v>0</v>
      </c>
      <c r="D40" s="382" t="s">
        <v>121</v>
      </c>
    </row>
    <row r="41" spans="1:4" ht="16.5" customHeight="1" x14ac:dyDescent="0.75">
      <c r="A41" s="19"/>
      <c r="B41" s="331" t="s">
        <v>55</v>
      </c>
      <c r="C41" s="365">
        <v>0</v>
      </c>
      <c r="D41" s="382" t="s">
        <v>122</v>
      </c>
    </row>
    <row r="42" spans="1:4" ht="16.5" customHeight="1" x14ac:dyDescent="0.75">
      <c r="A42" s="19"/>
      <c r="B42" s="329" t="s">
        <v>570</v>
      </c>
      <c r="C42" s="350">
        <f>$D$14*$C$46</f>
        <v>6933.920814799958</v>
      </c>
      <c r="D42" s="346" t="s">
        <v>571</v>
      </c>
    </row>
    <row r="43" spans="1:4" ht="16.5" customHeight="1" x14ac:dyDescent="0.75">
      <c r="A43" s="19"/>
      <c r="B43" s="329" t="s">
        <v>57</v>
      </c>
      <c r="C43" s="350">
        <f>$D$15*$C$46</f>
        <v>11976.772316472654</v>
      </c>
      <c r="D43" s="354" t="s">
        <v>572</v>
      </c>
    </row>
    <row r="44" spans="1:4" ht="16.5" customHeight="1" x14ac:dyDescent="0.75">
      <c r="A44" s="19"/>
      <c r="B44" s="384" t="s">
        <v>59</v>
      </c>
      <c r="C44" s="365">
        <f>$D$13*$C$46 + C46*SUM(D4:D7)*(1-C17) + C46*C18*(1-C16)</f>
        <v>155019.05514295644</v>
      </c>
      <c r="D44" s="382" t="s">
        <v>123</v>
      </c>
    </row>
    <row r="45" spans="1:4" ht="16.5" customHeight="1" x14ac:dyDescent="0.75">
      <c r="A45" s="19"/>
      <c r="B45" s="331" t="s">
        <v>61</v>
      </c>
      <c r="C45" s="385">
        <f>SUM($C$26:$C$44)</f>
        <v>489914.32982571534</v>
      </c>
      <c r="D45" s="382" t="s">
        <v>62</v>
      </c>
    </row>
    <row r="46" spans="1:4" ht="33" customHeight="1" x14ac:dyDescent="0.75">
      <c r="A46" s="19"/>
      <c r="B46" s="331" t="s">
        <v>63</v>
      </c>
      <c r="C46" s="383">
        <f>SUM(Tourists!C26)</f>
        <v>489914.32982571534</v>
      </c>
      <c r="D46" s="382" t="s">
        <v>124</v>
      </c>
    </row>
    <row r="47" spans="1:4" ht="16.5" customHeight="1" x14ac:dyDescent="0.75">
      <c r="A47" s="19"/>
      <c r="B47" s="331" t="s">
        <v>65</v>
      </c>
      <c r="C47" s="383">
        <f>C46-C45</f>
        <v>0</v>
      </c>
      <c r="D47" s="382" t="s">
        <v>102</v>
      </c>
    </row>
    <row r="48" spans="1:4" ht="16.5" customHeight="1" x14ac:dyDescent="0.75">
      <c r="A48" s="19"/>
      <c r="B48" s="386" t="s">
        <v>67</v>
      </c>
      <c r="C48" s="387">
        <f>C47/C46</f>
        <v>0</v>
      </c>
      <c r="D48" s="388" t="s">
        <v>103</v>
      </c>
    </row>
    <row r="49" spans="1:8" ht="27" customHeight="1" x14ac:dyDescent="0.75">
      <c r="A49" s="19"/>
      <c r="B49" s="308" t="s">
        <v>104</v>
      </c>
      <c r="C49" s="309">
        <f>C34/C46</f>
        <v>0.35476444444444438</v>
      </c>
      <c r="D49" s="169"/>
      <c r="H49" s="8"/>
    </row>
    <row r="50" spans="1:8" ht="27" customHeight="1" x14ac:dyDescent="0.75">
      <c r="A50" s="19"/>
      <c r="C50" s="28"/>
      <c r="H50" s="8"/>
    </row>
    <row r="51" spans="1:8" ht="27" customHeight="1" x14ac:dyDescent="0.75">
      <c r="A51" s="19"/>
      <c r="C51" s="28"/>
      <c r="H51" s="8"/>
    </row>
    <row r="52" spans="1:8" ht="27" customHeight="1" x14ac:dyDescent="0.75">
      <c r="A52" s="19"/>
      <c r="B52" s="23" t="s">
        <v>506</v>
      </c>
      <c r="H52" s="8"/>
    </row>
    <row r="53" spans="1:8" ht="27" customHeight="1" x14ac:dyDescent="0.75">
      <c r="A53" s="19"/>
      <c r="B53" s="33" t="s">
        <v>0</v>
      </c>
      <c r="C53" s="34" t="s">
        <v>1</v>
      </c>
      <c r="D53" s="35" t="s">
        <v>2</v>
      </c>
      <c r="E53" s="35" t="s">
        <v>3</v>
      </c>
      <c r="F53" s="35" t="s">
        <v>4</v>
      </c>
      <c r="G53" s="35" t="s">
        <v>5</v>
      </c>
      <c r="H53" s="8"/>
    </row>
    <row r="54" spans="1:8" ht="27" customHeight="1" x14ac:dyDescent="0.75">
      <c r="A54" s="19"/>
      <c r="B54" s="198" t="s">
        <v>71</v>
      </c>
      <c r="C54" s="199">
        <f t="shared" ref="C54:C63" si="1">C4*100</f>
        <v>11</v>
      </c>
      <c r="D54" s="200" t="s">
        <v>405</v>
      </c>
      <c r="E54" s="200">
        <v>0</v>
      </c>
      <c r="F54" s="200">
        <v>100</v>
      </c>
      <c r="G54" s="201">
        <v>0.01</v>
      </c>
      <c r="H54" s="8"/>
    </row>
    <row r="55" spans="1:8" ht="27" customHeight="1" x14ac:dyDescent="0.75">
      <c r="A55" s="19"/>
      <c r="B55" s="198" t="s">
        <v>73</v>
      </c>
      <c r="C55" s="199">
        <f t="shared" si="1"/>
        <v>10.333333333333334</v>
      </c>
      <c r="D55" s="181" t="s">
        <v>406</v>
      </c>
      <c r="E55" s="181">
        <v>0</v>
      </c>
      <c r="F55" s="181">
        <v>100</v>
      </c>
      <c r="G55" s="202">
        <v>0.01</v>
      </c>
      <c r="H55" s="8"/>
    </row>
    <row r="56" spans="1:8" ht="27" customHeight="1" x14ac:dyDescent="0.75">
      <c r="A56" s="19"/>
      <c r="B56" s="198" t="s">
        <v>74</v>
      </c>
      <c r="C56" s="199">
        <f t="shared" si="1"/>
        <v>1</v>
      </c>
      <c r="D56" s="200" t="s">
        <v>407</v>
      </c>
      <c r="E56" s="181">
        <v>0</v>
      </c>
      <c r="F56" s="181">
        <v>100</v>
      </c>
      <c r="G56" s="202">
        <v>0.01</v>
      </c>
      <c r="H56" s="8"/>
    </row>
    <row r="57" spans="1:8" ht="27" customHeight="1" x14ac:dyDescent="0.75">
      <c r="A57" s="19"/>
      <c r="B57" s="198" t="s">
        <v>75</v>
      </c>
      <c r="C57" s="199">
        <f t="shared" si="1"/>
        <v>1.5333333333333334</v>
      </c>
      <c r="D57" s="181" t="s">
        <v>408</v>
      </c>
      <c r="E57" s="181">
        <v>0</v>
      </c>
      <c r="F57" s="181">
        <v>100</v>
      </c>
      <c r="G57" s="202">
        <v>0.01</v>
      </c>
      <c r="H57" s="8"/>
    </row>
    <row r="58" spans="1:8" ht="27" customHeight="1" x14ac:dyDescent="0.75">
      <c r="A58" s="19"/>
      <c r="B58" s="198" t="s">
        <v>107</v>
      </c>
      <c r="C58" s="199">
        <f t="shared" si="1"/>
        <v>0.66666666666666663</v>
      </c>
      <c r="D58" s="181" t="s">
        <v>409</v>
      </c>
      <c r="E58" s="181">
        <v>0</v>
      </c>
      <c r="F58" s="181">
        <v>100</v>
      </c>
      <c r="G58" s="203">
        <v>0.01</v>
      </c>
      <c r="H58" s="8"/>
    </row>
    <row r="59" spans="1:8" ht="27" customHeight="1" x14ac:dyDescent="0.75">
      <c r="A59" s="19"/>
      <c r="B59" s="204" t="s">
        <v>496</v>
      </c>
      <c r="C59" s="199">
        <f t="shared" si="1"/>
        <v>0</v>
      </c>
      <c r="D59" s="181" t="s">
        <v>410</v>
      </c>
      <c r="E59" s="181">
        <v>0</v>
      </c>
      <c r="F59" s="181">
        <v>100</v>
      </c>
      <c r="G59" s="181">
        <v>0.01</v>
      </c>
      <c r="H59" s="8"/>
    </row>
    <row r="60" spans="1:8" ht="27" customHeight="1" x14ac:dyDescent="0.75">
      <c r="A60" s="19"/>
      <c r="B60" s="198" t="s">
        <v>108</v>
      </c>
      <c r="C60" s="199">
        <f t="shared" si="1"/>
        <v>0</v>
      </c>
      <c r="D60" s="181" t="s">
        <v>411</v>
      </c>
      <c r="E60" s="181">
        <v>0</v>
      </c>
      <c r="F60" s="181">
        <v>100</v>
      </c>
      <c r="G60" s="203">
        <v>0.01</v>
      </c>
      <c r="H60" s="8"/>
    </row>
    <row r="61" spans="1:8" ht="27" customHeight="1" x14ac:dyDescent="0.75">
      <c r="A61" s="19"/>
      <c r="B61" s="198" t="s">
        <v>78</v>
      </c>
      <c r="C61" s="199">
        <f t="shared" si="1"/>
        <v>12.8</v>
      </c>
      <c r="D61" s="181" t="s">
        <v>412</v>
      </c>
      <c r="E61" s="181">
        <v>0</v>
      </c>
      <c r="F61" s="181">
        <v>100</v>
      </c>
      <c r="G61" s="203">
        <v>0.01</v>
      </c>
      <c r="H61" s="8"/>
    </row>
    <row r="62" spans="1:8" ht="27" customHeight="1" x14ac:dyDescent="0.75">
      <c r="A62" s="19"/>
      <c r="B62" s="198" t="s">
        <v>109</v>
      </c>
      <c r="C62" s="199">
        <f t="shared" si="1"/>
        <v>15.733333333333333</v>
      </c>
      <c r="D62" s="181" t="s">
        <v>413</v>
      </c>
      <c r="E62" s="181">
        <v>0</v>
      </c>
      <c r="F62" s="181">
        <v>100</v>
      </c>
      <c r="G62" s="203">
        <v>0.01</v>
      </c>
      <c r="H62" s="8"/>
    </row>
    <row r="63" spans="1:8" ht="27" customHeight="1" x14ac:dyDescent="0.75">
      <c r="A63" s="19"/>
      <c r="B63" s="198" t="s">
        <v>110</v>
      </c>
      <c r="C63" s="199">
        <f t="shared" si="1"/>
        <v>40.93333333333333</v>
      </c>
      <c r="D63" s="181" t="s">
        <v>414</v>
      </c>
      <c r="E63" s="181">
        <v>0</v>
      </c>
      <c r="F63" s="181">
        <v>100</v>
      </c>
      <c r="G63" s="203">
        <v>0.01</v>
      </c>
      <c r="H63" s="8"/>
    </row>
    <row r="64" spans="1:8" ht="27" customHeight="1" x14ac:dyDescent="0.75">
      <c r="A64" s="19"/>
      <c r="B64" s="205" t="s">
        <v>125</v>
      </c>
      <c r="C64" s="199">
        <f t="shared" ref="C64" si="2">C15*100</f>
        <v>3.8</v>
      </c>
      <c r="D64" s="181" t="s">
        <v>457</v>
      </c>
      <c r="E64" s="181">
        <v>0</v>
      </c>
      <c r="F64" s="181">
        <v>100</v>
      </c>
      <c r="G64" s="203">
        <v>0.01</v>
      </c>
      <c r="H64" s="8"/>
    </row>
    <row r="65" spans="1:8" ht="27" customHeight="1" x14ac:dyDescent="0.75">
      <c r="A65" s="19"/>
      <c r="B65" s="205" t="s">
        <v>83</v>
      </c>
      <c r="C65" s="199">
        <f t="shared" ref="C65:C66" si="3">D16*100</f>
        <v>99.466666666666669</v>
      </c>
      <c r="D65" s="181" t="s">
        <v>501</v>
      </c>
      <c r="E65" s="181">
        <v>0</v>
      </c>
      <c r="F65" s="181">
        <v>100</v>
      </c>
      <c r="G65" s="203">
        <v>0.01</v>
      </c>
      <c r="H65" s="8"/>
    </row>
    <row r="66" spans="1:8" ht="27" customHeight="1" x14ac:dyDescent="0.75">
      <c r="A66" s="19"/>
      <c r="B66" s="205" t="s">
        <v>84</v>
      </c>
      <c r="C66" s="199">
        <f t="shared" si="3"/>
        <v>66.666666666666671</v>
      </c>
      <c r="D66" s="189" t="s">
        <v>380</v>
      </c>
      <c r="E66" s="189">
        <v>0</v>
      </c>
      <c r="F66" s="189">
        <v>100</v>
      </c>
      <c r="G66" s="206">
        <v>0.01</v>
      </c>
      <c r="H66" s="8"/>
    </row>
    <row r="67" spans="1:8" ht="27" customHeight="1" x14ac:dyDescent="0.75">
      <c r="A67" s="19"/>
      <c r="B67" s="207" t="s">
        <v>387</v>
      </c>
      <c r="C67" s="208">
        <f>C18*100</f>
        <v>35.666666666666664</v>
      </c>
      <c r="D67" s="181" t="s">
        <v>391</v>
      </c>
      <c r="E67" s="189">
        <v>0</v>
      </c>
      <c r="F67" s="189">
        <v>100</v>
      </c>
      <c r="G67" s="206">
        <v>0.01</v>
      </c>
      <c r="H67" s="8"/>
    </row>
    <row r="68" spans="1:8" ht="27" customHeight="1" x14ac:dyDescent="0.75">
      <c r="A68" s="19"/>
      <c r="C68" s="28"/>
      <c r="H68" s="8"/>
    </row>
    <row r="69" spans="1:8" ht="27" customHeight="1" x14ac:dyDescent="0.75">
      <c r="A69" s="19"/>
      <c r="C69" s="28"/>
      <c r="H69" s="8"/>
    </row>
    <row r="70" spans="1:8" ht="27" customHeight="1" x14ac:dyDescent="0.75">
      <c r="A70" s="19"/>
      <c r="C70" s="28"/>
      <c r="H70" s="8"/>
    </row>
    <row r="71" spans="1:8" ht="27" customHeight="1" x14ac:dyDescent="0.75">
      <c r="A71" s="19"/>
      <c r="C71" s="28"/>
      <c r="H71" s="8"/>
    </row>
    <row r="72" spans="1:8" ht="27" customHeight="1" x14ac:dyDescent="0.75">
      <c r="A72" s="19"/>
      <c r="C72" s="28"/>
      <c r="H72" s="8"/>
    </row>
    <row r="73" spans="1:8" ht="27" customHeight="1" x14ac:dyDescent="0.75">
      <c r="A73" s="19"/>
      <c r="C73" s="28"/>
      <c r="H73" s="8"/>
    </row>
    <row r="74" spans="1:8" ht="27" customHeight="1" x14ac:dyDescent="0.75">
      <c r="A74" s="19"/>
      <c r="C74" s="28"/>
      <c r="H74" s="8"/>
    </row>
    <row r="75" spans="1:8" ht="27" customHeight="1" x14ac:dyDescent="0.75">
      <c r="A75" s="19"/>
      <c r="C75" s="28"/>
      <c r="H75" s="8"/>
    </row>
    <row r="76" spans="1:8" ht="27" customHeight="1" x14ac:dyDescent="0.75">
      <c r="A76" s="19"/>
      <c r="C76" s="28"/>
      <c r="H76" s="8"/>
    </row>
    <row r="77" spans="1:8" ht="27" customHeight="1" x14ac:dyDescent="0.75">
      <c r="A77" s="19"/>
      <c r="C77" s="28"/>
      <c r="H77" s="8"/>
    </row>
    <row r="78" spans="1:8" ht="27" customHeight="1" x14ac:dyDescent="0.75">
      <c r="A78" s="19"/>
      <c r="C78" s="28"/>
      <c r="H78" s="8"/>
    </row>
    <row r="79" spans="1:8" ht="27" customHeight="1" x14ac:dyDescent="0.75">
      <c r="A79" s="19"/>
      <c r="C79" s="28"/>
      <c r="H79" s="8"/>
    </row>
    <row r="80" spans="1:8" ht="27" customHeight="1" x14ac:dyDescent="0.75">
      <c r="A80" s="19"/>
      <c r="C80" s="28"/>
      <c r="H80" s="8"/>
    </row>
    <row r="81" spans="1:8" ht="27" customHeight="1" x14ac:dyDescent="0.75">
      <c r="A81" s="19"/>
      <c r="C81" s="28"/>
      <c r="H81" s="8"/>
    </row>
    <row r="82" spans="1:8" ht="27" customHeight="1" x14ac:dyDescent="0.75">
      <c r="A82" s="19"/>
      <c r="C82" s="28"/>
      <c r="H82" s="8"/>
    </row>
    <row r="83" spans="1:8" ht="27" customHeight="1" x14ac:dyDescent="0.75">
      <c r="A83" s="19"/>
      <c r="C83" s="28"/>
      <c r="H83" s="8"/>
    </row>
    <row r="84" spans="1:8" ht="27" customHeight="1" x14ac:dyDescent="0.75">
      <c r="A84" s="19"/>
      <c r="C84" s="28"/>
      <c r="H84" s="8"/>
    </row>
    <row r="85" spans="1:8" ht="27" customHeight="1" x14ac:dyDescent="0.75">
      <c r="A85" s="19"/>
      <c r="C85" s="28"/>
      <c r="H85" s="8"/>
    </row>
    <row r="86" spans="1:8" ht="27" customHeight="1" x14ac:dyDescent="0.75">
      <c r="A86" s="19"/>
      <c r="C86" s="28"/>
      <c r="H86" s="8"/>
    </row>
    <row r="87" spans="1:8" ht="27" customHeight="1" x14ac:dyDescent="0.75">
      <c r="A87" s="19"/>
      <c r="C87" s="28"/>
      <c r="H87" s="8"/>
    </row>
    <row r="88" spans="1:8" ht="27" customHeight="1" x14ac:dyDescent="0.75">
      <c r="A88" s="19"/>
      <c r="C88" s="28"/>
      <c r="H88" s="8"/>
    </row>
    <row r="89" spans="1:8" ht="27" customHeight="1" x14ac:dyDescent="0.75">
      <c r="A89" s="19"/>
      <c r="C89" s="28"/>
      <c r="H89" s="8"/>
    </row>
    <row r="90" spans="1:8" ht="27" customHeight="1" x14ac:dyDescent="0.75">
      <c r="A90" s="19"/>
      <c r="C90" s="28"/>
      <c r="H90" s="8"/>
    </row>
    <row r="91" spans="1:8" ht="27" customHeight="1" x14ac:dyDescent="0.75">
      <c r="A91" s="19"/>
      <c r="C91" s="28"/>
      <c r="H91" s="8"/>
    </row>
    <row r="92" spans="1:8" ht="27" customHeight="1" x14ac:dyDescent="0.75">
      <c r="A92" s="19"/>
      <c r="C92" s="28"/>
      <c r="H92" s="8"/>
    </row>
    <row r="93" spans="1:8" ht="27" customHeight="1" x14ac:dyDescent="0.75">
      <c r="A93" s="19"/>
      <c r="C93" s="28"/>
      <c r="H93" s="8"/>
    </row>
    <row r="94" spans="1:8" ht="27" customHeight="1" x14ac:dyDescent="0.75">
      <c r="A94" s="19"/>
      <c r="C94" s="28"/>
      <c r="H94" s="8"/>
    </row>
    <row r="95" spans="1:8" ht="27" customHeight="1" x14ac:dyDescent="0.75">
      <c r="A95" s="19"/>
      <c r="C95" s="28"/>
      <c r="H95" s="8"/>
    </row>
    <row r="96" spans="1:8" ht="27" customHeight="1" x14ac:dyDescent="0.75">
      <c r="A96" s="19"/>
      <c r="C96" s="28"/>
      <c r="H96" s="8"/>
    </row>
    <row r="97" spans="1:8" ht="27" customHeight="1" x14ac:dyDescent="0.75">
      <c r="A97" s="19"/>
      <c r="C97" s="28"/>
      <c r="H97" s="8"/>
    </row>
    <row r="98" spans="1:8" ht="27" customHeight="1" x14ac:dyDescent="0.75">
      <c r="A98" s="19"/>
      <c r="C98" s="28"/>
      <c r="H98" s="8"/>
    </row>
    <row r="99" spans="1:8" ht="27" customHeight="1" x14ac:dyDescent="0.75">
      <c r="A99" s="19"/>
      <c r="C99" s="28"/>
      <c r="H99" s="8"/>
    </row>
    <row r="100" spans="1:8" ht="27" customHeight="1" x14ac:dyDescent="0.75">
      <c r="A100" s="19"/>
      <c r="C100" s="28"/>
      <c r="H100" s="8"/>
    </row>
    <row r="101" spans="1:8" ht="27" customHeight="1" x14ac:dyDescent="0.75">
      <c r="A101" s="19"/>
      <c r="C101" s="28"/>
      <c r="H101" s="8"/>
    </row>
    <row r="102" spans="1:8" ht="27" customHeight="1" x14ac:dyDescent="0.75">
      <c r="A102" s="19"/>
      <c r="C102" s="28"/>
      <c r="H102" s="8"/>
    </row>
    <row r="103" spans="1:8" ht="27" customHeight="1" x14ac:dyDescent="0.75">
      <c r="A103" s="19"/>
      <c r="C103" s="28"/>
      <c r="H103" s="8"/>
    </row>
    <row r="104" spans="1:8" ht="27" customHeight="1" x14ac:dyDescent="0.75">
      <c r="A104" s="19"/>
      <c r="C104" s="28"/>
      <c r="H104" s="8"/>
    </row>
    <row r="105" spans="1:8" ht="27" customHeight="1" x14ac:dyDescent="0.75">
      <c r="A105" s="19"/>
      <c r="C105" s="28"/>
      <c r="H105" s="8"/>
    </row>
    <row r="106" spans="1:8" ht="27" customHeight="1" x14ac:dyDescent="0.75">
      <c r="A106" s="19"/>
      <c r="C106" s="28"/>
      <c r="H106" s="8"/>
    </row>
    <row r="107" spans="1:8" ht="27" customHeight="1" x14ac:dyDescent="0.75">
      <c r="A107" s="19"/>
      <c r="C107" s="28"/>
      <c r="H107" s="8"/>
    </row>
    <row r="108" spans="1:8" ht="27" customHeight="1" x14ac:dyDescent="0.75">
      <c r="A108" s="19"/>
      <c r="C108" s="28"/>
      <c r="H108" s="8"/>
    </row>
    <row r="109" spans="1:8" ht="27" customHeight="1" x14ac:dyDescent="0.75">
      <c r="A109" s="19"/>
      <c r="C109" s="28"/>
      <c r="H109" s="8"/>
    </row>
    <row r="110" spans="1:8" ht="27" customHeight="1" x14ac:dyDescent="0.75">
      <c r="A110" s="19"/>
      <c r="C110" s="28"/>
      <c r="H110" s="8"/>
    </row>
    <row r="111" spans="1:8" ht="27" customHeight="1" x14ac:dyDescent="0.75">
      <c r="A111" s="19"/>
      <c r="C111" s="28"/>
      <c r="H111" s="8"/>
    </row>
    <row r="112" spans="1:8" ht="27" customHeight="1" x14ac:dyDescent="0.75">
      <c r="A112" s="19"/>
      <c r="C112" s="28"/>
      <c r="H112" s="8"/>
    </row>
    <row r="113" spans="1:8" ht="27" customHeight="1" x14ac:dyDescent="0.75">
      <c r="A113" s="19"/>
      <c r="C113" s="28"/>
      <c r="H113" s="8"/>
    </row>
    <row r="114" spans="1:8" ht="27" customHeight="1" x14ac:dyDescent="0.75">
      <c r="A114" s="19"/>
      <c r="C114" s="28"/>
      <c r="H114" s="8"/>
    </row>
    <row r="115" spans="1:8" ht="27" customHeight="1" x14ac:dyDescent="0.75">
      <c r="A115" s="19"/>
      <c r="C115" s="28"/>
      <c r="H115" s="8"/>
    </row>
    <row r="116" spans="1:8" ht="27" customHeight="1" x14ac:dyDescent="0.75">
      <c r="A116" s="19"/>
      <c r="C116" s="28"/>
      <c r="H116" s="8"/>
    </row>
    <row r="117" spans="1:8" ht="27" customHeight="1" x14ac:dyDescent="0.75">
      <c r="A117" s="19"/>
      <c r="C117" s="28"/>
      <c r="H117" s="8"/>
    </row>
    <row r="118" spans="1:8" ht="27" customHeight="1" x14ac:dyDescent="0.75">
      <c r="A118" s="19"/>
      <c r="C118" s="28"/>
      <c r="H118" s="8"/>
    </row>
    <row r="119" spans="1:8" ht="27" customHeight="1" x14ac:dyDescent="0.75">
      <c r="A119" s="19"/>
      <c r="C119" s="28"/>
      <c r="H119" s="8"/>
    </row>
    <row r="120" spans="1:8" ht="27" customHeight="1" x14ac:dyDescent="0.75">
      <c r="A120" s="19"/>
      <c r="C120" s="28"/>
      <c r="H120" s="8"/>
    </row>
    <row r="121" spans="1:8" ht="27" customHeight="1" x14ac:dyDescent="0.75">
      <c r="A121" s="19"/>
      <c r="C121" s="28"/>
      <c r="H121" s="8"/>
    </row>
    <row r="122" spans="1:8" ht="27" customHeight="1" x14ac:dyDescent="0.75">
      <c r="A122" s="19"/>
      <c r="C122" s="28"/>
      <c r="H122" s="8"/>
    </row>
    <row r="123" spans="1:8" ht="27" customHeight="1" x14ac:dyDescent="0.75">
      <c r="A123" s="19"/>
      <c r="C123" s="28"/>
      <c r="H123" s="8"/>
    </row>
    <row r="124" spans="1:8" ht="27" customHeight="1" x14ac:dyDescent="0.75">
      <c r="A124" s="19"/>
      <c r="C124" s="28"/>
      <c r="H124" s="8"/>
    </row>
    <row r="125" spans="1:8" ht="27" customHeight="1" x14ac:dyDescent="0.75">
      <c r="A125" s="19"/>
      <c r="C125" s="28"/>
      <c r="H125" s="8"/>
    </row>
    <row r="126" spans="1:8" ht="27" customHeight="1" x14ac:dyDescent="0.75">
      <c r="A126" s="19"/>
      <c r="C126" s="28"/>
      <c r="H126" s="8"/>
    </row>
    <row r="127" spans="1:8" ht="27" customHeight="1" x14ac:dyDescent="0.75">
      <c r="A127" s="19"/>
      <c r="C127" s="28"/>
      <c r="H127" s="8"/>
    </row>
    <row r="128" spans="1:8" ht="27" customHeight="1" x14ac:dyDescent="0.75">
      <c r="A128" s="19"/>
      <c r="C128" s="28"/>
      <c r="H128" s="8"/>
    </row>
    <row r="129" spans="1:8" ht="27" customHeight="1" x14ac:dyDescent="0.75">
      <c r="A129" s="19"/>
      <c r="C129" s="28"/>
      <c r="H129" s="8"/>
    </row>
    <row r="130" spans="1:8" ht="27" customHeight="1" x14ac:dyDescent="0.75">
      <c r="A130" s="19"/>
      <c r="C130" s="28"/>
      <c r="H130" s="8"/>
    </row>
    <row r="131" spans="1:8" ht="27" customHeight="1" x14ac:dyDescent="0.75">
      <c r="A131" s="19"/>
      <c r="C131" s="28"/>
      <c r="H131" s="8"/>
    </row>
    <row r="132" spans="1:8" ht="27" customHeight="1" x14ac:dyDescent="0.75">
      <c r="A132" s="19"/>
      <c r="C132" s="28"/>
      <c r="H132" s="8"/>
    </row>
    <row r="133" spans="1:8" ht="27" customHeight="1" x14ac:dyDescent="0.75">
      <c r="A133" s="19"/>
      <c r="C133" s="28"/>
      <c r="H133" s="8"/>
    </row>
    <row r="134" spans="1:8" ht="27" customHeight="1" x14ac:dyDescent="0.75">
      <c r="A134" s="19"/>
      <c r="C134" s="28"/>
      <c r="H134" s="8"/>
    </row>
    <row r="135" spans="1:8" ht="27" customHeight="1" x14ac:dyDescent="0.75">
      <c r="A135" s="19"/>
      <c r="C135" s="28"/>
      <c r="H135" s="8"/>
    </row>
    <row r="136" spans="1:8" ht="27" customHeight="1" x14ac:dyDescent="0.75">
      <c r="A136" s="19"/>
      <c r="C136" s="28"/>
      <c r="H136" s="8"/>
    </row>
    <row r="137" spans="1:8" ht="27" customHeight="1" x14ac:dyDescent="0.75">
      <c r="A137" s="19"/>
      <c r="C137" s="28"/>
      <c r="H137" s="8"/>
    </row>
    <row r="138" spans="1:8" ht="27" customHeight="1" x14ac:dyDescent="0.75">
      <c r="A138" s="19"/>
      <c r="C138" s="28"/>
      <c r="H138" s="8"/>
    </row>
    <row r="139" spans="1:8" ht="27" customHeight="1" x14ac:dyDescent="0.75">
      <c r="A139" s="19"/>
      <c r="C139" s="28"/>
      <c r="H139" s="8"/>
    </row>
    <row r="140" spans="1:8" ht="27" customHeight="1" x14ac:dyDescent="0.75">
      <c r="A140" s="19"/>
      <c r="C140" s="28"/>
      <c r="H140" s="8"/>
    </row>
    <row r="141" spans="1:8" ht="27" customHeight="1" x14ac:dyDescent="0.75">
      <c r="A141" s="19"/>
      <c r="C141" s="28"/>
      <c r="H141" s="8"/>
    </row>
    <row r="142" spans="1:8" ht="27" customHeight="1" x14ac:dyDescent="0.75">
      <c r="A142" s="19"/>
      <c r="C142" s="28"/>
      <c r="H142" s="8"/>
    </row>
    <row r="143" spans="1:8" ht="27" customHeight="1" x14ac:dyDescent="0.75">
      <c r="A143" s="19"/>
      <c r="C143" s="28"/>
      <c r="H143" s="8"/>
    </row>
    <row r="144" spans="1:8" ht="27" customHeight="1" x14ac:dyDescent="0.75">
      <c r="A144" s="19"/>
      <c r="C144" s="28"/>
      <c r="H144" s="8"/>
    </row>
    <row r="145" spans="1:8" ht="27" customHeight="1" x14ac:dyDescent="0.75">
      <c r="A145" s="19"/>
      <c r="C145" s="28"/>
      <c r="H145" s="8"/>
    </row>
    <row r="146" spans="1:8" ht="27" customHeight="1" x14ac:dyDescent="0.75">
      <c r="A146" s="19"/>
      <c r="C146" s="28"/>
      <c r="H146" s="8"/>
    </row>
    <row r="147" spans="1:8" ht="27" customHeight="1" x14ac:dyDescent="0.75">
      <c r="A147" s="19"/>
      <c r="C147" s="28"/>
      <c r="H147" s="8"/>
    </row>
    <row r="148" spans="1:8" ht="27" customHeight="1" x14ac:dyDescent="0.75">
      <c r="A148" s="19"/>
      <c r="C148" s="28"/>
      <c r="H148" s="8"/>
    </row>
    <row r="149" spans="1:8" ht="27" customHeight="1" x14ac:dyDescent="0.75">
      <c r="A149" s="19"/>
      <c r="C149" s="28"/>
      <c r="H149" s="8"/>
    </row>
    <row r="150" spans="1:8" ht="27" customHeight="1" x14ac:dyDescent="0.75">
      <c r="A150" s="19"/>
      <c r="C150" s="28"/>
      <c r="H150" s="8"/>
    </row>
    <row r="151" spans="1:8" ht="27" customHeight="1" x14ac:dyDescent="0.75">
      <c r="A151" s="19"/>
      <c r="C151" s="28"/>
      <c r="H151" s="8"/>
    </row>
    <row r="152" spans="1:8" ht="27" customHeight="1" x14ac:dyDescent="0.75">
      <c r="A152" s="19"/>
      <c r="C152" s="28"/>
      <c r="H152" s="8"/>
    </row>
    <row r="153" spans="1:8" ht="27" customHeight="1" x14ac:dyDescent="0.75">
      <c r="A153" s="19"/>
      <c r="C153" s="28"/>
      <c r="H153" s="8"/>
    </row>
    <row r="154" spans="1:8" ht="27" customHeight="1" x14ac:dyDescent="0.75">
      <c r="A154" s="19"/>
      <c r="C154" s="28"/>
      <c r="H154" s="8"/>
    </row>
    <row r="155" spans="1:8" ht="27" customHeight="1" x14ac:dyDescent="0.75">
      <c r="A155" s="19"/>
      <c r="C155" s="28"/>
      <c r="H155" s="8"/>
    </row>
    <row r="156" spans="1:8" ht="27" customHeight="1" x14ac:dyDescent="0.75">
      <c r="A156" s="19"/>
      <c r="C156" s="28"/>
      <c r="H156" s="8"/>
    </row>
    <row r="157" spans="1:8" ht="27" customHeight="1" x14ac:dyDescent="0.75">
      <c r="A157" s="19"/>
      <c r="C157" s="28"/>
      <c r="H157" s="8"/>
    </row>
    <row r="158" spans="1:8" ht="27" customHeight="1" x14ac:dyDescent="0.75">
      <c r="A158" s="19"/>
      <c r="C158" s="28"/>
      <c r="H158" s="8"/>
    </row>
    <row r="159" spans="1:8" ht="27" customHeight="1" x14ac:dyDescent="0.75">
      <c r="A159" s="19"/>
      <c r="C159" s="28"/>
      <c r="H159" s="8"/>
    </row>
    <row r="160" spans="1:8" ht="27" customHeight="1" x14ac:dyDescent="0.75">
      <c r="A160" s="19"/>
      <c r="C160" s="28"/>
      <c r="H160" s="8"/>
    </row>
    <row r="161" spans="1:8" ht="27" customHeight="1" x14ac:dyDescent="0.75">
      <c r="A161" s="19"/>
      <c r="C161" s="28"/>
      <c r="H161" s="8"/>
    </row>
    <row r="162" spans="1:8" ht="27" customHeight="1" x14ac:dyDescent="0.75">
      <c r="A162" s="19"/>
      <c r="C162" s="28"/>
      <c r="H162" s="8"/>
    </row>
    <row r="163" spans="1:8" ht="27" customHeight="1" x14ac:dyDescent="0.75">
      <c r="A163" s="19"/>
      <c r="C163" s="28"/>
      <c r="H163" s="8"/>
    </row>
    <row r="164" spans="1:8" ht="27" customHeight="1" x14ac:dyDescent="0.75">
      <c r="A164" s="19"/>
      <c r="C164" s="28"/>
      <c r="H164" s="8"/>
    </row>
    <row r="165" spans="1:8" ht="27" customHeight="1" x14ac:dyDescent="0.75">
      <c r="A165" s="19"/>
      <c r="C165" s="28"/>
      <c r="H165" s="8"/>
    </row>
    <row r="166" spans="1:8" ht="27" customHeight="1" x14ac:dyDescent="0.75">
      <c r="A166" s="19"/>
      <c r="C166" s="28"/>
      <c r="H166" s="8"/>
    </row>
    <row r="167" spans="1:8" ht="27" customHeight="1" x14ac:dyDescent="0.75">
      <c r="A167" s="19"/>
      <c r="C167" s="28"/>
      <c r="H167" s="8"/>
    </row>
    <row r="168" spans="1:8" ht="27" customHeight="1" x14ac:dyDescent="0.75">
      <c r="A168" s="19"/>
      <c r="C168" s="28"/>
      <c r="H168" s="8"/>
    </row>
    <row r="169" spans="1:8" ht="27" customHeight="1" x14ac:dyDescent="0.75">
      <c r="A169" s="19"/>
      <c r="C169" s="28"/>
      <c r="H169" s="8"/>
    </row>
    <row r="170" spans="1:8" ht="27" customHeight="1" x14ac:dyDescent="0.75">
      <c r="A170" s="19"/>
      <c r="C170" s="28"/>
      <c r="H170" s="8"/>
    </row>
    <row r="171" spans="1:8" ht="27" customHeight="1" x14ac:dyDescent="0.75">
      <c r="A171" s="19"/>
      <c r="C171" s="28"/>
      <c r="H171" s="8"/>
    </row>
    <row r="172" spans="1:8" ht="27" customHeight="1" x14ac:dyDescent="0.75">
      <c r="A172" s="19"/>
      <c r="C172" s="28"/>
      <c r="H172" s="8"/>
    </row>
    <row r="173" spans="1:8" ht="27" customHeight="1" x14ac:dyDescent="0.75">
      <c r="A173" s="19"/>
      <c r="C173" s="28"/>
      <c r="H173" s="8"/>
    </row>
    <row r="174" spans="1:8" ht="27" customHeight="1" x14ac:dyDescent="0.75">
      <c r="A174" s="19"/>
      <c r="C174" s="28"/>
      <c r="H174" s="8"/>
    </row>
    <row r="175" spans="1:8" ht="27" customHeight="1" x14ac:dyDescent="0.75">
      <c r="A175" s="19"/>
      <c r="C175" s="28"/>
      <c r="H175" s="8"/>
    </row>
    <row r="176" spans="1:8" ht="27" customHeight="1" x14ac:dyDescent="0.75">
      <c r="A176" s="19"/>
      <c r="C176" s="28"/>
      <c r="H176" s="8"/>
    </row>
    <row r="177" spans="1:8" ht="27" customHeight="1" x14ac:dyDescent="0.75">
      <c r="A177" s="19"/>
      <c r="C177" s="28"/>
      <c r="H177" s="8"/>
    </row>
    <row r="178" spans="1:8" ht="27" customHeight="1" x14ac:dyDescent="0.75">
      <c r="A178" s="19"/>
      <c r="C178" s="28"/>
      <c r="H178" s="8"/>
    </row>
    <row r="179" spans="1:8" ht="27" customHeight="1" x14ac:dyDescent="0.75">
      <c r="A179" s="19"/>
      <c r="C179" s="28"/>
      <c r="H179" s="8"/>
    </row>
    <row r="180" spans="1:8" ht="27" customHeight="1" x14ac:dyDescent="0.75">
      <c r="A180" s="19"/>
      <c r="C180" s="28"/>
      <c r="H180" s="8"/>
    </row>
    <row r="181" spans="1:8" ht="27" customHeight="1" x14ac:dyDescent="0.75">
      <c r="A181" s="19"/>
      <c r="C181" s="28"/>
      <c r="H181" s="8"/>
    </row>
    <row r="182" spans="1:8" ht="27" customHeight="1" x14ac:dyDescent="0.75">
      <c r="A182" s="19"/>
      <c r="C182" s="28"/>
      <c r="H182" s="8"/>
    </row>
    <row r="183" spans="1:8" ht="27" customHeight="1" x14ac:dyDescent="0.75">
      <c r="A183" s="19"/>
      <c r="C183" s="28"/>
      <c r="H183" s="8"/>
    </row>
    <row r="184" spans="1:8" ht="27" customHeight="1" x14ac:dyDescent="0.75">
      <c r="A184" s="19"/>
      <c r="C184" s="28"/>
      <c r="H184" s="8"/>
    </row>
    <row r="185" spans="1:8" ht="27" customHeight="1" x14ac:dyDescent="0.75">
      <c r="A185" s="19"/>
      <c r="C185" s="28"/>
      <c r="H185" s="8"/>
    </row>
    <row r="186" spans="1:8" ht="27" customHeight="1" x14ac:dyDescent="0.75">
      <c r="A186" s="19"/>
      <c r="C186" s="28"/>
      <c r="H186" s="8"/>
    </row>
    <row r="187" spans="1:8" ht="27" customHeight="1" x14ac:dyDescent="0.75">
      <c r="A187" s="19"/>
      <c r="C187" s="28"/>
      <c r="H187" s="8"/>
    </row>
    <row r="188" spans="1:8" ht="27" customHeight="1" x14ac:dyDescent="0.75">
      <c r="A188" s="19"/>
      <c r="C188" s="28"/>
      <c r="H188" s="8"/>
    </row>
    <row r="189" spans="1:8" ht="27" customHeight="1" x14ac:dyDescent="0.75">
      <c r="A189" s="19"/>
      <c r="C189" s="28"/>
      <c r="H189" s="8"/>
    </row>
    <row r="190" spans="1:8" ht="27" customHeight="1" x14ac:dyDescent="0.75">
      <c r="A190" s="19"/>
      <c r="C190" s="28"/>
      <c r="H190" s="8"/>
    </row>
    <row r="191" spans="1:8" ht="27" customHeight="1" x14ac:dyDescent="0.75">
      <c r="A191" s="19"/>
      <c r="C191" s="28"/>
      <c r="H191" s="8"/>
    </row>
    <row r="192" spans="1:8" ht="27" customHeight="1" x14ac:dyDescent="0.75">
      <c r="A192" s="19"/>
      <c r="C192" s="28"/>
      <c r="H192" s="8"/>
    </row>
    <row r="193" spans="1:8" ht="27" customHeight="1" x14ac:dyDescent="0.75">
      <c r="A193" s="19"/>
      <c r="C193" s="28"/>
      <c r="H193" s="8"/>
    </row>
    <row r="194" spans="1:8" ht="27" customHeight="1" x14ac:dyDescent="0.75">
      <c r="A194" s="19"/>
      <c r="C194" s="28"/>
      <c r="H194" s="8"/>
    </row>
    <row r="195" spans="1:8" ht="27" customHeight="1" x14ac:dyDescent="0.75">
      <c r="A195" s="19"/>
      <c r="C195" s="28"/>
      <c r="H195" s="8"/>
    </row>
    <row r="196" spans="1:8" ht="27" customHeight="1" x14ac:dyDescent="0.75">
      <c r="A196" s="19"/>
      <c r="C196" s="28"/>
      <c r="H196" s="8"/>
    </row>
    <row r="197" spans="1:8" ht="27" customHeight="1" x14ac:dyDescent="0.75">
      <c r="A197" s="19"/>
      <c r="C197" s="28"/>
      <c r="H197" s="8"/>
    </row>
    <row r="198" spans="1:8" ht="27" customHeight="1" x14ac:dyDescent="0.75">
      <c r="A198" s="19"/>
      <c r="C198" s="28"/>
      <c r="H198" s="8"/>
    </row>
    <row r="199" spans="1:8" ht="27" customHeight="1" x14ac:dyDescent="0.75">
      <c r="A199" s="19"/>
      <c r="C199" s="28"/>
      <c r="H199" s="8"/>
    </row>
    <row r="200" spans="1:8" ht="27" customHeight="1" x14ac:dyDescent="0.75">
      <c r="A200" s="19"/>
      <c r="C200" s="28"/>
      <c r="H200" s="8"/>
    </row>
    <row r="201" spans="1:8" ht="27" customHeight="1" x14ac:dyDescent="0.75">
      <c r="A201" s="19"/>
      <c r="C201" s="28"/>
      <c r="H201" s="8"/>
    </row>
    <row r="202" spans="1:8" ht="27" customHeight="1" x14ac:dyDescent="0.75">
      <c r="A202" s="19"/>
      <c r="C202" s="28"/>
      <c r="H202" s="8"/>
    </row>
    <row r="203" spans="1:8" ht="27" customHeight="1" x14ac:dyDescent="0.75">
      <c r="A203" s="19"/>
      <c r="C203" s="28"/>
      <c r="H203" s="8"/>
    </row>
    <row r="204" spans="1:8" ht="27" customHeight="1" x14ac:dyDescent="0.75">
      <c r="A204" s="19"/>
      <c r="C204" s="28"/>
      <c r="H204" s="8"/>
    </row>
    <row r="205" spans="1:8" ht="27" customHeight="1" x14ac:dyDescent="0.75">
      <c r="A205" s="19"/>
      <c r="C205" s="28"/>
      <c r="H205" s="8"/>
    </row>
    <row r="206" spans="1:8" ht="27" customHeight="1" x14ac:dyDescent="0.75">
      <c r="A206" s="19"/>
      <c r="C206" s="28"/>
      <c r="H206" s="8"/>
    </row>
    <row r="207" spans="1:8" ht="27" customHeight="1" x14ac:dyDescent="0.75">
      <c r="A207" s="19"/>
      <c r="C207" s="28"/>
      <c r="H207" s="8"/>
    </row>
    <row r="208" spans="1:8" ht="27" customHeight="1" x14ac:dyDescent="0.75">
      <c r="A208" s="19"/>
      <c r="C208" s="28"/>
      <c r="H208" s="8"/>
    </row>
    <row r="209" spans="1:8" ht="27" customHeight="1" x14ac:dyDescent="0.75">
      <c r="A209" s="19"/>
      <c r="C209" s="28"/>
      <c r="H209" s="8"/>
    </row>
    <row r="210" spans="1:8" ht="27" customHeight="1" x14ac:dyDescent="0.75">
      <c r="A210" s="19"/>
      <c r="C210" s="28"/>
      <c r="H210" s="8"/>
    </row>
    <row r="211" spans="1:8" ht="27" customHeight="1" x14ac:dyDescent="0.75">
      <c r="A211" s="19"/>
      <c r="C211" s="28"/>
      <c r="H211" s="8"/>
    </row>
    <row r="212" spans="1:8" ht="27" customHeight="1" x14ac:dyDescent="0.75">
      <c r="A212" s="19"/>
      <c r="C212" s="28"/>
      <c r="H212" s="8"/>
    </row>
    <row r="213" spans="1:8" ht="27" customHeight="1" x14ac:dyDescent="0.75">
      <c r="A213" s="19"/>
      <c r="C213" s="28"/>
      <c r="H213" s="8"/>
    </row>
    <row r="214" spans="1:8" ht="27" customHeight="1" x14ac:dyDescent="0.75">
      <c r="A214" s="19"/>
      <c r="C214" s="28"/>
      <c r="H214" s="8"/>
    </row>
    <row r="215" spans="1:8" ht="27" customHeight="1" x14ac:dyDescent="0.75">
      <c r="A215" s="19"/>
      <c r="C215" s="28"/>
      <c r="H215" s="8"/>
    </row>
    <row r="216" spans="1:8" ht="27" customHeight="1" x14ac:dyDescent="0.75">
      <c r="A216" s="19"/>
      <c r="C216" s="28"/>
      <c r="H216" s="8"/>
    </row>
    <row r="217" spans="1:8" ht="27" customHeight="1" x14ac:dyDescent="0.75">
      <c r="A217" s="19"/>
      <c r="C217" s="28"/>
      <c r="H217" s="8"/>
    </row>
    <row r="218" spans="1:8" ht="27" customHeight="1" x14ac:dyDescent="0.75">
      <c r="A218" s="19"/>
      <c r="C218" s="28"/>
      <c r="H218" s="8"/>
    </row>
    <row r="219" spans="1:8" ht="27" customHeight="1" x14ac:dyDescent="0.75">
      <c r="A219" s="19"/>
      <c r="C219" s="28"/>
      <c r="H219" s="8"/>
    </row>
    <row r="220" spans="1:8" ht="27" customHeight="1" x14ac:dyDescent="0.75">
      <c r="A220" s="19"/>
      <c r="C220" s="28"/>
      <c r="H220" s="8"/>
    </row>
    <row r="221" spans="1:8" ht="27" customHeight="1" x14ac:dyDescent="0.75">
      <c r="A221" s="19"/>
      <c r="C221" s="28"/>
      <c r="H221" s="8"/>
    </row>
    <row r="222" spans="1:8" ht="27" customHeight="1" x14ac:dyDescent="0.75">
      <c r="A222" s="19"/>
      <c r="C222" s="28"/>
      <c r="H222" s="8"/>
    </row>
    <row r="223" spans="1:8" ht="27" customHeight="1" x14ac:dyDescent="0.75">
      <c r="A223" s="19"/>
      <c r="C223" s="28"/>
      <c r="H223" s="8"/>
    </row>
    <row r="224" spans="1:8" ht="27" customHeight="1" x14ac:dyDescent="0.75">
      <c r="A224" s="19"/>
      <c r="C224" s="28"/>
      <c r="H224" s="8"/>
    </row>
    <row r="225" spans="1:8" ht="27" customHeight="1" x14ac:dyDescent="0.75">
      <c r="A225" s="19"/>
      <c r="C225" s="28"/>
      <c r="H225" s="8"/>
    </row>
    <row r="226" spans="1:8" ht="27" customHeight="1" x14ac:dyDescent="0.75">
      <c r="A226" s="19"/>
      <c r="C226" s="28"/>
      <c r="H226" s="8"/>
    </row>
    <row r="227" spans="1:8" ht="27" customHeight="1" x14ac:dyDescent="0.75">
      <c r="A227" s="19"/>
      <c r="C227" s="28"/>
      <c r="H227" s="8"/>
    </row>
    <row r="228" spans="1:8" ht="27" customHeight="1" x14ac:dyDescent="0.75">
      <c r="A228" s="19"/>
      <c r="C228" s="28"/>
      <c r="H228" s="8"/>
    </row>
    <row r="229" spans="1:8" ht="27" customHeight="1" x14ac:dyDescent="0.75">
      <c r="A229" s="19"/>
      <c r="C229" s="28"/>
      <c r="H229" s="8"/>
    </row>
    <row r="230" spans="1:8" ht="27" customHeight="1" x14ac:dyDescent="0.75">
      <c r="A230" s="19"/>
      <c r="C230" s="28"/>
      <c r="H230" s="8"/>
    </row>
    <row r="231" spans="1:8" ht="27" customHeight="1" x14ac:dyDescent="0.75">
      <c r="A231" s="19"/>
      <c r="C231" s="28"/>
      <c r="H231" s="8"/>
    </row>
    <row r="232" spans="1:8" ht="27" customHeight="1" x14ac:dyDescent="0.75">
      <c r="A232" s="19"/>
      <c r="C232" s="28"/>
      <c r="H232" s="8"/>
    </row>
    <row r="233" spans="1:8" ht="27" customHeight="1" x14ac:dyDescent="0.75">
      <c r="A233" s="19"/>
      <c r="C233" s="28"/>
      <c r="H233" s="8"/>
    </row>
    <row r="234" spans="1:8" ht="27" customHeight="1" x14ac:dyDescent="0.75">
      <c r="A234" s="19"/>
      <c r="C234" s="28"/>
      <c r="H234" s="8"/>
    </row>
    <row r="235" spans="1:8" ht="27" customHeight="1" x14ac:dyDescent="0.75">
      <c r="A235" s="19"/>
      <c r="C235" s="28"/>
      <c r="H235" s="8"/>
    </row>
    <row r="236" spans="1:8" ht="27" customHeight="1" x14ac:dyDescent="0.75">
      <c r="A236" s="19"/>
      <c r="C236" s="28"/>
      <c r="H236" s="8"/>
    </row>
    <row r="237" spans="1:8" ht="27" customHeight="1" x14ac:dyDescent="0.75">
      <c r="A237" s="19"/>
      <c r="C237" s="28"/>
      <c r="H237" s="8"/>
    </row>
    <row r="238" spans="1:8" ht="27" customHeight="1" x14ac:dyDescent="0.75">
      <c r="A238" s="19"/>
      <c r="C238" s="28"/>
      <c r="H238" s="8"/>
    </row>
    <row r="239" spans="1:8" ht="27" customHeight="1" x14ac:dyDescent="0.75">
      <c r="A239" s="19"/>
      <c r="C239" s="28"/>
      <c r="H239" s="8"/>
    </row>
    <row r="240" spans="1:8" ht="27" customHeight="1" x14ac:dyDescent="0.75">
      <c r="A240" s="19"/>
      <c r="C240" s="28"/>
      <c r="H240" s="8"/>
    </row>
    <row r="241" spans="1:8" ht="27" customHeight="1" x14ac:dyDescent="0.75">
      <c r="A241" s="19"/>
      <c r="C241" s="28"/>
      <c r="H241" s="8"/>
    </row>
    <row r="242" spans="1:8" ht="27" customHeight="1" x14ac:dyDescent="0.75">
      <c r="A242" s="19"/>
      <c r="C242" s="28"/>
      <c r="H242" s="8"/>
    </row>
    <row r="243" spans="1:8" ht="27" customHeight="1" x14ac:dyDescent="0.75">
      <c r="A243" s="19"/>
      <c r="C243" s="28"/>
      <c r="H243" s="8"/>
    </row>
    <row r="244" spans="1:8" ht="27" customHeight="1" x14ac:dyDescent="0.75">
      <c r="A244" s="19"/>
      <c r="C244" s="28"/>
      <c r="H244" s="8"/>
    </row>
    <row r="245" spans="1:8" ht="27" customHeight="1" x14ac:dyDescent="0.75">
      <c r="A245" s="19"/>
      <c r="C245" s="28"/>
      <c r="H245" s="8"/>
    </row>
    <row r="246" spans="1:8" ht="27" customHeight="1" x14ac:dyDescent="0.75">
      <c r="A246" s="19"/>
      <c r="C246" s="28"/>
      <c r="H246" s="8"/>
    </row>
    <row r="247" spans="1:8" ht="27" customHeight="1" x14ac:dyDescent="0.75">
      <c r="A247" s="19"/>
      <c r="C247" s="28"/>
      <c r="H247" s="8"/>
    </row>
    <row r="248" spans="1:8" ht="27" customHeight="1" x14ac:dyDescent="0.75">
      <c r="A248" s="19"/>
      <c r="C248" s="28"/>
      <c r="H248" s="8"/>
    </row>
    <row r="249" spans="1:8" ht="27" customHeight="1" x14ac:dyDescent="0.75">
      <c r="A249" s="19"/>
      <c r="C249" s="28"/>
      <c r="H249" s="8"/>
    </row>
    <row r="250" spans="1:8" ht="27" customHeight="1" x14ac:dyDescent="0.75">
      <c r="A250" s="19"/>
      <c r="C250" s="28"/>
      <c r="H250" s="8"/>
    </row>
    <row r="251" spans="1:8" ht="27" customHeight="1" x14ac:dyDescent="0.75">
      <c r="A251" s="19"/>
      <c r="C251" s="28"/>
      <c r="H251" s="8"/>
    </row>
    <row r="252" spans="1:8" ht="27" customHeight="1" x14ac:dyDescent="0.75">
      <c r="A252" s="19"/>
      <c r="C252" s="28"/>
      <c r="H252" s="8"/>
    </row>
    <row r="253" spans="1:8" ht="27" customHeight="1" x14ac:dyDescent="0.75">
      <c r="A253" s="19"/>
      <c r="C253" s="28"/>
      <c r="H253" s="8"/>
    </row>
    <row r="254" spans="1:8" ht="27" customHeight="1" x14ac:dyDescent="0.75">
      <c r="A254" s="19"/>
      <c r="C254" s="28"/>
      <c r="H254" s="8"/>
    </row>
    <row r="255" spans="1:8" ht="27" customHeight="1" x14ac:dyDescent="0.75">
      <c r="A255" s="19"/>
      <c r="C255" s="28"/>
      <c r="H255" s="8"/>
    </row>
    <row r="256" spans="1:8" ht="27" customHeight="1" x14ac:dyDescent="0.75">
      <c r="A256" s="19"/>
      <c r="C256" s="28"/>
      <c r="H256" s="8"/>
    </row>
    <row r="257" spans="1:8" ht="27" customHeight="1" x14ac:dyDescent="0.75">
      <c r="A257" s="19"/>
      <c r="C257" s="28"/>
      <c r="H257" s="8"/>
    </row>
    <row r="258" spans="1:8" ht="27" customHeight="1" x14ac:dyDescent="0.75">
      <c r="A258" s="19"/>
      <c r="C258" s="28"/>
      <c r="H258" s="8"/>
    </row>
    <row r="259" spans="1:8" ht="27" customHeight="1" x14ac:dyDescent="0.75">
      <c r="A259" s="19"/>
      <c r="C259" s="28"/>
      <c r="H259" s="8"/>
    </row>
    <row r="260" spans="1:8" ht="27" customHeight="1" x14ac:dyDescent="0.75">
      <c r="A260" s="19"/>
      <c r="C260" s="28"/>
      <c r="H260" s="8"/>
    </row>
    <row r="261" spans="1:8" ht="27" customHeight="1" x14ac:dyDescent="0.75">
      <c r="A261" s="19"/>
      <c r="C261" s="28"/>
      <c r="H261" s="8"/>
    </row>
    <row r="262" spans="1:8" ht="27" customHeight="1" x14ac:dyDescent="0.75">
      <c r="A262" s="19"/>
      <c r="C262" s="28"/>
      <c r="H262" s="8"/>
    </row>
    <row r="263" spans="1:8" ht="27" customHeight="1" x14ac:dyDescent="0.75">
      <c r="A263" s="19"/>
      <c r="C263" s="28"/>
      <c r="H263" s="8"/>
    </row>
    <row r="264" spans="1:8" ht="27" customHeight="1" x14ac:dyDescent="0.75">
      <c r="A264" s="19"/>
      <c r="C264" s="28"/>
      <c r="H264" s="8"/>
    </row>
    <row r="265" spans="1:8" ht="27" customHeight="1" x14ac:dyDescent="0.75">
      <c r="A265" s="19"/>
      <c r="C265" s="28"/>
      <c r="H265" s="8"/>
    </row>
    <row r="266" spans="1:8" ht="27" customHeight="1" x14ac:dyDescent="0.75">
      <c r="A266" s="19"/>
      <c r="C266" s="28"/>
      <c r="H266" s="8"/>
    </row>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12" zoomScale="125" workbookViewId="0">
      <selection activeCell="C30" sqref="C30"/>
    </sheetView>
  </sheetViews>
  <sheetFormatPr defaultColWidth="14.5" defaultRowHeight="15" customHeight="1" x14ac:dyDescent="0.75"/>
  <cols>
    <col min="1" max="1" width="15" customWidth="1"/>
    <col min="2" max="2" width="63.1796875" customWidth="1"/>
    <col min="3" max="3" width="19.5" customWidth="1"/>
    <col min="4" max="4" width="28.81640625" customWidth="1"/>
    <col min="5" max="5" width="15" customWidth="1"/>
    <col min="6" max="6" width="17.81640625" customWidth="1"/>
    <col min="7" max="7" width="8.81640625" customWidth="1"/>
    <col min="8" max="8" width="36" customWidth="1"/>
  </cols>
  <sheetData>
    <row r="1" spans="1:7" ht="26.25" customHeight="1" x14ac:dyDescent="0.75">
      <c r="B1" s="1" t="s">
        <v>546</v>
      </c>
    </row>
    <row r="2" spans="1:7" ht="26.25" customHeight="1" x14ac:dyDescent="0.75">
      <c r="A2" s="295"/>
      <c r="B2" s="1" t="s">
        <v>547</v>
      </c>
    </row>
    <row r="3" spans="1:7" ht="26.25" customHeight="1" x14ac:dyDescent="0.75">
      <c r="A3" s="257"/>
      <c r="B3" s="259" t="s">
        <v>0</v>
      </c>
      <c r="C3" s="260" t="s">
        <v>1</v>
      </c>
      <c r="D3" s="127" t="s">
        <v>518</v>
      </c>
      <c r="E3" s="10"/>
      <c r="F3" s="10"/>
      <c r="G3" s="10"/>
    </row>
    <row r="4" spans="1:7" ht="26.25" customHeight="1" x14ac:dyDescent="0.75">
      <c r="A4" s="257"/>
      <c r="B4" s="259" t="s">
        <v>536</v>
      </c>
      <c r="C4" s="456" t="s">
        <v>540</v>
      </c>
      <c r="D4" s="127" t="s">
        <v>541</v>
      </c>
      <c r="E4" s="10"/>
      <c r="F4" s="10"/>
      <c r="G4" s="10"/>
    </row>
    <row r="5" spans="1:7" ht="26.25" customHeight="1" x14ac:dyDescent="0.75">
      <c r="A5" s="257"/>
      <c r="B5" s="299" t="s">
        <v>224</v>
      </c>
      <c r="C5" s="300">
        <v>233560.61958731618</v>
      </c>
      <c r="E5" s="43"/>
      <c r="F5" s="6"/>
      <c r="G5" s="17"/>
    </row>
    <row r="6" spans="1:7" ht="26.25" customHeight="1" x14ac:dyDescent="0.75">
      <c r="A6" s="297"/>
      <c r="B6" s="301" t="s">
        <v>226</v>
      </c>
      <c r="C6" s="300">
        <v>112627.02326260571</v>
      </c>
      <c r="D6" s="45" t="s">
        <v>543</v>
      </c>
      <c r="E6" s="46"/>
      <c r="F6" s="46"/>
      <c r="G6" s="47"/>
    </row>
    <row r="7" spans="1:7" ht="26.25" customHeight="1" x14ac:dyDescent="0.75">
      <c r="A7" s="297"/>
      <c r="B7" s="301" t="s">
        <v>480</v>
      </c>
      <c r="C7" s="454">
        <v>9.377855947922209E-2</v>
      </c>
      <c r="D7" s="45" t="s">
        <v>544</v>
      </c>
      <c r="E7" s="148"/>
      <c r="F7" s="148"/>
      <c r="G7" s="148"/>
    </row>
    <row r="8" spans="1:7" ht="26.25" customHeight="1" x14ac:dyDescent="0.75">
      <c r="A8" s="257"/>
      <c r="B8" s="301" t="s">
        <v>227</v>
      </c>
      <c r="C8" s="302">
        <f>C6-C5</f>
        <v>-120933.59632471047</v>
      </c>
      <c r="E8" s="48"/>
      <c r="F8" s="49"/>
      <c r="G8" s="49"/>
    </row>
    <row r="9" spans="1:7" ht="26.25" customHeight="1" x14ac:dyDescent="0.75">
      <c r="A9" s="296" t="s">
        <v>8</v>
      </c>
      <c r="B9" s="298" t="s">
        <v>516</v>
      </c>
      <c r="C9" s="298"/>
    </row>
    <row r="10" spans="1:7" ht="37.5" customHeight="1" x14ac:dyDescent="0.75">
      <c r="A10" s="245"/>
      <c r="B10" s="164" t="s">
        <v>0</v>
      </c>
      <c r="C10" s="168" t="s">
        <v>493</v>
      </c>
      <c r="E10" s="284" t="s">
        <v>520</v>
      </c>
      <c r="F10" s="284"/>
      <c r="G10" s="10"/>
    </row>
    <row r="11" spans="1:7" ht="34.5" customHeight="1" x14ac:dyDescent="0.75">
      <c r="A11" s="486" t="s">
        <v>519</v>
      </c>
      <c r="B11" s="171" t="s">
        <v>71</v>
      </c>
      <c r="C11" s="303">
        <v>3.3948189497581154E-2</v>
      </c>
      <c r="D11" s="11"/>
      <c r="E11" s="285"/>
      <c r="F11" s="287"/>
    </row>
    <row r="12" spans="1:7" ht="34.5" customHeight="1" x14ac:dyDescent="0.75">
      <c r="A12" s="487"/>
      <c r="B12" s="171" t="s">
        <v>73</v>
      </c>
      <c r="C12" s="303">
        <v>0.46746941226447436</v>
      </c>
      <c r="D12" s="11"/>
      <c r="E12" s="285"/>
      <c r="F12" s="287"/>
    </row>
    <row r="13" spans="1:7" ht="30.75" customHeight="1" x14ac:dyDescent="0.75">
      <c r="A13" s="487"/>
      <c r="B13" s="171" t="s">
        <v>74</v>
      </c>
      <c r="C13" s="303">
        <v>0</v>
      </c>
      <c r="E13" s="285"/>
      <c r="F13" s="287"/>
    </row>
    <row r="14" spans="1:7" ht="30.75" customHeight="1" x14ac:dyDescent="0.75">
      <c r="A14" s="487"/>
      <c r="B14" s="171" t="s">
        <v>75</v>
      </c>
      <c r="C14" s="303">
        <v>7.7370258910427869E-2</v>
      </c>
      <c r="E14" s="285"/>
      <c r="F14" s="287"/>
    </row>
    <row r="15" spans="1:7" ht="30.75" customHeight="1" x14ac:dyDescent="0.75">
      <c r="A15" s="487"/>
      <c r="B15" s="171" t="s">
        <v>208</v>
      </c>
      <c r="C15" s="303">
        <v>0</v>
      </c>
      <c r="E15" s="285"/>
      <c r="F15" s="287"/>
    </row>
    <row r="16" spans="1:7" ht="27" customHeight="1" x14ac:dyDescent="0.75">
      <c r="A16" s="487"/>
      <c r="B16" s="171" t="s">
        <v>163</v>
      </c>
      <c r="C16" s="303">
        <v>0</v>
      </c>
      <c r="D16" s="11"/>
      <c r="E16" s="285"/>
      <c r="F16" s="287"/>
    </row>
    <row r="17" spans="1:8" ht="26.25" customHeight="1" x14ac:dyDescent="0.75">
      <c r="A17" s="487"/>
      <c r="B17" s="171" t="s">
        <v>209</v>
      </c>
      <c r="C17" s="303">
        <v>0</v>
      </c>
      <c r="D17" s="11"/>
      <c r="E17" s="285"/>
      <c r="F17" s="287"/>
    </row>
    <row r="18" spans="1:8" ht="26.25" customHeight="1" x14ac:dyDescent="0.75">
      <c r="A18" s="487"/>
      <c r="B18" s="171" t="s">
        <v>164</v>
      </c>
      <c r="C18" s="303">
        <v>0.26177327191572408</v>
      </c>
      <c r="E18" s="285"/>
      <c r="F18" s="287"/>
    </row>
    <row r="19" spans="1:8" ht="33" customHeight="1" x14ac:dyDescent="0.75">
      <c r="A19" s="487"/>
      <c r="B19" s="171" t="s">
        <v>109</v>
      </c>
      <c r="C19" s="303">
        <v>4.8058805239994846E-2</v>
      </c>
      <c r="E19" s="285"/>
      <c r="F19" s="287"/>
    </row>
    <row r="20" spans="1:8" ht="20.25" customHeight="1" x14ac:dyDescent="0.75">
      <c r="A20" s="488"/>
      <c r="B20" s="171" t="s">
        <v>210</v>
      </c>
      <c r="C20" s="303">
        <v>0.11138006217179786</v>
      </c>
      <c r="D20" s="114"/>
      <c r="E20" s="285"/>
      <c r="F20" s="287"/>
    </row>
    <row r="21" spans="1:8" ht="20.25" customHeight="1" x14ac:dyDescent="0.75">
      <c r="A21" s="245"/>
      <c r="B21" s="288" t="s">
        <v>211</v>
      </c>
      <c r="C21" s="304">
        <v>1</v>
      </c>
      <c r="D21" s="45" t="s">
        <v>548</v>
      </c>
      <c r="E21" s="305"/>
      <c r="F21" s="287"/>
    </row>
    <row r="22" spans="1:8" ht="20.25" customHeight="1" x14ac:dyDescent="0.75">
      <c r="C22" s="127" t="s">
        <v>518</v>
      </c>
      <c r="H22" s="50"/>
    </row>
    <row r="23" spans="1:8" ht="26.25" customHeight="1" x14ac:dyDescent="0.75">
      <c r="C23" s="51"/>
      <c r="D23" s="50"/>
    </row>
    <row r="24" spans="1:8" ht="15.75" customHeight="1" x14ac:dyDescent="0.75">
      <c r="B24" s="11"/>
      <c r="D24" s="52"/>
    </row>
    <row r="25" spans="1:8" ht="15.75" customHeight="1" x14ac:dyDescent="0.75">
      <c r="B25" s="156" t="s">
        <v>521</v>
      </c>
      <c r="D25" s="52"/>
    </row>
    <row r="26" spans="1:8" ht="15.75" customHeight="1" x14ac:dyDescent="0.75">
      <c r="B26" s="340" t="s">
        <v>168</v>
      </c>
      <c r="C26" s="341" t="s">
        <v>212</v>
      </c>
      <c r="D26" s="342"/>
    </row>
    <row r="27" spans="1:8" ht="15.75" customHeight="1" x14ac:dyDescent="0.75">
      <c r="B27" s="329" t="s">
        <v>30</v>
      </c>
      <c r="C27" s="424">
        <f>C16*C5</f>
        <v>0</v>
      </c>
      <c r="D27" s="344" t="s">
        <v>320</v>
      </c>
    </row>
    <row r="28" spans="1:8" ht="14.25" customHeight="1" x14ac:dyDescent="0.75">
      <c r="B28" s="331" t="s">
        <v>32</v>
      </c>
      <c r="C28" s="425">
        <v>0</v>
      </c>
      <c r="D28" s="346" t="s">
        <v>321</v>
      </c>
    </row>
    <row r="29" spans="1:8" ht="15.75" customHeight="1" x14ac:dyDescent="0.75">
      <c r="B29" s="329" t="s">
        <v>34</v>
      </c>
      <c r="C29" s="424">
        <f>SUM(C18:C19)*C5</f>
        <v>72364.571908514859</v>
      </c>
      <c r="D29" s="344" t="s">
        <v>322</v>
      </c>
    </row>
    <row r="30" spans="1:8" ht="15.75" customHeight="1" x14ac:dyDescent="0.75">
      <c r="B30" s="329" t="s">
        <v>36</v>
      </c>
      <c r="C30" s="424">
        <f>C17*C5</f>
        <v>0</v>
      </c>
      <c r="D30" s="344" t="s">
        <v>323</v>
      </c>
    </row>
    <row r="31" spans="1:8" ht="15.75" customHeight="1" x14ac:dyDescent="0.75">
      <c r="B31" s="331" t="s">
        <v>38</v>
      </c>
      <c r="C31" s="424">
        <f>C11*C5*C21</f>
        <v>7928.9601729226742</v>
      </c>
      <c r="D31" s="348" t="s">
        <v>89</v>
      </c>
    </row>
    <row r="32" spans="1:8" ht="15.75" customHeight="1" x14ac:dyDescent="0.75">
      <c r="B32" s="331" t="s">
        <v>40</v>
      </c>
      <c r="C32" s="424">
        <f>C12*C5*C21</f>
        <v>109182.44556660917</v>
      </c>
      <c r="D32" s="348" t="s">
        <v>90</v>
      </c>
    </row>
    <row r="33" spans="2:6" ht="15.75" customHeight="1" x14ac:dyDescent="0.75">
      <c r="B33" s="331" t="s">
        <v>41</v>
      </c>
      <c r="C33" s="424">
        <f>C13*C5*C21</f>
        <v>0</v>
      </c>
      <c r="D33" s="348" t="s">
        <v>91</v>
      </c>
    </row>
    <row r="34" spans="2:6" ht="15.75" customHeight="1" x14ac:dyDescent="0.75">
      <c r="B34" s="331" t="s">
        <v>42</v>
      </c>
      <c r="C34" s="424">
        <f>C14*C5*C21</f>
        <v>18070.645608750605</v>
      </c>
      <c r="D34" s="348" t="s">
        <v>92</v>
      </c>
    </row>
    <row r="35" spans="2:6" ht="15.75" customHeight="1" x14ac:dyDescent="0.75">
      <c r="B35" s="329" t="s">
        <v>43</v>
      </c>
      <c r="C35" s="424">
        <f>C15*C5</f>
        <v>0</v>
      </c>
      <c r="D35" s="348" t="s">
        <v>93</v>
      </c>
    </row>
    <row r="36" spans="2:6" ht="15.75" customHeight="1" x14ac:dyDescent="0.75">
      <c r="B36" s="329" t="s">
        <v>45</v>
      </c>
      <c r="C36" s="426">
        <v>0</v>
      </c>
      <c r="D36" s="348" t="s">
        <v>324</v>
      </c>
    </row>
    <row r="37" spans="2:6" ht="15.75" customHeight="1" x14ac:dyDescent="0.75">
      <c r="B37" s="329" t="s">
        <v>47</v>
      </c>
      <c r="C37" s="426">
        <v>0</v>
      </c>
      <c r="D37" s="348" t="s">
        <v>324</v>
      </c>
    </row>
    <row r="38" spans="2:6" ht="15.75" customHeight="1" x14ac:dyDescent="0.75">
      <c r="B38" s="329" t="s">
        <v>48</v>
      </c>
      <c r="C38" s="424">
        <v>0</v>
      </c>
      <c r="D38" s="348" t="s">
        <v>325</v>
      </c>
    </row>
    <row r="39" spans="2:6" ht="15.75" customHeight="1" x14ac:dyDescent="0.75">
      <c r="B39" s="329" t="s">
        <v>50</v>
      </c>
      <c r="C39" s="424">
        <v>0</v>
      </c>
      <c r="D39" s="348" t="s">
        <v>326</v>
      </c>
    </row>
    <row r="40" spans="2:6" ht="15.75" customHeight="1" x14ac:dyDescent="0.75">
      <c r="B40" s="329" t="s">
        <v>52</v>
      </c>
      <c r="C40" s="424">
        <v>0</v>
      </c>
      <c r="D40" s="348" t="s">
        <v>327</v>
      </c>
    </row>
    <row r="41" spans="2:6" ht="15.75" customHeight="1" x14ac:dyDescent="0.75">
      <c r="B41" s="329" t="s">
        <v>54</v>
      </c>
      <c r="C41" s="424">
        <v>0</v>
      </c>
      <c r="D41" s="348" t="s">
        <v>325</v>
      </c>
    </row>
    <row r="42" spans="2:6" ht="15.75" customHeight="1" x14ac:dyDescent="0.75">
      <c r="B42" s="329" t="s">
        <v>328</v>
      </c>
      <c r="C42" s="424">
        <f>C7*C6</f>
        <v>10562</v>
      </c>
      <c r="D42" s="351" t="s">
        <v>545</v>
      </c>
    </row>
    <row r="43" spans="2:6" ht="15.75" customHeight="1" x14ac:dyDescent="0.75">
      <c r="B43" s="329" t="s">
        <v>57</v>
      </c>
      <c r="C43" s="424">
        <f>IF(C8-C42&gt;0,C8-C42,0)</f>
        <v>0</v>
      </c>
      <c r="D43" s="351" t="s">
        <v>329</v>
      </c>
    </row>
    <row r="44" spans="2:6" ht="15.75" customHeight="1" x14ac:dyDescent="0.75">
      <c r="B44" s="333" t="s">
        <v>59</v>
      </c>
      <c r="C44" s="424">
        <f>C20*C5 + C5*SUM(C11:C14)*(1-C21)</f>
        <v>26013.996330518905</v>
      </c>
      <c r="D44" s="352" t="s">
        <v>178</v>
      </c>
    </row>
    <row r="45" spans="2:6" ht="15.75" customHeight="1" x14ac:dyDescent="0.75">
      <c r="B45" s="329" t="s">
        <v>61</v>
      </c>
      <c r="C45" s="424">
        <f>SUM(C27:C44)</f>
        <v>244122.61958731621</v>
      </c>
      <c r="D45" s="351" t="s">
        <v>179</v>
      </c>
      <c r="F45" s="100">
        <f>C45-C5</f>
        <v>10562.000000000029</v>
      </c>
    </row>
    <row r="46" spans="2:6" ht="15.75" customHeight="1" x14ac:dyDescent="0.75">
      <c r="B46" s="329" t="s">
        <v>63</v>
      </c>
      <c r="C46" s="424">
        <f>C6</f>
        <v>112627.02326260571</v>
      </c>
      <c r="D46" s="351" t="s">
        <v>180</v>
      </c>
    </row>
    <row r="47" spans="2:6" ht="15.75" customHeight="1" x14ac:dyDescent="0.75">
      <c r="B47" s="329" t="s">
        <v>222</v>
      </c>
      <c r="C47" s="426">
        <f>MAX(0,(C45-C46))</f>
        <v>131495.5963247105</v>
      </c>
      <c r="D47" s="342"/>
    </row>
    <row r="48" spans="2:6" ht="15.75" customHeight="1" x14ac:dyDescent="0.75"/>
    <row r="49" spans="2:8" ht="15.75" customHeight="1" x14ac:dyDescent="0.75">
      <c r="B49" s="62" t="s">
        <v>223</v>
      </c>
      <c r="C49" s="22">
        <f>C47/C45</f>
        <v>0.53864568775724608</v>
      </c>
    </row>
    <row r="50" spans="2:8" ht="15.75" customHeight="1" x14ac:dyDescent="0.75">
      <c r="B50" s="62"/>
      <c r="C50" s="22"/>
    </row>
    <row r="51" spans="2:8" ht="15.75" customHeight="1" x14ac:dyDescent="0.75">
      <c r="B51" s="62"/>
      <c r="C51" s="22"/>
    </row>
    <row r="52" spans="2:8" ht="15.75" customHeight="1" x14ac:dyDescent="0.75">
      <c r="B52" s="62"/>
      <c r="C52" s="22"/>
    </row>
    <row r="53" spans="2:8" ht="15.75" customHeight="1" x14ac:dyDescent="0.75">
      <c r="B53" s="62"/>
      <c r="C53" s="22"/>
    </row>
    <row r="54" spans="2:8" ht="15.75" customHeight="1" x14ac:dyDescent="0.75">
      <c r="B54" s="144" t="s">
        <v>0</v>
      </c>
      <c r="C54" s="145" t="s">
        <v>1</v>
      </c>
      <c r="D54" s="147" t="s">
        <v>2</v>
      </c>
    </row>
    <row r="55" spans="2:8" ht="15.75" customHeight="1" x14ac:dyDescent="0.75">
      <c r="B55" s="457" t="str">
        <f>C4</f>
        <v>Park Name Here</v>
      </c>
      <c r="C55" s="316">
        <v>999998</v>
      </c>
      <c r="D55" s="186" t="s">
        <v>537</v>
      </c>
      <c r="E55" s="42" t="s">
        <v>538</v>
      </c>
    </row>
    <row r="56" spans="2:8" ht="15.75" customHeight="1" x14ac:dyDescent="0.75"/>
    <row r="57" spans="2:8" s="115" customFormat="1" ht="15.75" customHeight="1" x14ac:dyDescent="0.75">
      <c r="B57" s="138"/>
      <c r="C57" s="139"/>
      <c r="D57" s="102"/>
      <c r="E57" s="102"/>
      <c r="F57" s="102"/>
      <c r="G57" s="102"/>
    </row>
    <row r="58" spans="2:8" ht="15.75" customHeight="1" x14ac:dyDescent="0.75">
      <c r="B58" s="144" t="s">
        <v>0</v>
      </c>
      <c r="C58" s="145" t="s">
        <v>1</v>
      </c>
      <c r="D58" s="146" t="s">
        <v>2</v>
      </c>
      <c r="E58" s="146" t="s">
        <v>3</v>
      </c>
      <c r="F58" s="146" t="s">
        <v>4</v>
      </c>
      <c r="G58" s="147" t="s">
        <v>5</v>
      </c>
    </row>
    <row r="59" spans="2:8" ht="15.75" customHeight="1" x14ac:dyDescent="0.75">
      <c r="B59" s="315" t="s">
        <v>226</v>
      </c>
      <c r="C59" s="316">
        <f>C6</f>
        <v>112627.02326260571</v>
      </c>
      <c r="D59" s="185" t="s">
        <v>479</v>
      </c>
      <c r="E59" s="317">
        <v>0</v>
      </c>
      <c r="F59" s="185">
        <v>100000000</v>
      </c>
      <c r="G59" s="186">
        <v>1</v>
      </c>
    </row>
    <row r="60" spans="2:8" ht="15.75" customHeight="1" x14ac:dyDescent="0.75">
      <c r="B60" s="315" t="s">
        <v>224</v>
      </c>
      <c r="C60" s="316">
        <f>C5</f>
        <v>233560.61958731618</v>
      </c>
      <c r="D60" s="185" t="s">
        <v>225</v>
      </c>
      <c r="E60" s="317">
        <v>0</v>
      </c>
      <c r="F60" s="185">
        <v>100000000</v>
      </c>
      <c r="G60" s="186">
        <v>1</v>
      </c>
      <c r="H60" s="45"/>
    </row>
    <row r="61" spans="2:8" ht="15.75" customHeight="1" x14ac:dyDescent="0.75">
      <c r="B61" s="140" t="s">
        <v>227</v>
      </c>
      <c r="C61" s="141">
        <f>C59-C60</f>
        <v>-120933.59632471047</v>
      </c>
      <c r="D61" s="142"/>
      <c r="E61" s="143"/>
      <c r="F61" s="142"/>
      <c r="G61" s="142">
        <v>1</v>
      </c>
    </row>
    <row r="62" spans="2:8" ht="26.25" customHeight="1" x14ac:dyDescent="0.75">
      <c r="B62" s="15"/>
      <c r="C62" s="15"/>
    </row>
    <row r="63" spans="2:8" ht="26.25" customHeight="1" x14ac:dyDescent="0.75">
      <c r="B63" s="33" t="s">
        <v>0</v>
      </c>
      <c r="C63" s="34" t="s">
        <v>1</v>
      </c>
      <c r="D63" s="35" t="s">
        <v>2</v>
      </c>
      <c r="E63" s="35" t="s">
        <v>3</v>
      </c>
      <c r="F63" s="35" t="s">
        <v>4</v>
      </c>
      <c r="G63" s="35" t="s">
        <v>5</v>
      </c>
    </row>
    <row r="64" spans="2:8" ht="26.25" customHeight="1" x14ac:dyDescent="0.75">
      <c r="B64" s="198" t="s">
        <v>71</v>
      </c>
      <c r="C64" s="318">
        <f t="shared" ref="C64:C69" si="0">C11*100</f>
        <v>3.3948189497581152</v>
      </c>
      <c r="D64" s="181" t="s">
        <v>366</v>
      </c>
      <c r="E64" s="181">
        <v>0</v>
      </c>
      <c r="F64" s="181">
        <v>10000000</v>
      </c>
      <c r="G64" s="181">
        <v>1</v>
      </c>
      <c r="H64" s="11"/>
    </row>
    <row r="65" spans="2:8" ht="26.25" customHeight="1" x14ac:dyDescent="0.75">
      <c r="B65" s="198" t="s">
        <v>73</v>
      </c>
      <c r="C65" s="318">
        <f t="shared" si="0"/>
        <v>46.746941226447433</v>
      </c>
      <c r="D65" s="181" t="s">
        <v>367</v>
      </c>
      <c r="E65" s="181">
        <v>0</v>
      </c>
      <c r="F65" s="181">
        <v>10000000</v>
      </c>
      <c r="G65" s="181">
        <v>1</v>
      </c>
      <c r="H65" s="11"/>
    </row>
    <row r="66" spans="2:8" ht="26.25" customHeight="1" x14ac:dyDescent="0.75">
      <c r="B66" s="198" t="s">
        <v>74</v>
      </c>
      <c r="C66" s="318">
        <f t="shared" si="0"/>
        <v>0</v>
      </c>
      <c r="D66" s="181" t="s">
        <v>368</v>
      </c>
      <c r="E66" s="181">
        <v>0</v>
      </c>
      <c r="F66" s="181">
        <v>10000000</v>
      </c>
      <c r="G66" s="181">
        <v>1</v>
      </c>
      <c r="H66" s="11"/>
    </row>
    <row r="67" spans="2:8" ht="26.25" customHeight="1" x14ac:dyDescent="0.75">
      <c r="B67" s="198" t="s">
        <v>75</v>
      </c>
      <c r="C67" s="318">
        <f t="shared" si="0"/>
        <v>7.7370258910427872</v>
      </c>
      <c r="D67" s="181" t="s">
        <v>369</v>
      </c>
      <c r="E67" s="181">
        <v>0</v>
      </c>
      <c r="F67" s="181">
        <v>10000000</v>
      </c>
      <c r="G67" s="181">
        <v>1</v>
      </c>
      <c r="H67" s="11"/>
    </row>
    <row r="68" spans="2:8" ht="26.25" customHeight="1" x14ac:dyDescent="0.75">
      <c r="B68" s="313" t="s">
        <v>208</v>
      </c>
      <c r="C68" s="318">
        <f t="shared" si="0"/>
        <v>0</v>
      </c>
      <c r="D68" s="181" t="s">
        <v>228</v>
      </c>
      <c r="E68" s="181">
        <v>0</v>
      </c>
      <c r="F68" s="181">
        <v>10000000</v>
      </c>
      <c r="G68" s="181">
        <v>1</v>
      </c>
    </row>
    <row r="69" spans="2:8" ht="26.25" customHeight="1" x14ac:dyDescent="0.75">
      <c r="B69" s="313" t="s">
        <v>163</v>
      </c>
      <c r="C69" s="318">
        <f t="shared" si="0"/>
        <v>0</v>
      </c>
      <c r="D69" s="181" t="s">
        <v>229</v>
      </c>
      <c r="E69" s="181">
        <v>0</v>
      </c>
      <c r="F69" s="181">
        <v>10000000</v>
      </c>
      <c r="G69" s="181">
        <v>1</v>
      </c>
      <c r="H69" s="11"/>
    </row>
    <row r="70" spans="2:8" ht="26.25" customHeight="1" x14ac:dyDescent="0.75">
      <c r="B70" s="198" t="s">
        <v>496</v>
      </c>
      <c r="C70" s="319">
        <v>0</v>
      </c>
      <c r="D70" s="181" t="s">
        <v>370</v>
      </c>
      <c r="E70" s="181">
        <v>0</v>
      </c>
      <c r="F70" s="181">
        <v>10000000</v>
      </c>
      <c r="G70" s="181">
        <v>1</v>
      </c>
      <c r="H70" s="11"/>
    </row>
    <row r="71" spans="2:8" ht="26.25" customHeight="1" x14ac:dyDescent="0.75">
      <c r="B71" s="313" t="s">
        <v>209</v>
      </c>
      <c r="C71" s="318">
        <f>C17*100</f>
        <v>0</v>
      </c>
      <c r="D71" s="181" t="s">
        <v>230</v>
      </c>
      <c r="E71" s="181">
        <v>0</v>
      </c>
      <c r="F71" s="181">
        <v>10000000</v>
      </c>
      <c r="G71" s="181">
        <v>1</v>
      </c>
      <c r="H71" s="11"/>
    </row>
    <row r="72" spans="2:8" ht="26.25" customHeight="1" x14ac:dyDescent="0.75">
      <c r="B72" s="313" t="s">
        <v>164</v>
      </c>
      <c r="C72" s="318">
        <f>C18*100</f>
        <v>26.17732719157241</v>
      </c>
      <c r="D72" s="181" t="s">
        <v>231</v>
      </c>
      <c r="E72" s="181">
        <v>0</v>
      </c>
      <c r="F72" s="181">
        <v>10000000</v>
      </c>
      <c r="G72" s="181">
        <v>1</v>
      </c>
    </row>
    <row r="73" spans="2:8" ht="26.25" customHeight="1" x14ac:dyDescent="0.75">
      <c r="B73" s="313" t="s">
        <v>109</v>
      </c>
      <c r="C73" s="318">
        <f>C19*100</f>
        <v>4.8058805239994848</v>
      </c>
      <c r="D73" s="181" t="s">
        <v>232</v>
      </c>
      <c r="E73" s="181">
        <v>0</v>
      </c>
      <c r="F73" s="181">
        <v>10000000</v>
      </c>
      <c r="G73" s="181">
        <v>1</v>
      </c>
    </row>
    <row r="74" spans="2:8" ht="26.25" customHeight="1" x14ac:dyDescent="0.75">
      <c r="B74" s="313" t="s">
        <v>527</v>
      </c>
      <c r="C74" s="320">
        <f>C42</f>
        <v>10562</v>
      </c>
      <c r="D74" s="181" t="s">
        <v>379</v>
      </c>
      <c r="E74" s="181">
        <v>0</v>
      </c>
      <c r="F74" s="181">
        <v>10000000</v>
      </c>
      <c r="G74" s="181">
        <v>1</v>
      </c>
      <c r="H74" s="45"/>
    </row>
    <row r="75" spans="2:8" ht="26.25" customHeight="1" x14ac:dyDescent="0.75">
      <c r="B75" s="313" t="s">
        <v>210</v>
      </c>
      <c r="C75" s="318">
        <f>C20*100</f>
        <v>11.138006217179786</v>
      </c>
      <c r="D75" s="181" t="s">
        <v>233</v>
      </c>
      <c r="E75" s="181">
        <v>0</v>
      </c>
      <c r="F75" s="181">
        <v>10000000</v>
      </c>
      <c r="G75" s="181">
        <v>1</v>
      </c>
    </row>
    <row r="76" spans="2:8" ht="26.25" customHeight="1" x14ac:dyDescent="0.75">
      <c r="B76" s="321" t="s">
        <v>382</v>
      </c>
      <c r="C76" s="322">
        <f>C21*100</f>
        <v>100</v>
      </c>
      <c r="D76" s="323" t="s">
        <v>234</v>
      </c>
      <c r="E76" s="323">
        <v>0</v>
      </c>
      <c r="F76" s="323">
        <v>10000000</v>
      </c>
      <c r="G76" s="323">
        <v>1</v>
      </c>
      <c r="H76" s="45"/>
    </row>
    <row r="77" spans="2:8" ht="26.25" customHeight="1" x14ac:dyDescent="0.75">
      <c r="C77" s="100"/>
    </row>
    <row r="78" spans="2:8" ht="26.25" customHeight="1" x14ac:dyDescent="0.75">
      <c r="C78" s="100">
        <f>SUM(C64:C73)+C75</f>
        <v>100.00000000000003</v>
      </c>
      <c r="D78" s="100"/>
    </row>
    <row r="79" spans="2:8" ht="26.25" customHeight="1" x14ac:dyDescent="0.75"/>
    <row r="80" spans="2:8"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26.25" customHeight="1" x14ac:dyDescent="0.75"/>
    <row r="276" ht="26.2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abSelected="1" topLeftCell="B4" zoomScale="122" workbookViewId="0">
      <selection activeCell="C18" sqref="C18"/>
    </sheetView>
  </sheetViews>
  <sheetFormatPr defaultColWidth="14.5" defaultRowHeight="15" customHeight="1" x14ac:dyDescent="0.75"/>
  <cols>
    <col min="1" max="1" width="9.81640625" customWidth="1"/>
    <col min="2" max="2" width="72.31640625" customWidth="1"/>
    <col min="3" max="3" width="23.5" customWidth="1"/>
    <col min="4" max="4" width="28.81640625" customWidth="1"/>
    <col min="5" max="5" width="12" customWidth="1"/>
    <col min="6" max="6" width="14.1796875" customWidth="1"/>
    <col min="7" max="7" width="8.81640625" customWidth="1"/>
    <col min="8" max="8" width="36" customWidth="1"/>
  </cols>
  <sheetData>
    <row r="1" spans="1:7" ht="26.25" customHeight="1" x14ac:dyDescent="0.75">
      <c r="B1" s="1" t="s">
        <v>205</v>
      </c>
    </row>
    <row r="2" spans="1:7" ht="26.25" customHeight="1" x14ac:dyDescent="0.75">
      <c r="A2" s="5"/>
      <c r="B2" s="1" t="s">
        <v>206</v>
      </c>
    </row>
    <row r="3" spans="1:7" ht="26.25" customHeight="1" x14ac:dyDescent="0.75">
      <c r="B3" s="164" t="s">
        <v>0</v>
      </c>
      <c r="C3" s="168" t="s">
        <v>1</v>
      </c>
      <c r="E3" s="10"/>
      <c r="F3" s="10"/>
      <c r="G3" s="10"/>
    </row>
    <row r="4" spans="1:7" ht="26.25" customHeight="1" x14ac:dyDescent="0.75">
      <c r="A4" s="163"/>
      <c r="B4" s="282" t="s">
        <v>207</v>
      </c>
      <c r="C4" s="283">
        <f>NatParkPA!C42</f>
        <v>10562</v>
      </c>
      <c r="D4" s="127" t="s">
        <v>515</v>
      </c>
      <c r="E4" s="43"/>
      <c r="F4" s="6"/>
      <c r="G4" s="17"/>
    </row>
    <row r="5" spans="1:7" ht="26.25" customHeight="1" x14ac:dyDescent="0.75">
      <c r="A5" s="5"/>
      <c r="B5" s="44"/>
      <c r="C5" s="41"/>
      <c r="D5" s="45"/>
      <c r="E5" s="46"/>
      <c r="F5" s="46"/>
      <c r="G5" s="47"/>
    </row>
    <row r="6" spans="1:7" ht="26.25" customHeight="1" x14ac:dyDescent="0.75">
      <c r="B6" s="44"/>
      <c r="C6" s="41"/>
      <c r="E6" s="48"/>
      <c r="F6" s="49"/>
      <c r="G6" s="49"/>
    </row>
    <row r="7" spans="1:7" ht="34" customHeight="1" x14ac:dyDescent="0.75">
      <c r="A7" s="5" t="s">
        <v>8</v>
      </c>
      <c r="B7" s="15" t="s">
        <v>516</v>
      </c>
      <c r="C7" s="294" t="s">
        <v>517</v>
      </c>
    </row>
    <row r="8" spans="1:7" ht="37.5" customHeight="1" x14ac:dyDescent="0.75">
      <c r="A8" s="245"/>
      <c r="B8" s="164" t="s">
        <v>0</v>
      </c>
      <c r="C8" s="168" t="s">
        <v>1</v>
      </c>
      <c r="D8" s="163"/>
      <c r="E8" s="10"/>
      <c r="F8" s="284" t="s">
        <v>512</v>
      </c>
      <c r="G8" s="284"/>
    </row>
    <row r="9" spans="1:7" ht="34.5" customHeight="1" x14ac:dyDescent="0.75">
      <c r="A9" s="486" t="s">
        <v>513</v>
      </c>
      <c r="B9" s="171" t="s">
        <v>483</v>
      </c>
      <c r="C9" s="211">
        <v>0</v>
      </c>
      <c r="D9" s="11"/>
      <c r="F9" s="285">
        <v>62254.150565008706</v>
      </c>
      <c r="G9" s="286">
        <f>F9/SUM($F$9:$F$17)</f>
        <v>7.3913043478260859E-2</v>
      </c>
    </row>
    <row r="10" spans="1:7" ht="34.5" customHeight="1" x14ac:dyDescent="0.75">
      <c r="A10" s="487"/>
      <c r="B10" s="171" t="s">
        <v>484</v>
      </c>
      <c r="C10" s="211">
        <v>0.11</v>
      </c>
      <c r="D10" s="489"/>
      <c r="F10" s="285">
        <v>29296.070854121743</v>
      </c>
      <c r="G10" s="286">
        <f t="shared" ref="G10:G18" si="0">F10/SUM($F$9:$F$17)</f>
        <v>3.4782608695652167E-2</v>
      </c>
    </row>
    <row r="11" spans="1:7" ht="30.75" customHeight="1" x14ac:dyDescent="0.75">
      <c r="A11" s="487"/>
      <c r="B11" s="171" t="s">
        <v>485</v>
      </c>
      <c r="C11" s="211">
        <v>0</v>
      </c>
      <c r="D11" s="490"/>
      <c r="F11" s="285">
        <v>274650.66425739136</v>
      </c>
      <c r="G11" s="286">
        <f t="shared" si="0"/>
        <v>0.32608695652173914</v>
      </c>
    </row>
    <row r="12" spans="1:7" ht="30.75" customHeight="1" x14ac:dyDescent="0.75">
      <c r="A12" s="487"/>
      <c r="B12" s="171" t="s">
        <v>486</v>
      </c>
      <c r="C12" s="211">
        <v>0.01</v>
      </c>
      <c r="D12" s="490"/>
      <c r="F12" s="285">
        <v>0</v>
      </c>
      <c r="G12" s="286">
        <f t="shared" si="0"/>
        <v>0</v>
      </c>
    </row>
    <row r="13" spans="1:7" ht="30.75" customHeight="1" x14ac:dyDescent="0.75">
      <c r="A13" s="487"/>
      <c r="B13" s="171" t="s">
        <v>487</v>
      </c>
      <c r="C13" s="211">
        <v>0</v>
      </c>
      <c r="D13" s="490"/>
      <c r="F13" s="285">
        <v>0</v>
      </c>
      <c r="G13" s="286">
        <f t="shared" si="0"/>
        <v>0</v>
      </c>
    </row>
    <row r="14" spans="1:7" ht="27" customHeight="1" x14ac:dyDescent="0.75">
      <c r="A14" s="487"/>
      <c r="B14" s="171" t="s">
        <v>488</v>
      </c>
      <c r="C14" s="211">
        <v>0</v>
      </c>
      <c r="D14" s="11"/>
      <c r="F14" s="285">
        <v>91550.221419130437</v>
      </c>
      <c r="G14" s="286">
        <f t="shared" si="0"/>
        <v>0.10869565217391303</v>
      </c>
    </row>
    <row r="15" spans="1:7" ht="26.25" customHeight="1" x14ac:dyDescent="0.75">
      <c r="A15" s="487"/>
      <c r="B15" s="171" t="s">
        <v>489</v>
      </c>
      <c r="C15" s="211">
        <v>0</v>
      </c>
      <c r="D15" s="489"/>
      <c r="F15" s="285">
        <v>0</v>
      </c>
      <c r="G15" s="286">
        <f t="shared" si="0"/>
        <v>0</v>
      </c>
    </row>
    <row r="16" spans="1:7" ht="26.25" customHeight="1" x14ac:dyDescent="0.75">
      <c r="A16" s="487"/>
      <c r="B16" s="171" t="s">
        <v>490</v>
      </c>
      <c r="C16" s="211">
        <v>0</v>
      </c>
      <c r="D16" s="490"/>
      <c r="F16" s="285">
        <v>36620.088567652172</v>
      </c>
      <c r="G16" s="286">
        <f t="shared" si="0"/>
        <v>4.3478260869565202E-2</v>
      </c>
    </row>
    <row r="17" spans="1:8" ht="33" customHeight="1" x14ac:dyDescent="0.75">
      <c r="A17" s="487"/>
      <c r="B17" s="171" t="s">
        <v>491</v>
      </c>
      <c r="C17" s="211">
        <v>0.05</v>
      </c>
      <c r="D17" s="490"/>
      <c r="F17" s="285">
        <v>347890.84139269573</v>
      </c>
      <c r="G17" s="286">
        <f t="shared" si="0"/>
        <v>0.41304347826086957</v>
      </c>
    </row>
    <row r="18" spans="1:8" ht="20.25" customHeight="1" x14ac:dyDescent="0.75">
      <c r="A18" s="488"/>
      <c r="B18" s="171" t="s">
        <v>492</v>
      </c>
      <c r="C18" s="211">
        <v>0.83</v>
      </c>
      <c r="D18" s="490"/>
      <c r="F18" s="285">
        <v>0</v>
      </c>
      <c r="G18" s="286">
        <f t="shared" si="0"/>
        <v>0</v>
      </c>
    </row>
    <row r="19" spans="1:8" ht="20.25" customHeight="1" x14ac:dyDescent="0.75">
      <c r="A19" s="245"/>
      <c r="B19" s="288" t="s">
        <v>211</v>
      </c>
      <c r="C19" s="289">
        <v>1</v>
      </c>
      <c r="D19" s="45"/>
    </row>
    <row r="20" spans="1:8" ht="20.25" customHeight="1" x14ac:dyDescent="0.75">
      <c r="C20" s="127" t="s">
        <v>518</v>
      </c>
      <c r="H20" s="50"/>
    </row>
    <row r="21" spans="1:8" ht="26.25" customHeight="1" x14ac:dyDescent="0.75">
      <c r="B21" s="293" t="s">
        <v>514</v>
      </c>
      <c r="C21" s="290">
        <f>SUM(C9:C18)</f>
        <v>1</v>
      </c>
      <c r="D21" s="50"/>
    </row>
    <row r="22" spans="1:8" ht="15.75" customHeight="1" x14ac:dyDescent="0.75">
      <c r="B22" s="11"/>
      <c r="D22" s="52"/>
    </row>
    <row r="23" spans="1:8" ht="15.75" customHeight="1" x14ac:dyDescent="0.75">
      <c r="B23" s="156" t="s">
        <v>521</v>
      </c>
      <c r="D23" s="52"/>
    </row>
    <row r="24" spans="1:8" ht="15.75" customHeight="1" x14ac:dyDescent="0.75">
      <c r="B24" s="340" t="s">
        <v>168</v>
      </c>
      <c r="C24" s="341" t="s">
        <v>212</v>
      </c>
      <c r="D24" s="342"/>
    </row>
    <row r="25" spans="1:8" ht="15.75" customHeight="1" x14ac:dyDescent="0.75">
      <c r="B25" s="329" t="s">
        <v>30</v>
      </c>
      <c r="C25" s="343">
        <f>C14*C4</f>
        <v>0</v>
      </c>
      <c r="D25" s="344" t="s">
        <v>213</v>
      </c>
    </row>
    <row r="26" spans="1:8" ht="14.25" customHeight="1" x14ac:dyDescent="0.75">
      <c r="B26" s="331" t="s">
        <v>32</v>
      </c>
      <c r="C26" s="345">
        <v>0</v>
      </c>
      <c r="D26" s="346" t="s">
        <v>214</v>
      </c>
    </row>
    <row r="27" spans="1:8" ht="15.75" customHeight="1" x14ac:dyDescent="0.75">
      <c r="B27" s="329" t="s">
        <v>34</v>
      </c>
      <c r="C27" s="343">
        <f>SUM(C16:C17)*C4</f>
        <v>528.1</v>
      </c>
      <c r="D27" s="344" t="s">
        <v>215</v>
      </c>
    </row>
    <row r="28" spans="1:8" ht="15.75" customHeight="1" x14ac:dyDescent="0.75">
      <c r="B28" s="329" t="s">
        <v>36</v>
      </c>
      <c r="C28" s="343">
        <f>C15*C4</f>
        <v>0</v>
      </c>
      <c r="D28" s="344" t="s">
        <v>216</v>
      </c>
    </row>
    <row r="29" spans="1:8" ht="15.75" customHeight="1" x14ac:dyDescent="0.75">
      <c r="B29" s="331" t="s">
        <v>38</v>
      </c>
      <c r="C29" s="347">
        <f>C9*C4</f>
        <v>0</v>
      </c>
      <c r="D29" s="348" t="s">
        <v>89</v>
      </c>
    </row>
    <row r="30" spans="1:8" ht="15.75" customHeight="1" x14ac:dyDescent="0.75">
      <c r="B30" s="331" t="s">
        <v>40</v>
      </c>
      <c r="C30" s="347">
        <f>C10*C4</f>
        <v>1161.82</v>
      </c>
      <c r="D30" s="348" t="s">
        <v>90</v>
      </c>
    </row>
    <row r="31" spans="1:8" ht="15.75" customHeight="1" x14ac:dyDescent="0.75">
      <c r="B31" s="331" t="s">
        <v>41</v>
      </c>
      <c r="C31" s="347">
        <f>C11*C4</f>
        <v>0</v>
      </c>
      <c r="D31" s="348" t="s">
        <v>91</v>
      </c>
    </row>
    <row r="32" spans="1:8" ht="15.75" customHeight="1" x14ac:dyDescent="0.75">
      <c r="B32" s="331" t="s">
        <v>42</v>
      </c>
      <c r="C32" s="347">
        <f>C12*C4</f>
        <v>105.62</v>
      </c>
      <c r="D32" s="348" t="s">
        <v>92</v>
      </c>
    </row>
    <row r="33" spans="2:5" ht="15.75" customHeight="1" x14ac:dyDescent="0.75">
      <c r="B33" s="329" t="s">
        <v>43</v>
      </c>
      <c r="C33" s="343">
        <f>C13*C4</f>
        <v>0</v>
      </c>
      <c r="D33" s="348" t="s">
        <v>93</v>
      </c>
    </row>
    <row r="34" spans="2:5" ht="15.75" customHeight="1" x14ac:dyDescent="0.75">
      <c r="B34" s="329" t="s">
        <v>45</v>
      </c>
      <c r="C34" s="349">
        <v>0</v>
      </c>
      <c r="D34" s="348" t="s">
        <v>217</v>
      </c>
    </row>
    <row r="35" spans="2:5" ht="15.75" customHeight="1" x14ac:dyDescent="0.75">
      <c r="B35" s="329" t="s">
        <v>47</v>
      </c>
      <c r="C35" s="349">
        <v>0</v>
      </c>
      <c r="D35" s="348" t="s">
        <v>217</v>
      </c>
    </row>
    <row r="36" spans="2:5" ht="15.75" customHeight="1" x14ac:dyDescent="0.75">
      <c r="B36" s="329" t="s">
        <v>48</v>
      </c>
      <c r="C36" s="350">
        <v>0</v>
      </c>
      <c r="D36" s="348" t="s">
        <v>218</v>
      </c>
    </row>
    <row r="37" spans="2:5" ht="15.75" customHeight="1" x14ac:dyDescent="0.75">
      <c r="B37" s="329" t="s">
        <v>50</v>
      </c>
      <c r="C37" s="350">
        <v>0</v>
      </c>
      <c r="D37" s="348" t="s">
        <v>219</v>
      </c>
    </row>
    <row r="38" spans="2:5" ht="15.75" customHeight="1" x14ac:dyDescent="0.75">
      <c r="B38" s="329" t="s">
        <v>52</v>
      </c>
      <c r="C38" s="350">
        <v>0</v>
      </c>
      <c r="D38" s="348" t="s">
        <v>220</v>
      </c>
    </row>
    <row r="39" spans="2:5" ht="15.75" customHeight="1" x14ac:dyDescent="0.75">
      <c r="B39" s="329" t="s">
        <v>54</v>
      </c>
      <c r="C39" s="350">
        <v>0</v>
      </c>
      <c r="D39" s="348" t="s">
        <v>218</v>
      </c>
    </row>
    <row r="40" spans="2:5" ht="15.75" customHeight="1" x14ac:dyDescent="0.75">
      <c r="B40" s="329" t="s">
        <v>55</v>
      </c>
      <c r="C40" s="343">
        <v>0</v>
      </c>
      <c r="D40" s="351"/>
    </row>
    <row r="41" spans="2:5" ht="15.75" customHeight="1" x14ac:dyDescent="0.75">
      <c r="B41" s="329" t="s">
        <v>57</v>
      </c>
      <c r="C41" s="343">
        <f>IF(C6&gt;0,C6,0)*C4</f>
        <v>0</v>
      </c>
      <c r="D41" s="351" t="s">
        <v>221</v>
      </c>
    </row>
    <row r="42" spans="2:5" ht="15.75" customHeight="1" x14ac:dyDescent="0.75">
      <c r="B42" s="333" t="s">
        <v>59</v>
      </c>
      <c r="C42" s="343">
        <f>C18</f>
        <v>0.83</v>
      </c>
      <c r="D42" s="352" t="s">
        <v>178</v>
      </c>
    </row>
    <row r="43" spans="2:5" ht="15.75" customHeight="1" x14ac:dyDescent="0.75">
      <c r="B43" s="329" t="s">
        <v>61</v>
      </c>
      <c r="C43" s="343">
        <f>SUM(C25:C42)</f>
        <v>1796.37</v>
      </c>
      <c r="D43" s="351" t="s">
        <v>179</v>
      </c>
      <c r="E43" s="53">
        <f>C4-C45</f>
        <v>8765.630000000001</v>
      </c>
    </row>
    <row r="44" spans="2:5" ht="15.75" customHeight="1" x14ac:dyDescent="0.75">
      <c r="B44" s="329" t="s">
        <v>63</v>
      </c>
      <c r="C44" s="343">
        <f>C5</f>
        <v>0</v>
      </c>
      <c r="D44" s="351" t="s">
        <v>383</v>
      </c>
    </row>
    <row r="45" spans="2:5" ht="15.75" customHeight="1" x14ac:dyDescent="0.75">
      <c r="B45" s="329" t="s">
        <v>222</v>
      </c>
      <c r="C45" s="349">
        <f>-1*(C44-C43)</f>
        <v>1796.37</v>
      </c>
      <c r="D45" s="342"/>
    </row>
    <row r="46" spans="2:5" ht="15.75" customHeight="1" x14ac:dyDescent="0.75">
      <c r="B46" s="329" t="s">
        <v>223</v>
      </c>
      <c r="C46" s="353">
        <f>C45/C43</f>
        <v>1</v>
      </c>
      <c r="D46" s="342"/>
    </row>
    <row r="47" spans="2:5" ht="15.75" customHeight="1" x14ac:dyDescent="0.75">
      <c r="B47" s="38" t="s">
        <v>59</v>
      </c>
      <c r="C47" s="306"/>
      <c r="D47" s="209"/>
    </row>
    <row r="48" spans="2:5" ht="15.75" customHeight="1" x14ac:dyDescent="0.75">
      <c r="B48" s="39" t="s">
        <v>181</v>
      </c>
      <c r="C48" s="307"/>
      <c r="D48" s="209"/>
    </row>
    <row r="49" spans="2:8" ht="15.75" customHeight="1" x14ac:dyDescent="0.75"/>
    <row r="50" spans="2:8" ht="15.75" customHeight="1" x14ac:dyDescent="0.75"/>
    <row r="51" spans="2:8" ht="15.75" customHeight="1" x14ac:dyDescent="0.75"/>
    <row r="52" spans="2:8" ht="15.75" customHeight="1" x14ac:dyDescent="0.75"/>
    <row r="53" spans="2:8" ht="15.75" customHeight="1" x14ac:dyDescent="0.75"/>
    <row r="54" spans="2:8" ht="15.75" customHeight="1" x14ac:dyDescent="0.75"/>
    <row r="55" spans="2:8" ht="15.75" customHeight="1" x14ac:dyDescent="0.75"/>
    <row r="56" spans="2:8" ht="15.75" customHeight="1" x14ac:dyDescent="0.75"/>
    <row r="57" spans="2:8" ht="26.25" customHeight="1" x14ac:dyDescent="0.75">
      <c r="B57" s="23" t="s">
        <v>506</v>
      </c>
    </row>
    <row r="58" spans="2:8" ht="26.25" customHeight="1" x14ac:dyDescent="0.75">
      <c r="B58" s="33" t="s">
        <v>0</v>
      </c>
      <c r="C58" s="34" t="s">
        <v>1</v>
      </c>
      <c r="D58" s="35" t="s">
        <v>2</v>
      </c>
      <c r="E58" s="35" t="s">
        <v>3</v>
      </c>
      <c r="F58" s="35" t="s">
        <v>4</v>
      </c>
      <c r="G58" s="35" t="s">
        <v>5</v>
      </c>
    </row>
    <row r="59" spans="2:8" ht="26.25" customHeight="1" x14ac:dyDescent="0.75">
      <c r="B59" s="198" t="s">
        <v>71</v>
      </c>
      <c r="C59" s="310">
        <f t="shared" ref="C59:C64" si="1">C9*100</f>
        <v>0</v>
      </c>
      <c r="D59" s="181" t="s">
        <v>351</v>
      </c>
      <c r="E59" s="181">
        <v>0</v>
      </c>
      <c r="F59" s="181">
        <v>100</v>
      </c>
      <c r="G59" s="181">
        <v>1</v>
      </c>
      <c r="H59" s="11"/>
    </row>
    <row r="60" spans="2:8" ht="26.25" customHeight="1" x14ac:dyDescent="0.75">
      <c r="B60" s="198" t="s">
        <v>73</v>
      </c>
      <c r="C60" s="310">
        <f t="shared" si="1"/>
        <v>11</v>
      </c>
      <c r="D60" s="181" t="s">
        <v>352</v>
      </c>
      <c r="E60" s="181">
        <v>0</v>
      </c>
      <c r="F60" s="181">
        <v>100</v>
      </c>
      <c r="G60" s="181">
        <v>1</v>
      </c>
      <c r="H60" s="489"/>
    </row>
    <row r="61" spans="2:8" ht="26.25" customHeight="1" x14ac:dyDescent="0.75">
      <c r="B61" s="198" t="s">
        <v>74</v>
      </c>
      <c r="C61" s="310">
        <f t="shared" si="1"/>
        <v>0</v>
      </c>
      <c r="D61" s="181" t="s">
        <v>353</v>
      </c>
      <c r="E61" s="181">
        <v>0</v>
      </c>
      <c r="F61" s="181">
        <v>100</v>
      </c>
      <c r="G61" s="181">
        <v>1</v>
      </c>
      <c r="H61" s="489"/>
    </row>
    <row r="62" spans="2:8" ht="26.25" customHeight="1" x14ac:dyDescent="0.75">
      <c r="B62" s="198" t="s">
        <v>75</v>
      </c>
      <c r="C62" s="310">
        <f t="shared" si="1"/>
        <v>1</v>
      </c>
      <c r="D62" s="181" t="s">
        <v>354</v>
      </c>
      <c r="E62" s="181">
        <v>0</v>
      </c>
      <c r="F62" s="181">
        <v>100</v>
      </c>
      <c r="G62" s="181">
        <v>1</v>
      </c>
      <c r="H62" s="489"/>
    </row>
    <row r="63" spans="2:8" ht="26.25" customHeight="1" x14ac:dyDescent="0.75">
      <c r="B63" s="313" t="s">
        <v>208</v>
      </c>
      <c r="C63" s="310">
        <f t="shared" si="1"/>
        <v>0</v>
      </c>
      <c r="D63" s="181" t="s">
        <v>381</v>
      </c>
      <c r="E63" s="181">
        <v>0</v>
      </c>
      <c r="F63" s="181">
        <v>100</v>
      </c>
      <c r="G63" s="181">
        <v>1</v>
      </c>
      <c r="H63" s="490"/>
    </row>
    <row r="64" spans="2:8" ht="26.25" customHeight="1" x14ac:dyDescent="0.75">
      <c r="B64" s="314" t="s">
        <v>356</v>
      </c>
      <c r="C64" s="310">
        <f t="shared" si="1"/>
        <v>0</v>
      </c>
      <c r="D64" s="181" t="s">
        <v>361</v>
      </c>
      <c r="E64" s="181">
        <v>0</v>
      </c>
      <c r="F64" s="181">
        <v>100</v>
      </c>
      <c r="G64" s="181">
        <v>1</v>
      </c>
      <c r="H64" s="11"/>
    </row>
    <row r="65" spans="2:8" ht="26.25" customHeight="1" x14ac:dyDescent="0.75">
      <c r="B65" s="198" t="s">
        <v>496</v>
      </c>
      <c r="C65" s="310">
        <v>0</v>
      </c>
      <c r="D65" s="181" t="s">
        <v>355</v>
      </c>
      <c r="E65" s="181">
        <v>0</v>
      </c>
      <c r="F65" s="181">
        <v>100</v>
      </c>
      <c r="G65" s="181">
        <v>1</v>
      </c>
      <c r="H65" s="11"/>
    </row>
    <row r="66" spans="2:8" ht="26.25" customHeight="1" x14ac:dyDescent="0.75">
      <c r="B66" s="198" t="s">
        <v>357</v>
      </c>
      <c r="C66" s="310">
        <f>C15*100</f>
        <v>0</v>
      </c>
      <c r="D66" s="181" t="s">
        <v>362</v>
      </c>
      <c r="E66" s="181">
        <v>0</v>
      </c>
      <c r="F66" s="181">
        <v>100</v>
      </c>
      <c r="G66" s="181">
        <v>1</v>
      </c>
      <c r="H66" s="11"/>
    </row>
    <row r="67" spans="2:8" ht="26.25" customHeight="1" x14ac:dyDescent="0.75">
      <c r="B67" s="198" t="s">
        <v>358</v>
      </c>
      <c r="C67" s="310">
        <f t="shared" ref="C67:C69" si="2">C16*100</f>
        <v>0</v>
      </c>
      <c r="D67" s="181" t="s">
        <v>363</v>
      </c>
      <c r="E67" s="181">
        <v>0</v>
      </c>
      <c r="F67" s="181">
        <v>100</v>
      </c>
      <c r="G67" s="181">
        <v>1</v>
      </c>
      <c r="H67" s="37"/>
    </row>
    <row r="68" spans="2:8" ht="26.25" customHeight="1" x14ac:dyDescent="0.75">
      <c r="B68" s="198" t="s">
        <v>359</v>
      </c>
      <c r="C68" s="310">
        <f t="shared" si="2"/>
        <v>5</v>
      </c>
      <c r="D68" s="181" t="s">
        <v>364</v>
      </c>
      <c r="E68" s="181">
        <v>0</v>
      </c>
      <c r="F68" s="181">
        <v>100</v>
      </c>
      <c r="G68" s="181">
        <v>1</v>
      </c>
    </row>
    <row r="69" spans="2:8" ht="26.25" customHeight="1" x14ac:dyDescent="0.75">
      <c r="B69" s="198" t="s">
        <v>360</v>
      </c>
      <c r="C69" s="310">
        <f t="shared" si="2"/>
        <v>83</v>
      </c>
      <c r="D69" s="181" t="s">
        <v>365</v>
      </c>
      <c r="E69" s="181">
        <v>0</v>
      </c>
      <c r="F69" s="181">
        <v>100</v>
      </c>
      <c r="G69" s="181">
        <v>1</v>
      </c>
    </row>
    <row r="70" spans="2:8" ht="26.25" customHeight="1" x14ac:dyDescent="0.75">
      <c r="B70" s="101"/>
      <c r="C70" s="101"/>
      <c r="D70" s="102"/>
      <c r="E70" s="102"/>
      <c r="F70" s="102"/>
      <c r="G70" s="102"/>
    </row>
    <row r="71" spans="2:8" ht="26.25" customHeight="1" x14ac:dyDescent="0.75">
      <c r="B71" s="101"/>
      <c r="C71" s="101"/>
      <c r="D71" s="102"/>
      <c r="E71" s="102"/>
      <c r="F71" s="102"/>
      <c r="G71" s="102"/>
    </row>
    <row r="72" spans="2:8" ht="26.25" customHeight="1" x14ac:dyDescent="0.75">
      <c r="B72" s="101"/>
      <c r="C72" s="101"/>
      <c r="D72" s="102"/>
      <c r="E72" s="102"/>
      <c r="F72" s="102"/>
      <c r="G72" s="102"/>
    </row>
    <row r="73" spans="2:8" ht="26.25" customHeight="1" x14ac:dyDescent="0.75">
      <c r="B73" s="101"/>
      <c r="C73" s="101"/>
      <c r="D73" s="102"/>
      <c r="E73" s="102"/>
      <c r="F73" s="102"/>
      <c r="G73" s="102"/>
      <c r="H73" s="115"/>
    </row>
    <row r="74" spans="2:8" ht="26.25" customHeight="1" x14ac:dyDescent="0.75">
      <c r="B74" s="149"/>
      <c r="C74" s="115"/>
      <c r="D74" s="115"/>
      <c r="E74" s="115"/>
      <c r="F74" s="115"/>
      <c r="G74" s="115"/>
      <c r="H74" s="115"/>
    </row>
    <row r="75" spans="2:8" ht="26.25" customHeight="1" x14ac:dyDescent="0.75">
      <c r="B75" s="150"/>
      <c r="C75" s="151"/>
      <c r="D75" s="102"/>
      <c r="E75" s="102"/>
      <c r="F75" s="102"/>
      <c r="G75" s="102"/>
      <c r="H75" s="152"/>
    </row>
    <row r="76" spans="2:8" ht="26.25" customHeight="1" x14ac:dyDescent="0.75">
      <c r="B76" s="101"/>
      <c r="C76" s="153"/>
      <c r="D76" s="102"/>
      <c r="E76" s="102"/>
      <c r="F76" s="102"/>
      <c r="G76" s="102"/>
      <c r="H76" s="115"/>
    </row>
    <row r="77" spans="2:8" ht="26.25" customHeight="1" x14ac:dyDescent="0.75">
      <c r="B77" s="150"/>
      <c r="C77" s="151"/>
      <c r="D77" s="102"/>
      <c r="E77" s="102"/>
      <c r="F77" s="102"/>
      <c r="G77" s="102"/>
      <c r="H77" s="115"/>
    </row>
    <row r="78" spans="2:8" ht="26.25" customHeight="1" x14ac:dyDescent="0.75">
      <c r="B78" s="150"/>
      <c r="C78" s="151"/>
      <c r="D78" s="102"/>
      <c r="E78" s="102"/>
      <c r="F78" s="102"/>
      <c r="G78" s="102"/>
      <c r="H78" s="115"/>
    </row>
    <row r="79" spans="2:8" ht="26.25" customHeight="1" x14ac:dyDescent="0.75">
      <c r="B79" s="150"/>
      <c r="C79" s="151"/>
      <c r="D79" s="102"/>
      <c r="E79" s="102"/>
      <c r="F79" s="102"/>
      <c r="G79" s="102"/>
      <c r="H79" s="115"/>
    </row>
    <row r="80" spans="2:8" ht="26.25" customHeight="1" x14ac:dyDescent="0.75">
      <c r="B80" s="150"/>
      <c r="C80" s="151"/>
      <c r="D80" s="102"/>
      <c r="E80" s="102"/>
      <c r="F80" s="102"/>
      <c r="G80" s="102"/>
      <c r="H80" s="115"/>
    </row>
    <row r="81" spans="2:8" ht="26.25" customHeight="1" x14ac:dyDescent="0.75">
      <c r="B81" s="154"/>
      <c r="C81" s="155"/>
      <c r="D81" s="102"/>
      <c r="E81" s="102"/>
      <c r="F81" s="102"/>
      <c r="G81" s="102"/>
      <c r="H81" s="115"/>
    </row>
    <row r="82" spans="2:8" ht="26.25" customHeight="1" x14ac:dyDescent="0.75">
      <c r="B82" s="115"/>
      <c r="C82" s="115"/>
      <c r="D82" s="115"/>
      <c r="E82" s="115"/>
      <c r="F82" s="115"/>
      <c r="G82" s="115"/>
      <c r="H82" s="115"/>
    </row>
    <row r="83" spans="2:8" ht="26.25" customHeight="1" x14ac:dyDescent="0.75">
      <c r="B83" s="115"/>
      <c r="C83" s="115"/>
      <c r="D83" s="115"/>
      <c r="E83" s="115"/>
      <c r="F83" s="115"/>
      <c r="G83" s="115"/>
      <c r="H83" s="115"/>
    </row>
    <row r="84" spans="2:8" ht="26.25" customHeight="1" x14ac:dyDescent="0.75">
      <c r="B84" s="115"/>
      <c r="C84" s="115"/>
      <c r="D84" s="115"/>
      <c r="E84" s="115"/>
      <c r="F84" s="115"/>
      <c r="G84" s="115"/>
      <c r="H84" s="115"/>
    </row>
    <row r="85" spans="2:8" ht="26.25" customHeight="1" x14ac:dyDescent="0.75">
      <c r="B85" s="115"/>
      <c r="C85" s="115"/>
      <c r="D85" s="115"/>
      <c r="E85" s="115"/>
      <c r="F85" s="115"/>
      <c r="G85" s="115"/>
      <c r="H85" s="115"/>
    </row>
    <row r="86" spans="2:8" ht="26.25" customHeight="1" x14ac:dyDescent="0.75"/>
    <row r="87" spans="2:8" ht="26.25" customHeight="1" x14ac:dyDescent="0.75"/>
    <row r="88" spans="2:8" ht="26.25" customHeight="1" x14ac:dyDescent="0.75"/>
    <row r="89" spans="2:8" ht="26.25" customHeight="1" x14ac:dyDescent="0.75"/>
    <row r="90" spans="2:8" ht="26.25" customHeight="1" x14ac:dyDescent="0.75"/>
    <row r="91" spans="2:8" ht="26.25" customHeight="1" x14ac:dyDescent="0.75"/>
    <row r="92" spans="2:8" ht="26.25" customHeight="1" x14ac:dyDescent="0.75"/>
    <row r="93" spans="2:8" ht="26.25" customHeight="1" x14ac:dyDescent="0.75"/>
    <row r="94" spans="2:8" ht="26.25" customHeight="1" x14ac:dyDescent="0.75"/>
    <row r="95" spans="2:8" ht="26.25" customHeight="1" x14ac:dyDescent="0.75"/>
    <row r="96" spans="2:8"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26.2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zoomScale="65" zoomScaleNormal="65" workbookViewId="0">
      <selection activeCell="C42" sqref="C42"/>
    </sheetView>
  </sheetViews>
  <sheetFormatPr defaultColWidth="14.5" defaultRowHeight="15" customHeight="1" x14ac:dyDescent="0.75"/>
  <cols>
    <col min="1" max="1" width="15" customWidth="1"/>
    <col min="2" max="2" width="63.1796875" customWidth="1"/>
    <col min="3" max="3" width="19.5" customWidth="1"/>
    <col min="4" max="4" width="28.81640625" customWidth="1"/>
    <col min="5" max="5" width="15" customWidth="1"/>
    <col min="6" max="6" width="17.81640625" customWidth="1"/>
    <col min="7" max="7" width="8.81640625" customWidth="1"/>
    <col min="8" max="8" width="36" customWidth="1"/>
  </cols>
  <sheetData>
    <row r="1" spans="1:7" ht="26.25" customHeight="1" x14ac:dyDescent="0.75">
      <c r="B1" s="1" t="s">
        <v>561</v>
      </c>
    </row>
    <row r="2" spans="1:7" ht="26.25" customHeight="1" x14ac:dyDescent="0.75">
      <c r="A2" s="295"/>
      <c r="B2" s="1" t="s">
        <v>562</v>
      </c>
    </row>
    <row r="3" spans="1:7" ht="26.25" customHeight="1" x14ac:dyDescent="0.75">
      <c r="A3" s="257"/>
      <c r="B3" s="259" t="s">
        <v>0</v>
      </c>
      <c r="C3" s="260" t="s">
        <v>1</v>
      </c>
      <c r="D3" s="127" t="s">
        <v>518</v>
      </c>
      <c r="E3" s="10"/>
      <c r="F3" s="10"/>
      <c r="G3" s="10"/>
    </row>
    <row r="4" spans="1:7" ht="26.25" customHeight="1" x14ac:dyDescent="0.75">
      <c r="A4" s="257"/>
      <c r="B4" s="299" t="s">
        <v>563</v>
      </c>
      <c r="C4" s="300">
        <v>36835</v>
      </c>
      <c r="E4" s="43"/>
      <c r="F4" s="6"/>
      <c r="G4" s="17"/>
    </row>
    <row r="5" spans="1:7" ht="26.25" customHeight="1" x14ac:dyDescent="0.75">
      <c r="A5" s="297"/>
      <c r="B5" s="301" t="s">
        <v>564</v>
      </c>
      <c r="C5" s="300">
        <v>8065</v>
      </c>
      <c r="D5" s="45"/>
      <c r="E5" s="46"/>
      <c r="F5" s="46"/>
      <c r="G5" s="47"/>
    </row>
    <row r="6" spans="1:7" ht="26.25" customHeight="1" x14ac:dyDescent="0.75">
      <c r="A6" s="257"/>
      <c r="B6" s="301" t="s">
        <v>565</v>
      </c>
      <c r="C6" s="302">
        <f>C5-C4</f>
        <v>-28770</v>
      </c>
      <c r="E6" s="48"/>
      <c r="F6" s="49"/>
      <c r="G6" s="49"/>
    </row>
    <row r="7" spans="1:7" ht="26.25" customHeight="1" x14ac:dyDescent="0.75">
      <c r="A7" s="296" t="s">
        <v>8</v>
      </c>
      <c r="B7" s="298" t="s">
        <v>516</v>
      </c>
      <c r="C7" s="298"/>
    </row>
    <row r="8" spans="1:7" ht="37.5" customHeight="1" x14ac:dyDescent="0.75">
      <c r="A8" s="245"/>
      <c r="B8" s="164" t="s">
        <v>0</v>
      </c>
      <c r="C8" s="168" t="s">
        <v>493</v>
      </c>
      <c r="E8" s="284" t="s">
        <v>520</v>
      </c>
      <c r="F8" s="284"/>
      <c r="G8" s="10"/>
    </row>
    <row r="9" spans="1:7" ht="34.5" customHeight="1" x14ac:dyDescent="0.75">
      <c r="A9" s="486" t="s">
        <v>519</v>
      </c>
      <c r="B9" s="171" t="s">
        <v>567</v>
      </c>
      <c r="C9" s="303">
        <v>0.08</v>
      </c>
      <c r="D9" s="11"/>
      <c r="E9" s="285"/>
      <c r="F9" s="287"/>
    </row>
    <row r="10" spans="1:7" ht="34.5" customHeight="1" x14ac:dyDescent="0.75">
      <c r="A10" s="487"/>
      <c r="B10" s="171" t="s">
        <v>566</v>
      </c>
      <c r="C10" s="303">
        <v>0.48</v>
      </c>
      <c r="D10" s="11"/>
      <c r="E10" s="285"/>
      <c r="F10" s="287"/>
    </row>
    <row r="11" spans="1:7" ht="30.75" customHeight="1" x14ac:dyDescent="0.75">
      <c r="A11" s="487"/>
      <c r="B11" s="171" t="s">
        <v>568</v>
      </c>
      <c r="C11" s="303">
        <v>0.02</v>
      </c>
      <c r="E11" s="285"/>
      <c r="F11" s="287"/>
    </row>
    <row r="12" spans="1:7" ht="30.75" customHeight="1" x14ac:dyDescent="0.75">
      <c r="A12" s="487"/>
      <c r="B12" s="171" t="s">
        <v>569</v>
      </c>
      <c r="C12" s="303">
        <v>0.09</v>
      </c>
      <c r="E12" s="285"/>
      <c r="F12" s="287"/>
    </row>
    <row r="13" spans="1:7" ht="30.75" customHeight="1" x14ac:dyDescent="0.75">
      <c r="A13" s="487"/>
      <c r="B13" s="171" t="s">
        <v>208</v>
      </c>
      <c r="C13" s="303">
        <v>0</v>
      </c>
      <c r="E13" s="285"/>
      <c r="F13" s="287"/>
    </row>
    <row r="14" spans="1:7" ht="27" customHeight="1" x14ac:dyDescent="0.75">
      <c r="A14" s="487"/>
      <c r="B14" s="171" t="s">
        <v>163</v>
      </c>
      <c r="C14" s="303">
        <v>0</v>
      </c>
      <c r="D14" s="11"/>
      <c r="E14" s="285"/>
      <c r="F14" s="287"/>
    </row>
    <row r="15" spans="1:7" ht="26.25" customHeight="1" x14ac:dyDescent="0.75">
      <c r="A15" s="487"/>
      <c r="B15" s="171" t="s">
        <v>209</v>
      </c>
      <c r="C15" s="303">
        <v>0</v>
      </c>
      <c r="D15" s="11"/>
      <c r="E15" s="285"/>
      <c r="F15" s="287"/>
    </row>
    <row r="16" spans="1:7" ht="26.25" customHeight="1" x14ac:dyDescent="0.75">
      <c r="A16" s="487"/>
      <c r="B16" s="171" t="s">
        <v>164</v>
      </c>
      <c r="C16" s="303">
        <v>0.25</v>
      </c>
      <c r="E16" s="285"/>
      <c r="F16" s="287"/>
    </row>
    <row r="17" spans="1:8" ht="33" customHeight="1" x14ac:dyDescent="0.75">
      <c r="A17" s="487"/>
      <c r="B17" s="171" t="s">
        <v>109</v>
      </c>
      <c r="C17" s="303">
        <v>0.04</v>
      </c>
      <c r="E17" s="285"/>
      <c r="F17" s="287"/>
    </row>
    <row r="18" spans="1:8" ht="20.25" customHeight="1" x14ac:dyDescent="0.75">
      <c r="A18" s="488"/>
      <c r="B18" s="171" t="s">
        <v>210</v>
      </c>
      <c r="C18" s="303">
        <v>0.04</v>
      </c>
      <c r="D18" s="114"/>
      <c r="E18" s="285"/>
      <c r="F18" s="287"/>
    </row>
    <row r="19" spans="1:8" ht="20.25" customHeight="1" x14ac:dyDescent="0.75">
      <c r="A19" s="245"/>
      <c r="B19" s="288" t="s">
        <v>211</v>
      </c>
      <c r="C19" s="304">
        <v>1</v>
      </c>
      <c r="D19" s="45"/>
      <c r="E19" s="305"/>
      <c r="F19" s="287"/>
    </row>
    <row r="20" spans="1:8" ht="20.25" customHeight="1" x14ac:dyDescent="0.75">
      <c r="C20" s="127" t="s">
        <v>518</v>
      </c>
      <c r="H20" s="50"/>
    </row>
    <row r="21" spans="1:8" ht="26.25" customHeight="1" x14ac:dyDescent="0.75">
      <c r="C21" s="51"/>
      <c r="D21" s="50"/>
    </row>
    <row r="22" spans="1:8" ht="15.75" customHeight="1" x14ac:dyDescent="0.75">
      <c r="B22" s="11"/>
      <c r="D22" s="52"/>
    </row>
    <row r="23" spans="1:8" ht="15.75" customHeight="1" thickBot="1" x14ac:dyDescent="0.9">
      <c r="B23" s="156" t="s">
        <v>521</v>
      </c>
      <c r="D23" s="52"/>
    </row>
    <row r="24" spans="1:8" ht="15.75" customHeight="1" x14ac:dyDescent="0.75">
      <c r="B24" s="340" t="s">
        <v>168</v>
      </c>
      <c r="C24" s="341" t="s">
        <v>212</v>
      </c>
      <c r="D24" s="342"/>
    </row>
    <row r="25" spans="1:8" ht="15.75" customHeight="1" x14ac:dyDescent="0.75">
      <c r="B25" s="329" t="s">
        <v>30</v>
      </c>
      <c r="C25" s="424">
        <f>C14*C4</f>
        <v>0</v>
      </c>
      <c r="D25" s="344" t="s">
        <v>320</v>
      </c>
    </row>
    <row r="26" spans="1:8" ht="14.25" customHeight="1" x14ac:dyDescent="0.75">
      <c r="B26" s="331" t="s">
        <v>32</v>
      </c>
      <c r="C26" s="425">
        <v>0</v>
      </c>
      <c r="D26" s="346" t="s">
        <v>321</v>
      </c>
    </row>
    <row r="27" spans="1:8" ht="15.75" customHeight="1" x14ac:dyDescent="0.75">
      <c r="B27" s="329" t="s">
        <v>34</v>
      </c>
      <c r="C27" s="424">
        <f>SUM(C16:C17)*C4</f>
        <v>10682.15</v>
      </c>
      <c r="D27" s="344" t="s">
        <v>322</v>
      </c>
    </row>
    <row r="28" spans="1:8" ht="15.75" customHeight="1" x14ac:dyDescent="0.75">
      <c r="B28" s="329" t="s">
        <v>36</v>
      </c>
      <c r="C28" s="424">
        <f>C15*C4</f>
        <v>0</v>
      </c>
      <c r="D28" s="344" t="s">
        <v>323</v>
      </c>
    </row>
    <row r="29" spans="1:8" ht="15.75" customHeight="1" x14ac:dyDescent="0.75">
      <c r="B29" s="331" t="s">
        <v>38</v>
      </c>
      <c r="C29" s="424">
        <f>C9*C4*C19</f>
        <v>2946.8</v>
      </c>
      <c r="D29" s="348" t="s">
        <v>89</v>
      </c>
    </row>
    <row r="30" spans="1:8" ht="15.75" customHeight="1" x14ac:dyDescent="0.75">
      <c r="B30" s="331" t="s">
        <v>40</v>
      </c>
      <c r="C30" s="424">
        <f>C10*C4*C19</f>
        <v>17680.8</v>
      </c>
      <c r="D30" s="348" t="s">
        <v>90</v>
      </c>
    </row>
    <row r="31" spans="1:8" ht="15.75" customHeight="1" x14ac:dyDescent="0.75">
      <c r="B31" s="331" t="s">
        <v>41</v>
      </c>
      <c r="C31" s="424">
        <f>C11*C4*C19</f>
        <v>736.7</v>
      </c>
      <c r="D31" s="348" t="s">
        <v>91</v>
      </c>
    </row>
    <row r="32" spans="1:8" ht="15.75" customHeight="1" x14ac:dyDescent="0.75">
      <c r="B32" s="331" t="s">
        <v>42</v>
      </c>
      <c r="C32" s="424">
        <f>C12*C4*C19</f>
        <v>3315.15</v>
      </c>
      <c r="D32" s="348" t="s">
        <v>92</v>
      </c>
    </row>
    <row r="33" spans="2:6" ht="15.75" customHeight="1" x14ac:dyDescent="0.75">
      <c r="B33" s="329" t="s">
        <v>43</v>
      </c>
      <c r="C33" s="424">
        <f>C13*C4</f>
        <v>0</v>
      </c>
      <c r="D33" s="348" t="s">
        <v>93</v>
      </c>
    </row>
    <row r="34" spans="2:6" ht="15.75" customHeight="1" x14ac:dyDescent="0.75">
      <c r="B34" s="329" t="s">
        <v>45</v>
      </c>
      <c r="C34" s="426">
        <v>0</v>
      </c>
      <c r="D34" s="348" t="s">
        <v>324</v>
      </c>
    </row>
    <row r="35" spans="2:6" ht="15.75" customHeight="1" x14ac:dyDescent="0.75">
      <c r="B35" s="329" t="s">
        <v>47</v>
      </c>
      <c r="C35" s="426">
        <v>0</v>
      </c>
      <c r="D35" s="348" t="s">
        <v>324</v>
      </c>
    </row>
    <row r="36" spans="2:6" ht="15.75" customHeight="1" x14ac:dyDescent="0.75">
      <c r="B36" s="329" t="s">
        <v>48</v>
      </c>
      <c r="C36" s="424">
        <v>0</v>
      </c>
      <c r="D36" s="348" t="s">
        <v>325</v>
      </c>
    </row>
    <row r="37" spans="2:6" ht="15.75" customHeight="1" x14ac:dyDescent="0.75">
      <c r="B37" s="329" t="s">
        <v>50</v>
      </c>
      <c r="C37" s="424">
        <v>0</v>
      </c>
      <c r="D37" s="348" t="s">
        <v>326</v>
      </c>
    </row>
    <row r="38" spans="2:6" ht="15.75" customHeight="1" x14ac:dyDescent="0.75">
      <c r="B38" s="329" t="s">
        <v>52</v>
      </c>
      <c r="C38" s="424">
        <v>0</v>
      </c>
      <c r="D38" s="348" t="s">
        <v>327</v>
      </c>
    </row>
    <row r="39" spans="2:6" ht="15.75" customHeight="1" x14ac:dyDescent="0.75">
      <c r="B39" s="329" t="s">
        <v>54</v>
      </c>
      <c r="C39" s="424">
        <v>0</v>
      </c>
      <c r="D39" s="348" t="s">
        <v>325</v>
      </c>
    </row>
    <row r="40" spans="2:6" ht="15.75" customHeight="1" x14ac:dyDescent="0.75">
      <c r="B40" s="329" t="s">
        <v>328</v>
      </c>
      <c r="C40" s="424">
        <v>0</v>
      </c>
      <c r="D40" s="351" t="s">
        <v>545</v>
      </c>
    </row>
    <row r="41" spans="2:6" ht="15.75" customHeight="1" x14ac:dyDescent="0.75">
      <c r="B41" s="329" t="s">
        <v>57</v>
      </c>
      <c r="C41" s="424">
        <v>0</v>
      </c>
      <c r="D41" s="351" t="s">
        <v>329</v>
      </c>
    </row>
    <row r="42" spans="2:6" ht="15.75" customHeight="1" x14ac:dyDescent="0.75">
      <c r="B42" s="333" t="s">
        <v>59</v>
      </c>
      <c r="C42" s="424">
        <f>C18*C4 + C4*SUM(C9:C12)*(1-C19)</f>
        <v>1473.4</v>
      </c>
      <c r="D42" s="352" t="s">
        <v>178</v>
      </c>
    </row>
    <row r="43" spans="2:6" ht="15.75" customHeight="1" x14ac:dyDescent="0.75">
      <c r="B43" s="329" t="s">
        <v>61</v>
      </c>
      <c r="C43" s="424">
        <f>SUM(C25:C42)</f>
        <v>36835</v>
      </c>
      <c r="D43" s="351" t="s">
        <v>179</v>
      </c>
      <c r="F43" s="100">
        <f>C43-C4</f>
        <v>0</v>
      </c>
    </row>
    <row r="44" spans="2:6" ht="15.75" customHeight="1" x14ac:dyDescent="0.75">
      <c r="B44" s="329" t="s">
        <v>63</v>
      </c>
      <c r="C44" s="424">
        <f>C5</f>
        <v>8065</v>
      </c>
      <c r="D44" s="351" t="s">
        <v>180</v>
      </c>
    </row>
    <row r="45" spans="2:6" ht="15.75" customHeight="1" x14ac:dyDescent="0.75">
      <c r="B45" s="329" t="s">
        <v>222</v>
      </c>
      <c r="C45" s="426">
        <f>MAX(0,(C43-C44))</f>
        <v>28770</v>
      </c>
      <c r="D45" s="342"/>
    </row>
    <row r="46" spans="2:6" ht="15.75" customHeight="1" x14ac:dyDescent="0.75"/>
    <row r="47" spans="2:6" ht="15.75" customHeight="1" x14ac:dyDescent="0.75">
      <c r="B47" s="62" t="s">
        <v>223</v>
      </c>
      <c r="C47" s="22">
        <f>C45/C43</f>
        <v>0.78105063119315865</v>
      </c>
    </row>
    <row r="48" spans="2:6" ht="15.75" customHeight="1" x14ac:dyDescent="0.75">
      <c r="B48" s="62"/>
      <c r="C48" s="22"/>
    </row>
    <row r="49" spans="2:8" ht="15.75" customHeight="1" x14ac:dyDescent="0.75">
      <c r="B49" s="62"/>
      <c r="C49" s="22"/>
    </row>
    <row r="50" spans="2:8" ht="15.75" customHeight="1" x14ac:dyDescent="0.75">
      <c r="B50" s="62"/>
      <c r="C50" s="22"/>
    </row>
    <row r="51" spans="2:8" ht="15.75" customHeight="1" x14ac:dyDescent="0.75">
      <c r="B51" s="62"/>
      <c r="C51" s="22"/>
    </row>
    <row r="52" spans="2:8" ht="15.75" customHeight="1" x14ac:dyDescent="0.75">
      <c r="B52" s="144" t="s">
        <v>0</v>
      </c>
      <c r="C52" s="145" t="s">
        <v>1</v>
      </c>
      <c r="D52" s="147" t="s">
        <v>2</v>
      </c>
    </row>
    <row r="53" spans="2:8" ht="15.75" customHeight="1" x14ac:dyDescent="0.75">
      <c r="B53" s="457" t="e">
        <f>#REF!</f>
        <v>#REF!</v>
      </c>
      <c r="C53" s="316">
        <v>999998</v>
      </c>
      <c r="D53" s="186" t="s">
        <v>537</v>
      </c>
      <c r="E53" s="42" t="s">
        <v>538</v>
      </c>
    </row>
    <row r="54" spans="2:8" ht="15.75" customHeight="1" x14ac:dyDescent="0.75"/>
    <row r="55" spans="2:8" s="115" customFormat="1" ht="15.75" customHeight="1" x14ac:dyDescent="0.75">
      <c r="B55" s="138"/>
      <c r="C55" s="139"/>
      <c r="D55" s="102"/>
      <c r="E55" s="102"/>
      <c r="F55" s="102"/>
      <c r="G55" s="102"/>
    </row>
    <row r="56" spans="2:8" ht="15.75" customHeight="1" x14ac:dyDescent="0.75">
      <c r="B56" s="144" t="s">
        <v>0</v>
      </c>
      <c r="C56" s="145" t="s">
        <v>1</v>
      </c>
      <c r="D56" s="146" t="s">
        <v>2</v>
      </c>
      <c r="E56" s="146" t="s">
        <v>3</v>
      </c>
      <c r="F56" s="146" t="s">
        <v>4</v>
      </c>
      <c r="G56" s="147" t="s">
        <v>5</v>
      </c>
    </row>
    <row r="57" spans="2:8" ht="15.75" customHeight="1" x14ac:dyDescent="0.75">
      <c r="B57" s="315" t="s">
        <v>226</v>
      </c>
      <c r="C57" s="316">
        <f>C5</f>
        <v>8065</v>
      </c>
      <c r="D57" s="185" t="s">
        <v>479</v>
      </c>
      <c r="E57" s="317">
        <v>0</v>
      </c>
      <c r="F57" s="185">
        <v>100000000</v>
      </c>
      <c r="G57" s="186">
        <v>1</v>
      </c>
    </row>
    <row r="58" spans="2:8" ht="15.75" customHeight="1" x14ac:dyDescent="0.75">
      <c r="B58" s="315" t="s">
        <v>224</v>
      </c>
      <c r="C58" s="316">
        <f>C4</f>
        <v>36835</v>
      </c>
      <c r="D58" s="185" t="s">
        <v>225</v>
      </c>
      <c r="E58" s="317">
        <v>0</v>
      </c>
      <c r="F58" s="185">
        <v>100000000</v>
      </c>
      <c r="G58" s="186">
        <v>1</v>
      </c>
      <c r="H58" s="45"/>
    </row>
    <row r="59" spans="2:8" ht="15.75" customHeight="1" x14ac:dyDescent="0.75">
      <c r="B59" s="140" t="s">
        <v>227</v>
      </c>
      <c r="C59" s="141">
        <f>C57-C58</f>
        <v>-28770</v>
      </c>
      <c r="D59" s="142"/>
      <c r="E59" s="143"/>
      <c r="F59" s="142"/>
      <c r="G59" s="142">
        <v>1</v>
      </c>
    </row>
    <row r="60" spans="2:8" ht="26.25" customHeight="1" x14ac:dyDescent="0.75">
      <c r="B60" s="15"/>
      <c r="C60" s="15"/>
    </row>
    <row r="61" spans="2:8" ht="26.25" customHeight="1" x14ac:dyDescent="0.75">
      <c r="B61" s="33" t="s">
        <v>0</v>
      </c>
      <c r="C61" s="34" t="s">
        <v>1</v>
      </c>
      <c r="D61" s="35" t="s">
        <v>2</v>
      </c>
      <c r="E61" s="35" t="s">
        <v>3</v>
      </c>
      <c r="F61" s="35" t="s">
        <v>4</v>
      </c>
      <c r="G61" s="35" t="s">
        <v>5</v>
      </c>
    </row>
    <row r="62" spans="2:8" ht="26.25" customHeight="1" x14ac:dyDescent="0.75">
      <c r="B62" s="198" t="s">
        <v>71</v>
      </c>
      <c r="C62" s="318">
        <f t="shared" ref="C62:C67" si="0">C9*100</f>
        <v>8</v>
      </c>
      <c r="D62" s="181" t="s">
        <v>366</v>
      </c>
      <c r="E62" s="181">
        <v>0</v>
      </c>
      <c r="F62" s="181">
        <v>10000000</v>
      </c>
      <c r="G62" s="181">
        <v>1</v>
      </c>
      <c r="H62" s="11"/>
    </row>
    <row r="63" spans="2:8" ht="26.25" customHeight="1" x14ac:dyDescent="0.75">
      <c r="B63" s="198" t="s">
        <v>73</v>
      </c>
      <c r="C63" s="318">
        <f t="shared" si="0"/>
        <v>48</v>
      </c>
      <c r="D63" s="181" t="s">
        <v>367</v>
      </c>
      <c r="E63" s="181">
        <v>0</v>
      </c>
      <c r="F63" s="181">
        <v>10000000</v>
      </c>
      <c r="G63" s="181">
        <v>1</v>
      </c>
      <c r="H63" s="11"/>
    </row>
    <row r="64" spans="2:8" ht="26.25" customHeight="1" x14ac:dyDescent="0.75">
      <c r="B64" s="198" t="s">
        <v>74</v>
      </c>
      <c r="C64" s="318">
        <f t="shared" si="0"/>
        <v>2</v>
      </c>
      <c r="D64" s="181" t="s">
        <v>368</v>
      </c>
      <c r="E64" s="181">
        <v>0</v>
      </c>
      <c r="F64" s="181">
        <v>10000000</v>
      </c>
      <c r="G64" s="181">
        <v>1</v>
      </c>
      <c r="H64" s="11"/>
    </row>
    <row r="65" spans="2:8" ht="26.25" customHeight="1" x14ac:dyDescent="0.75">
      <c r="B65" s="198" t="s">
        <v>75</v>
      </c>
      <c r="C65" s="318">
        <f t="shared" si="0"/>
        <v>9</v>
      </c>
      <c r="D65" s="181" t="s">
        <v>369</v>
      </c>
      <c r="E65" s="181">
        <v>0</v>
      </c>
      <c r="F65" s="181">
        <v>10000000</v>
      </c>
      <c r="G65" s="181">
        <v>1</v>
      </c>
      <c r="H65" s="11"/>
    </row>
    <row r="66" spans="2:8" ht="26.25" customHeight="1" x14ac:dyDescent="0.75">
      <c r="B66" s="313" t="s">
        <v>208</v>
      </c>
      <c r="C66" s="318">
        <f t="shared" si="0"/>
        <v>0</v>
      </c>
      <c r="D66" s="181" t="s">
        <v>228</v>
      </c>
      <c r="E66" s="181">
        <v>0</v>
      </c>
      <c r="F66" s="181">
        <v>10000000</v>
      </c>
      <c r="G66" s="181">
        <v>1</v>
      </c>
    </row>
    <row r="67" spans="2:8" ht="26.25" customHeight="1" x14ac:dyDescent="0.75">
      <c r="B67" s="313" t="s">
        <v>163</v>
      </c>
      <c r="C67" s="318">
        <f t="shared" si="0"/>
        <v>0</v>
      </c>
      <c r="D67" s="181" t="s">
        <v>229</v>
      </c>
      <c r="E67" s="181">
        <v>0</v>
      </c>
      <c r="F67" s="181">
        <v>10000000</v>
      </c>
      <c r="G67" s="181">
        <v>1</v>
      </c>
      <c r="H67" s="11"/>
    </row>
    <row r="68" spans="2:8" ht="26.25" customHeight="1" x14ac:dyDescent="0.75">
      <c r="B68" s="198" t="s">
        <v>496</v>
      </c>
      <c r="C68" s="319">
        <v>0</v>
      </c>
      <c r="D68" s="181" t="s">
        <v>370</v>
      </c>
      <c r="E68" s="181">
        <v>0</v>
      </c>
      <c r="F68" s="181">
        <v>10000000</v>
      </c>
      <c r="G68" s="181">
        <v>1</v>
      </c>
      <c r="H68" s="11"/>
    </row>
    <row r="69" spans="2:8" ht="26.25" customHeight="1" x14ac:dyDescent="0.75">
      <c r="B69" s="313" t="s">
        <v>209</v>
      </c>
      <c r="C69" s="318">
        <f>C15*100</f>
        <v>0</v>
      </c>
      <c r="D69" s="181" t="s">
        <v>230</v>
      </c>
      <c r="E69" s="181">
        <v>0</v>
      </c>
      <c r="F69" s="181">
        <v>10000000</v>
      </c>
      <c r="G69" s="181">
        <v>1</v>
      </c>
      <c r="H69" s="11"/>
    </row>
    <row r="70" spans="2:8" ht="26.25" customHeight="1" x14ac:dyDescent="0.75">
      <c r="B70" s="313" t="s">
        <v>164</v>
      </c>
      <c r="C70" s="318">
        <f>C16*100</f>
        <v>25</v>
      </c>
      <c r="D70" s="181" t="s">
        <v>231</v>
      </c>
      <c r="E70" s="181">
        <v>0</v>
      </c>
      <c r="F70" s="181">
        <v>10000000</v>
      </c>
      <c r="G70" s="181">
        <v>1</v>
      </c>
    </row>
    <row r="71" spans="2:8" ht="26.25" customHeight="1" x14ac:dyDescent="0.75">
      <c r="B71" s="313" t="s">
        <v>109</v>
      </c>
      <c r="C71" s="318">
        <f>C17*100</f>
        <v>4</v>
      </c>
      <c r="D71" s="181" t="s">
        <v>232</v>
      </c>
      <c r="E71" s="181">
        <v>0</v>
      </c>
      <c r="F71" s="181">
        <v>10000000</v>
      </c>
      <c r="G71" s="181">
        <v>1</v>
      </c>
    </row>
    <row r="72" spans="2:8" ht="26.25" customHeight="1" x14ac:dyDescent="0.75">
      <c r="B72" s="313" t="s">
        <v>527</v>
      </c>
      <c r="C72" s="320">
        <f>C40</f>
        <v>0</v>
      </c>
      <c r="D72" s="181" t="s">
        <v>379</v>
      </c>
      <c r="E72" s="181">
        <v>0</v>
      </c>
      <c r="F72" s="181">
        <v>10000000</v>
      </c>
      <c r="G72" s="181">
        <v>1</v>
      </c>
      <c r="H72" s="45"/>
    </row>
    <row r="73" spans="2:8" ht="26.25" customHeight="1" x14ac:dyDescent="0.75">
      <c r="B73" s="313" t="s">
        <v>210</v>
      </c>
      <c r="C73" s="318">
        <f>C18*100</f>
        <v>4</v>
      </c>
      <c r="D73" s="181" t="s">
        <v>233</v>
      </c>
      <c r="E73" s="181">
        <v>0</v>
      </c>
      <c r="F73" s="181">
        <v>10000000</v>
      </c>
      <c r="G73" s="181">
        <v>1</v>
      </c>
    </row>
    <row r="74" spans="2:8" ht="26.25" customHeight="1" x14ac:dyDescent="0.75">
      <c r="B74" s="321" t="s">
        <v>382</v>
      </c>
      <c r="C74" s="322">
        <f>C19*100</f>
        <v>100</v>
      </c>
      <c r="D74" s="323" t="s">
        <v>234</v>
      </c>
      <c r="E74" s="323">
        <v>0</v>
      </c>
      <c r="F74" s="323">
        <v>10000000</v>
      </c>
      <c r="G74" s="323">
        <v>1</v>
      </c>
      <c r="H74" s="45"/>
    </row>
    <row r="75" spans="2:8" ht="26.25" customHeight="1" x14ac:dyDescent="0.75">
      <c r="C75" s="100"/>
    </row>
    <row r="76" spans="2:8" ht="26.25" customHeight="1" x14ac:dyDescent="0.75">
      <c r="C76" s="100">
        <f>SUM(C62:C71)+C73</f>
        <v>100</v>
      </c>
      <c r="D76" s="100"/>
    </row>
    <row r="77" spans="2:8" ht="26.25" customHeight="1" x14ac:dyDescent="0.75"/>
    <row r="78" spans="2:8" ht="26.25" customHeight="1" x14ac:dyDescent="0.75"/>
    <row r="79" spans="2:8" ht="26.25" customHeight="1" x14ac:dyDescent="0.75"/>
    <row r="80" spans="2:8"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D17" sqref="D17"/>
    </sheetView>
  </sheetViews>
  <sheetFormatPr defaultColWidth="14.5" defaultRowHeight="15" customHeight="1" x14ac:dyDescent="0.75"/>
  <cols>
    <col min="1" max="1" width="20.81640625" customWidth="1"/>
    <col min="2" max="2" width="105" customWidth="1"/>
    <col min="3" max="3" width="15.1796875" customWidth="1"/>
    <col min="4" max="4" width="30.31640625" customWidth="1"/>
    <col min="5" max="5" width="24.31640625" customWidth="1"/>
    <col min="6" max="6" width="18.5" customWidth="1"/>
    <col min="7" max="7" width="14" customWidth="1"/>
    <col min="8" max="10" width="12.31640625" customWidth="1"/>
    <col min="11" max="11" width="27.1796875" bestFit="1" customWidth="1"/>
    <col min="12" max="12" width="8.81640625" customWidth="1"/>
    <col min="13" max="13" width="31" customWidth="1"/>
    <col min="14" max="14" width="15.36328125" customWidth="1"/>
  </cols>
  <sheetData>
    <row r="1" spans="1:17" ht="80.25" customHeight="1" x14ac:dyDescent="0.75">
      <c r="A1" s="245"/>
      <c r="B1" s="429" t="s">
        <v>235</v>
      </c>
      <c r="C1" s="430" t="s">
        <v>236</v>
      </c>
      <c r="D1" s="430" t="s">
        <v>237</v>
      </c>
      <c r="E1" s="453" t="s">
        <v>518</v>
      </c>
      <c r="F1" s="1" t="s">
        <v>238</v>
      </c>
      <c r="H1" s="1">
        <v>590</v>
      </c>
      <c r="I1" s="1" t="s">
        <v>239</v>
      </c>
      <c r="J1" s="1" t="s">
        <v>240</v>
      </c>
    </row>
    <row r="2" spans="1:17" ht="14.25" customHeight="1" x14ac:dyDescent="0.75">
      <c r="A2" s="233"/>
      <c r="B2" s="428" t="s">
        <v>241</v>
      </c>
      <c r="C2" s="431">
        <f>N11</f>
        <v>7764</v>
      </c>
      <c r="D2" s="431">
        <f>O11</f>
        <v>1941</v>
      </c>
      <c r="E2" s="453"/>
      <c r="F2" s="55">
        <v>8</v>
      </c>
      <c r="G2" s="56">
        <v>6</v>
      </c>
      <c r="H2" s="57">
        <v>0.14199999999999999</v>
      </c>
      <c r="I2" s="1" t="s">
        <v>242</v>
      </c>
      <c r="J2" s="1">
        <f>44.9301897177261*12</f>
        <v>539.16227661271319</v>
      </c>
      <c r="K2" s="1">
        <f>134.790569153178*12</f>
        <v>1617.4868298381361</v>
      </c>
      <c r="M2" t="s">
        <v>577</v>
      </c>
    </row>
    <row r="3" spans="1:17" ht="14.25" customHeight="1" x14ac:dyDescent="0.75">
      <c r="A3" s="233"/>
      <c r="B3" s="428" t="s">
        <v>243</v>
      </c>
      <c r="C3" s="431">
        <f>P11</f>
        <v>1827.2</v>
      </c>
      <c r="D3" s="431">
        <f>Q11</f>
        <v>456.8</v>
      </c>
      <c r="E3" s="163"/>
      <c r="M3" t="s">
        <v>578</v>
      </c>
      <c r="N3" t="s">
        <v>579</v>
      </c>
      <c r="O3" t="s">
        <v>580</v>
      </c>
    </row>
    <row r="4" spans="1:17" ht="14.25" customHeight="1" x14ac:dyDescent="0.75">
      <c r="A4" s="233"/>
      <c r="B4" s="428" t="s">
        <v>244</v>
      </c>
      <c r="C4" s="432">
        <f>J2/F2</f>
        <v>67.395284576589148</v>
      </c>
      <c r="D4" s="432">
        <f>K2/G2</f>
        <v>269.58113830635602</v>
      </c>
      <c r="E4" s="163"/>
      <c r="G4" s="127" t="s">
        <v>526</v>
      </c>
      <c r="M4" t="s">
        <v>581</v>
      </c>
      <c r="N4">
        <v>108266</v>
      </c>
      <c r="O4">
        <v>33636</v>
      </c>
    </row>
    <row r="5" spans="1:17" ht="14.25" customHeight="1" x14ac:dyDescent="0.75">
      <c r="A5" s="233"/>
      <c r="B5" s="428" t="s">
        <v>245</v>
      </c>
      <c r="C5" s="432">
        <f>C4*0.02</f>
        <v>1.3479056915317831</v>
      </c>
      <c r="D5" s="432">
        <f>D4*0.01</f>
        <v>2.6958113830635604</v>
      </c>
      <c r="E5" s="163"/>
      <c r="F5" s="1" t="s">
        <v>246</v>
      </c>
      <c r="G5" s="1" t="s">
        <v>247</v>
      </c>
      <c r="H5" s="1"/>
      <c r="M5" t="s">
        <v>582</v>
      </c>
      <c r="N5">
        <v>9705</v>
      </c>
      <c r="O5">
        <v>2284</v>
      </c>
    </row>
    <row r="6" spans="1:17" ht="14.25" customHeight="1" x14ac:dyDescent="0.75">
      <c r="A6" s="494"/>
      <c r="B6" s="445" t="s">
        <v>248</v>
      </c>
      <c r="C6" s="433">
        <v>0.4</v>
      </c>
      <c r="D6" s="433">
        <v>0.1</v>
      </c>
      <c r="E6" s="493" t="s">
        <v>249</v>
      </c>
      <c r="F6" s="1" t="s">
        <v>250</v>
      </c>
      <c r="G6" s="446" t="s">
        <v>38</v>
      </c>
      <c r="H6" s="446" t="s">
        <v>41</v>
      </c>
      <c r="I6" s="446" t="s">
        <v>40</v>
      </c>
      <c r="J6" s="446" t="s">
        <v>42</v>
      </c>
      <c r="K6" s="447" t="s">
        <v>251</v>
      </c>
      <c r="M6" t="s">
        <v>583</v>
      </c>
    </row>
    <row r="7" spans="1:17" ht="13.5" customHeight="1" x14ac:dyDescent="0.75">
      <c r="A7" s="495"/>
      <c r="B7" s="445" t="s">
        <v>252</v>
      </c>
      <c r="C7" s="433">
        <v>7.0000000000000007E-2</v>
      </c>
      <c r="D7" s="433">
        <v>0.1</v>
      </c>
      <c r="E7" s="493"/>
      <c r="F7" s="58" t="s">
        <v>45</v>
      </c>
      <c r="G7" s="448">
        <f>$C$6/SUM($C$6:$C$11)*$C$2*$C$4/($C$6/SUM($C$6:$C$11)*$C$2*$C$4+$D$6/SUM($D$6:$D$11)*$D$2*$D$4)</f>
        <v>0.8016194331983808</v>
      </c>
      <c r="H7" s="448">
        <f>$C$7/SUM($C$6:$C$11)*$C$2*$C$4/($C$7/SUM($C$6:$C$11)*$C$2*$C$4+$D$7/SUM($D$6:$D$11)*$D$2*$D$4)</f>
        <v>0.41422594142259461</v>
      </c>
      <c r="I7" s="448">
        <f>$C$8/SUM($C$6:$C$11)*$C$2*$C$4/($C$8/SUM($C$6:$C$11)*$C$2*$C$4+$D$8/SUM($D$6:$D$11)*$D$2*$D$4)</f>
        <v>0.79333614508646177</v>
      </c>
      <c r="J7" s="448">
        <f>$C$9/SUM($C$6:$C$11)*$C$2*$C$4/($C$9/SUM($C$6:$C$11)*$C$2*$C$4+$D$9/SUM($D$6:$D$11)*$D$2*$D$4)</f>
        <v>0.8016194331983808</v>
      </c>
      <c r="K7" s="449">
        <f>$C$10/SUM($C$6:$C$11)*$C$2*$C$4/($C$10/SUM($C$6:$C$11)*$C$2*$C$4+$D$10/SUM($D$6:$D$11)*$D$2*$D$4)</f>
        <v>8.1840727473133229E-2</v>
      </c>
    </row>
    <row r="8" spans="1:17" ht="15.75" customHeight="1" x14ac:dyDescent="0.75">
      <c r="A8" s="495"/>
      <c r="B8" s="445" t="s">
        <v>253</v>
      </c>
      <c r="C8" s="433">
        <v>0.38</v>
      </c>
      <c r="D8" s="433">
        <v>0.1</v>
      </c>
      <c r="E8" s="493"/>
      <c r="F8" s="58" t="s">
        <v>47</v>
      </c>
      <c r="G8" s="448">
        <f>$D$6/SUM($D$6:$D$11)*$D$2*$D$4/($C$6/SUM($C$6:$C$11)*$C$2*$C$4+$D$6/SUM($D$6:$D$11)*$D$2*$D$4)</f>
        <v>0.19838056680161908</v>
      </c>
      <c r="H8" s="448">
        <f>$D$7/SUM($D$6:$D$11)*$D$2*$D$4/($C$7/SUM($C$6:$C$11)*$C$2*$C$4+$D$7/SUM($D$6:$D$11)*$D$2*$D$4)</f>
        <v>0.58577405857740528</v>
      </c>
      <c r="I8" s="448">
        <f>$D$8/SUM($D$6:$D$11)*$D$2*$D$4/($C$8/SUM($C$6:$C$11)*$C$2*$C$4+$D$8/SUM($D$6:$D$11)*$D$2*$D$4)</f>
        <v>0.20666385491353828</v>
      </c>
      <c r="J8" s="448">
        <f>$D$9/SUM($D$6:$D$11)*$D$2*$D$4/($C$9/SUM($C$6:$C$11)*$C$2*$C$4+$D$9/SUM($D$6:$D$11)*$D$2*$D$4)</f>
        <v>0.19838056680161914</v>
      </c>
      <c r="K8" s="449">
        <f>$D$10/SUM($D$6:$D$11)*$D$2*$D$4/($C$10/SUM($C$6:$C$11)*$C$2*$C$4+$D$10/SUM($D$6:$D$11)*$D$2*$D$4)</f>
        <v>0.9181592725268668</v>
      </c>
      <c r="M8" s="484" t="s">
        <v>584</v>
      </c>
      <c r="N8">
        <v>80</v>
      </c>
    </row>
    <row r="9" spans="1:17" ht="28.5" customHeight="1" x14ac:dyDescent="0.75">
      <c r="A9" s="495"/>
      <c r="B9" s="445" t="s">
        <v>254</v>
      </c>
      <c r="C9" s="433">
        <v>0.04</v>
      </c>
      <c r="D9" s="433">
        <v>0.01</v>
      </c>
      <c r="E9" s="493"/>
      <c r="F9" s="58"/>
      <c r="G9" s="450">
        <f>G8+G7</f>
        <v>0.99999999999999989</v>
      </c>
      <c r="H9" s="450">
        <f t="shared" ref="H9:K9" si="0">H8+H7</f>
        <v>0.99999999999999989</v>
      </c>
      <c r="I9" s="450">
        <f t="shared" si="0"/>
        <v>1</v>
      </c>
      <c r="J9" s="450">
        <f t="shared" si="0"/>
        <v>1</v>
      </c>
      <c r="K9" s="450">
        <f t="shared" si="0"/>
        <v>1</v>
      </c>
      <c r="M9" t="s">
        <v>578</v>
      </c>
      <c r="N9" s="485" t="s">
        <v>585</v>
      </c>
      <c r="O9" s="485" t="s">
        <v>586</v>
      </c>
      <c r="P9" s="485" t="s">
        <v>587</v>
      </c>
      <c r="Q9" s="485" t="s">
        <v>588</v>
      </c>
    </row>
    <row r="10" spans="1:17" ht="14.25" customHeight="1" x14ac:dyDescent="0.75">
      <c r="A10" s="495"/>
      <c r="B10" s="445" t="s">
        <v>255</v>
      </c>
      <c r="C10" s="433">
        <v>0.06</v>
      </c>
      <c r="D10" s="433">
        <v>0.68</v>
      </c>
      <c r="E10" s="493"/>
      <c r="G10" s="22"/>
      <c r="H10" s="22"/>
      <c r="M10" t="s">
        <v>581</v>
      </c>
      <c r="N10">
        <f>N4*N8/100</f>
        <v>86612.800000000003</v>
      </c>
      <c r="O10">
        <f>N4*(100-N8)/100</f>
        <v>21653.200000000001</v>
      </c>
      <c r="P10">
        <f>O4*N8/100</f>
        <v>26908.799999999999</v>
      </c>
      <c r="Q10">
        <f>O4*(100-O8)/100</f>
        <v>33636</v>
      </c>
    </row>
    <row r="11" spans="1:17" ht="14.25" customHeight="1" x14ac:dyDescent="0.75">
      <c r="A11" s="496"/>
      <c r="B11" s="445" t="s">
        <v>256</v>
      </c>
      <c r="C11" s="433">
        <v>0.03</v>
      </c>
      <c r="D11" s="433">
        <v>0</v>
      </c>
      <c r="E11" s="493"/>
      <c r="G11" s="1" t="s">
        <v>257</v>
      </c>
      <c r="H11" s="22"/>
      <c r="M11" t="s">
        <v>582</v>
      </c>
      <c r="N11">
        <f>N5*N8/100</f>
        <v>7764</v>
      </c>
      <c r="O11">
        <f>N5*(100-N8)/100</f>
        <v>1941</v>
      </c>
      <c r="P11">
        <f>O5*N8/100</f>
        <v>1827.2</v>
      </c>
      <c r="Q11">
        <f>O5*(100-N8)/100</f>
        <v>456.8</v>
      </c>
    </row>
    <row r="12" spans="1:17" ht="14.25" customHeight="1" x14ac:dyDescent="0.75">
      <c r="A12" s="14"/>
      <c r="B12" s="54" t="s">
        <v>525</v>
      </c>
      <c r="C12" s="54"/>
      <c r="D12" s="54"/>
      <c r="F12" s="1" t="s">
        <v>258</v>
      </c>
      <c r="G12" s="451">
        <f>$C$6/SUM($C$6:$C$11)*$C$2*$C$4</f>
        <v>213574.28140924004</v>
      </c>
      <c r="H12" s="451">
        <f>$D$6/SUM($D$6:$D$11)*$D$2*$D$4</f>
        <v>52854.241358852225</v>
      </c>
    </row>
    <row r="13" spans="1:17" ht="14.25" customHeight="1" x14ac:dyDescent="0.75">
      <c r="A13" s="491" t="s">
        <v>523</v>
      </c>
      <c r="B13" s="427" t="s">
        <v>259</v>
      </c>
      <c r="C13" s="433">
        <v>0.46</v>
      </c>
      <c r="D13" s="433">
        <v>0.5</v>
      </c>
      <c r="E13" s="497" t="s">
        <v>249</v>
      </c>
      <c r="F13" s="22" t="s">
        <v>251</v>
      </c>
      <c r="G13" s="451">
        <f>$C$10/SUM($C$6:$C$11)*$C$2*$C$4</f>
        <v>32036.142211385999</v>
      </c>
      <c r="H13" s="451">
        <f>$D$10/SUM($D$6:$D$11)*$D$2*$D$4</f>
        <v>359408.84124019515</v>
      </c>
    </row>
    <row r="14" spans="1:17" ht="14.25" customHeight="1" x14ac:dyDescent="0.75">
      <c r="A14" s="492"/>
      <c r="B14" s="427" t="s">
        <v>260</v>
      </c>
      <c r="C14" s="433">
        <v>0</v>
      </c>
      <c r="D14" s="433">
        <v>0</v>
      </c>
      <c r="E14" s="497"/>
      <c r="F14" s="22" t="s">
        <v>261</v>
      </c>
      <c r="G14" s="452">
        <f t="shared" ref="G14:H14" si="1">C11/SUM(C6:C11)*C2*C4</f>
        <v>16018.071105692999</v>
      </c>
      <c r="H14" s="452">
        <f t="shared" si="1"/>
        <v>0</v>
      </c>
    </row>
    <row r="15" spans="1:17" ht="14.25" customHeight="1" x14ac:dyDescent="0.75">
      <c r="A15" s="492"/>
      <c r="B15" s="427" t="s">
        <v>262</v>
      </c>
      <c r="C15" s="433">
        <v>0</v>
      </c>
      <c r="D15" s="433">
        <v>0</v>
      </c>
      <c r="E15" s="497"/>
      <c r="F15" s="22" t="s">
        <v>181</v>
      </c>
      <c r="G15" s="452">
        <f t="shared" ref="G15:H15" si="2">C2*C4</f>
        <v>523256.98945263814</v>
      </c>
      <c r="H15" s="452">
        <f t="shared" si="2"/>
        <v>523256.98945263703</v>
      </c>
    </row>
    <row r="16" spans="1:17" ht="14.25" customHeight="1" x14ac:dyDescent="0.75">
      <c r="A16" s="492"/>
      <c r="B16" s="427" t="s">
        <v>263</v>
      </c>
      <c r="C16" s="433">
        <v>7.0000000000000007E-2</v>
      </c>
      <c r="D16" s="433">
        <v>0.02</v>
      </c>
      <c r="E16" s="497"/>
      <c r="G16" s="451">
        <f t="shared" ref="G16:H16" si="3">SUM(G12:G14)</f>
        <v>261628.49472631904</v>
      </c>
      <c r="H16" s="451">
        <f t="shared" si="3"/>
        <v>412263.0825990474</v>
      </c>
    </row>
    <row r="17" spans="1:5" ht="14.25" customHeight="1" x14ac:dyDescent="0.75">
      <c r="A17" s="492"/>
      <c r="B17" s="427" t="s">
        <v>264</v>
      </c>
      <c r="C17" s="433">
        <v>7.0000000000000007E-2</v>
      </c>
      <c r="D17" s="433">
        <v>0</v>
      </c>
      <c r="E17" s="497"/>
    </row>
    <row r="18" spans="1:5" ht="14.25" customHeight="1" x14ac:dyDescent="0.75">
      <c r="A18" s="492"/>
      <c r="B18" s="427" t="s">
        <v>265</v>
      </c>
      <c r="C18" s="433">
        <v>0</v>
      </c>
      <c r="D18" s="433">
        <v>0</v>
      </c>
      <c r="E18" s="497"/>
    </row>
    <row r="19" spans="1:5" ht="14.25" customHeight="1" x14ac:dyDescent="0.75">
      <c r="A19" s="492"/>
      <c r="B19" s="427" t="s">
        <v>266</v>
      </c>
      <c r="C19" s="433">
        <v>0</v>
      </c>
      <c r="D19" s="433">
        <v>0</v>
      </c>
      <c r="E19" s="497"/>
    </row>
    <row r="20" spans="1:5" ht="14.25" customHeight="1" x14ac:dyDescent="0.75">
      <c r="A20" s="492"/>
      <c r="B20" s="427" t="s">
        <v>267</v>
      </c>
      <c r="C20" s="433">
        <v>0.13</v>
      </c>
      <c r="D20" s="433">
        <v>0.2</v>
      </c>
      <c r="E20" s="497"/>
    </row>
    <row r="21" spans="1:5" ht="14.25" customHeight="1" x14ac:dyDescent="0.75">
      <c r="A21" s="492"/>
      <c r="B21" s="435" t="s">
        <v>268</v>
      </c>
      <c r="C21" s="433">
        <v>0.12000000000000001</v>
      </c>
      <c r="D21" s="444">
        <v>0.23</v>
      </c>
      <c r="E21" s="497"/>
    </row>
    <row r="22" spans="1:5" ht="14.25" customHeight="1" x14ac:dyDescent="0.75">
      <c r="A22" s="492"/>
      <c r="B22" s="436" t="s">
        <v>269</v>
      </c>
      <c r="C22" s="434">
        <v>0.12</v>
      </c>
      <c r="D22" s="443">
        <v>0.04</v>
      </c>
      <c r="E22" s="497"/>
    </row>
    <row r="23" spans="1:5" ht="14.25" customHeight="1" x14ac:dyDescent="0.75">
      <c r="A23" s="492"/>
      <c r="B23" s="436" t="s">
        <v>553</v>
      </c>
      <c r="C23" s="434">
        <v>0.02</v>
      </c>
      <c r="D23" s="443">
        <v>0.01</v>
      </c>
      <c r="E23" s="497"/>
    </row>
    <row r="24" spans="1:5" ht="14.25" customHeight="1" x14ac:dyDescent="0.75">
      <c r="A24" s="492"/>
      <c r="B24" s="437" t="s">
        <v>575</v>
      </c>
      <c r="C24" s="434">
        <v>0</v>
      </c>
      <c r="D24" s="438">
        <v>0</v>
      </c>
      <c r="E24" s="497"/>
    </row>
    <row r="25" spans="1:5" ht="14.25" customHeight="1" x14ac:dyDescent="0.75">
      <c r="A25" s="492"/>
      <c r="B25" s="437" t="s">
        <v>576</v>
      </c>
      <c r="C25" s="443">
        <v>0.01</v>
      </c>
      <c r="D25" s="438">
        <v>2.7959999999999999E-3</v>
      </c>
      <c r="E25" s="497"/>
    </row>
    <row r="26" spans="1:5" ht="14.25" customHeight="1" x14ac:dyDescent="0.75">
      <c r="A26" s="439"/>
      <c r="B26" s="440" t="s">
        <v>270</v>
      </c>
      <c r="C26" s="441">
        <f>SUM(C13:C25)</f>
        <v>1</v>
      </c>
      <c r="D26" s="442">
        <f>SUM(D13:D25)</f>
        <v>1.002796</v>
      </c>
      <c r="E26" s="23" t="s">
        <v>524</v>
      </c>
    </row>
    <row r="27" spans="1:5" ht="14.25" customHeight="1" x14ac:dyDescent="0.75">
      <c r="B27" s="11"/>
    </row>
    <row r="28" spans="1:5" ht="14.25" customHeight="1" x14ac:dyDescent="0.75">
      <c r="B28" s="156" t="s">
        <v>521</v>
      </c>
      <c r="C28" s="60"/>
      <c r="D28" s="60"/>
    </row>
    <row r="29" spans="1:5" ht="14.25" customHeight="1" x14ac:dyDescent="0.75">
      <c r="B29" s="326" t="s">
        <v>271</v>
      </c>
      <c r="C29" s="327" t="s">
        <v>45</v>
      </c>
      <c r="D29" s="328" t="s">
        <v>47</v>
      </c>
    </row>
    <row r="30" spans="1:5" ht="14.25" customHeight="1" x14ac:dyDescent="0.75">
      <c r="B30" s="329" t="s">
        <v>30</v>
      </c>
      <c r="C30" s="330">
        <f>C$2*C$4*C16/SUM(C13:C25)</f>
        <v>36627.98926168467</v>
      </c>
      <c r="D30" s="330">
        <f>D$2*D$4*D16/SUM(D13:D25)</f>
        <v>10435.960842537006</v>
      </c>
      <c r="E30" s="1" t="s">
        <v>272</v>
      </c>
    </row>
    <row r="31" spans="1:5" ht="14.25" customHeight="1" x14ac:dyDescent="0.75">
      <c r="B31" s="331" t="s">
        <v>32</v>
      </c>
      <c r="C31" s="467">
        <f>C$2*C$4*C23/SUM(C13:C25)</f>
        <v>10465.139789052762</v>
      </c>
      <c r="D31" s="468">
        <f>D$2*D$4*D23/SUM(D13:D25)</f>
        <v>5217.9804212685031</v>
      </c>
      <c r="E31" s="127" t="s">
        <v>554</v>
      </c>
    </row>
    <row r="32" spans="1:5" ht="14.25" customHeight="1" x14ac:dyDescent="0.75">
      <c r="B32" s="329" t="s">
        <v>34</v>
      </c>
      <c r="C32" s="330">
        <f>C2*C4*SUM(C13:C15,C18,C20)/SUM(C13:C25)</f>
        <v>308721.62377705652</v>
      </c>
      <c r="D32" s="330">
        <f>D2*D4*SUM(D13:D15,D18,D20)/SUM(D13:D25)</f>
        <v>365258.62948879524</v>
      </c>
      <c r="E32" s="1" t="s">
        <v>273</v>
      </c>
    </row>
    <row r="33" spans="2:5" ht="14.25" customHeight="1" x14ac:dyDescent="0.75">
      <c r="B33" s="329" t="s">
        <v>36</v>
      </c>
      <c r="C33" s="330">
        <f t="shared" ref="C33:D33" si="4">C2*C4*C17/SUM(C13:C25)</f>
        <v>36627.98926168467</v>
      </c>
      <c r="D33" s="330">
        <f t="shared" si="4"/>
        <v>0</v>
      </c>
      <c r="E33" s="1" t="s">
        <v>274</v>
      </c>
    </row>
    <row r="34" spans="2:5" ht="14.25" customHeight="1" x14ac:dyDescent="0.75">
      <c r="B34" s="331" t="s">
        <v>38</v>
      </c>
      <c r="C34" s="330">
        <v>0</v>
      </c>
      <c r="D34" s="330">
        <v>0</v>
      </c>
      <c r="E34" s="1" t="s">
        <v>275</v>
      </c>
    </row>
    <row r="35" spans="2:5" ht="14.25" customHeight="1" x14ac:dyDescent="0.75">
      <c r="B35" s="331" t="s">
        <v>40</v>
      </c>
      <c r="C35" s="330">
        <v>0</v>
      </c>
      <c r="D35" s="330">
        <v>0</v>
      </c>
      <c r="E35" s="1" t="s">
        <v>275</v>
      </c>
    </row>
    <row r="36" spans="2:5" ht="14.25" customHeight="1" x14ac:dyDescent="0.75">
      <c r="B36" s="331" t="s">
        <v>41</v>
      </c>
      <c r="C36" s="330">
        <v>0</v>
      </c>
      <c r="D36" s="330">
        <v>0</v>
      </c>
      <c r="E36" s="1" t="s">
        <v>275</v>
      </c>
    </row>
    <row r="37" spans="2:5" ht="14.25" customHeight="1" x14ac:dyDescent="0.75">
      <c r="B37" s="331" t="s">
        <v>42</v>
      </c>
      <c r="C37" s="330">
        <v>0</v>
      </c>
      <c r="D37" s="330">
        <v>0</v>
      </c>
      <c r="E37" s="1" t="s">
        <v>275</v>
      </c>
    </row>
    <row r="38" spans="2:5" ht="14.25" customHeight="1" x14ac:dyDescent="0.75">
      <c r="B38" s="329" t="s">
        <v>43</v>
      </c>
      <c r="C38" s="330">
        <f t="shared" ref="C38:D38" si="5">C2*C4*C22/SUM(C13:C25)</f>
        <v>62790.838734316574</v>
      </c>
      <c r="D38" s="330">
        <f t="shared" si="5"/>
        <v>20871.921685074012</v>
      </c>
      <c r="E38" s="1" t="s">
        <v>276</v>
      </c>
    </row>
    <row r="39" spans="2:5" ht="14.25" customHeight="1" x14ac:dyDescent="0.75">
      <c r="B39" s="329" t="s">
        <v>45</v>
      </c>
      <c r="C39" s="330">
        <v>0</v>
      </c>
      <c r="D39" s="330">
        <v>0</v>
      </c>
      <c r="E39" s="1" t="s">
        <v>277</v>
      </c>
    </row>
    <row r="40" spans="2:5" ht="14.25" customHeight="1" x14ac:dyDescent="0.75">
      <c r="B40" s="329" t="s">
        <v>47</v>
      </c>
      <c r="C40" s="330">
        <v>0</v>
      </c>
      <c r="D40" s="330">
        <v>0</v>
      </c>
      <c r="E40" s="1" t="s">
        <v>277</v>
      </c>
    </row>
    <row r="41" spans="2:5" ht="14.25" customHeight="1" x14ac:dyDescent="0.75">
      <c r="B41" s="329" t="s">
        <v>48</v>
      </c>
      <c r="C41" s="330">
        <f t="shared" ref="C41:D41" si="6">C2*C4*C19/SUM(C13:C25)</f>
        <v>0</v>
      </c>
      <c r="D41" s="330">
        <f t="shared" si="6"/>
        <v>0</v>
      </c>
      <c r="E41" s="1" t="s">
        <v>278</v>
      </c>
    </row>
    <row r="42" spans="2:5" ht="14.25" customHeight="1" x14ac:dyDescent="0.75">
      <c r="B42" s="329" t="s">
        <v>50</v>
      </c>
      <c r="C42" s="330">
        <v>0</v>
      </c>
      <c r="D42" s="330">
        <v>0</v>
      </c>
      <c r="E42" s="1" t="s">
        <v>279</v>
      </c>
    </row>
    <row r="43" spans="2:5" ht="14.25" customHeight="1" x14ac:dyDescent="0.75">
      <c r="B43" s="329" t="s">
        <v>52</v>
      </c>
      <c r="C43" s="330">
        <v>0</v>
      </c>
      <c r="D43" s="330">
        <v>0</v>
      </c>
      <c r="E43" s="1" t="s">
        <v>280</v>
      </c>
    </row>
    <row r="44" spans="2:5" ht="14.25" customHeight="1" x14ac:dyDescent="0.75">
      <c r="B44" s="329" t="s">
        <v>54</v>
      </c>
      <c r="C44" s="330">
        <v>0</v>
      </c>
      <c r="D44" s="330">
        <v>0</v>
      </c>
      <c r="E44" s="1" t="s">
        <v>281</v>
      </c>
    </row>
    <row r="45" spans="2:5" ht="14.25" customHeight="1" x14ac:dyDescent="0.75">
      <c r="B45" s="329" t="s">
        <v>57</v>
      </c>
      <c r="C45" s="330">
        <f>C2*C4*C25/SUM(C13:C25)</f>
        <v>5232.5698945263812</v>
      </c>
      <c r="D45" s="330">
        <f>D2*D4*D25/SUM(D13:D25)</f>
        <v>1458.9473257866734</v>
      </c>
      <c r="E45" s="1" t="s">
        <v>282</v>
      </c>
    </row>
    <row r="46" spans="2:5" ht="14.25" customHeight="1" x14ac:dyDescent="0.75">
      <c r="B46" s="333" t="s">
        <v>59</v>
      </c>
      <c r="C46" s="330">
        <f>C2*C4*C21/SUM(C13:C25)</f>
        <v>62790.838734316581</v>
      </c>
      <c r="D46" s="330">
        <f>D2*D4*D21/SUM(D13:D25)</f>
        <v>120013.54968917559</v>
      </c>
      <c r="E46" s="1" t="s">
        <v>283</v>
      </c>
    </row>
    <row r="47" spans="2:5" ht="14.25" customHeight="1" x14ac:dyDescent="0.75">
      <c r="B47" s="329" t="s">
        <v>61</v>
      </c>
      <c r="C47" s="330">
        <f>SUM(C30:C46)</f>
        <v>523256.98945263814</v>
      </c>
      <c r="D47" s="334">
        <f t="shared" ref="D47" si="7">SUM(D30:D46)</f>
        <v>523256.98945263703</v>
      </c>
      <c r="E47" s="1" t="s">
        <v>284</v>
      </c>
    </row>
    <row r="48" spans="2:5" ht="14.25" customHeight="1" x14ac:dyDescent="0.75">
      <c r="B48" s="329" t="s">
        <v>63</v>
      </c>
      <c r="C48" s="335">
        <f>C2*C4</f>
        <v>523256.98945263814</v>
      </c>
      <c r="D48" s="336">
        <f>D2*D4</f>
        <v>523256.98945263703</v>
      </c>
      <c r="E48" s="1" t="s">
        <v>285</v>
      </c>
    </row>
    <row r="49" spans="2:14" ht="14.25" customHeight="1" x14ac:dyDescent="0.75">
      <c r="B49" s="329" t="s">
        <v>65</v>
      </c>
      <c r="C49" s="330">
        <f t="shared" ref="C49:D49" si="8">C48-C47</f>
        <v>0</v>
      </c>
      <c r="D49" s="334">
        <f t="shared" si="8"/>
        <v>0</v>
      </c>
    </row>
    <row r="50" spans="2:14" ht="14.25" customHeight="1" x14ac:dyDescent="0.75">
      <c r="B50" s="337" t="s">
        <v>67</v>
      </c>
      <c r="C50" s="338">
        <f t="shared" ref="C50:D50" si="9">C49/C48</f>
        <v>0</v>
      </c>
      <c r="D50" s="339">
        <f t="shared" si="9"/>
        <v>0</v>
      </c>
    </row>
    <row r="51" spans="2:14" ht="14.25" customHeight="1" x14ac:dyDescent="0.75"/>
    <row r="52" spans="2:14" ht="14.25" customHeight="1" x14ac:dyDescent="0.75"/>
    <row r="53" spans="2:14" ht="14.25" customHeight="1" x14ac:dyDescent="0.75"/>
    <row r="54" spans="2:14" ht="14.25" customHeight="1" x14ac:dyDescent="0.75"/>
    <row r="55" spans="2:14" ht="14.25" customHeight="1" x14ac:dyDescent="0.75">
      <c r="B55" s="23" t="s">
        <v>522</v>
      </c>
      <c r="I55" s="23" t="s">
        <v>522</v>
      </c>
    </row>
    <row r="56" spans="2:14" ht="14.25" customHeight="1" x14ac:dyDescent="0.75">
      <c r="B56" s="33" t="s">
        <v>0</v>
      </c>
      <c r="C56" s="34" t="s">
        <v>1</v>
      </c>
      <c r="D56" s="35" t="s">
        <v>2</v>
      </c>
      <c r="E56" s="35" t="s">
        <v>3</v>
      </c>
      <c r="F56" s="35" t="s">
        <v>4</v>
      </c>
      <c r="G56" s="35" t="s">
        <v>5</v>
      </c>
      <c r="I56" s="33" t="s">
        <v>0</v>
      </c>
      <c r="J56" s="34" t="s">
        <v>1</v>
      </c>
      <c r="K56" s="35" t="s">
        <v>2</v>
      </c>
      <c r="L56" s="35" t="s">
        <v>3</v>
      </c>
      <c r="M56" s="35" t="s">
        <v>4</v>
      </c>
      <c r="N56" s="35" t="s">
        <v>5</v>
      </c>
    </row>
    <row r="57" spans="2:14" ht="14.25" customHeight="1" x14ac:dyDescent="0.75">
      <c r="B57" s="181" t="str">
        <f t="shared" ref="B57:C57" si="10">B2</f>
        <v>What is the population of the communities constituting this local economy? (Number of people)</v>
      </c>
      <c r="C57" s="325">
        <f t="shared" si="10"/>
        <v>7764</v>
      </c>
      <c r="D57" s="181" t="s">
        <v>287</v>
      </c>
      <c r="E57" s="181">
        <v>0</v>
      </c>
      <c r="F57" s="181">
        <v>1000000</v>
      </c>
      <c r="G57" s="181">
        <v>1</v>
      </c>
      <c r="I57" s="181" t="str">
        <f>B2</f>
        <v>What is the population of the communities constituting this local economy? (Number of people)</v>
      </c>
      <c r="J57" s="324">
        <f>D2</f>
        <v>1941</v>
      </c>
      <c r="K57" s="181" t="s">
        <v>286</v>
      </c>
      <c r="L57" s="181">
        <v>0</v>
      </c>
      <c r="M57" s="181">
        <v>1000000</v>
      </c>
      <c r="N57" s="181">
        <v>1</v>
      </c>
    </row>
    <row r="58" spans="2:14" ht="14.25" customHeight="1" x14ac:dyDescent="0.75">
      <c r="B58" s="181" t="str">
        <f t="shared" ref="B58:C58" si="11">B3</f>
        <v>How many households are in this local economy? (Number of households)</v>
      </c>
      <c r="C58" s="325">
        <f t="shared" si="11"/>
        <v>1827.2</v>
      </c>
      <c r="D58" s="181" t="s">
        <v>289</v>
      </c>
      <c r="E58" s="181">
        <v>0</v>
      </c>
      <c r="F58" s="181">
        <v>1000000</v>
      </c>
      <c r="G58" s="181">
        <v>1</v>
      </c>
      <c r="I58" s="181" t="str">
        <f>B3</f>
        <v>How many households are in this local economy? (Number of households)</v>
      </c>
      <c r="J58" s="324">
        <f>D3</f>
        <v>456.8</v>
      </c>
      <c r="K58" s="181" t="s">
        <v>288</v>
      </c>
      <c r="L58" s="181">
        <v>0</v>
      </c>
      <c r="M58" s="181">
        <v>1000000</v>
      </c>
      <c r="N58" s="181">
        <v>1</v>
      </c>
    </row>
    <row r="59" spans="2:14" ht="14.25" customHeight="1" x14ac:dyDescent="0.75">
      <c r="B59" s="181" t="str">
        <f t="shared" ref="B59:C59" si="12">B4</f>
        <v>About what is the average annual per-capita income of households in this region (US$)?</v>
      </c>
      <c r="C59" s="325">
        <f t="shared" si="12"/>
        <v>67.395284576589148</v>
      </c>
      <c r="D59" s="181" t="s">
        <v>291</v>
      </c>
      <c r="E59" s="181">
        <v>0</v>
      </c>
      <c r="F59" s="181">
        <v>1000000</v>
      </c>
      <c r="G59" s="181">
        <v>1</v>
      </c>
      <c r="I59" s="181" t="str">
        <f>B4</f>
        <v>About what is the average annual per-capita income of households in this region (US$)?</v>
      </c>
      <c r="J59" s="325">
        <f>D4</f>
        <v>269.58113830635602</v>
      </c>
      <c r="K59" s="181" t="s">
        <v>290</v>
      </c>
      <c r="L59" s="181">
        <v>0</v>
      </c>
      <c r="M59" s="181">
        <v>1000000</v>
      </c>
      <c r="N59" s="181">
        <v>1</v>
      </c>
    </row>
    <row r="60" spans="2:14" ht="14.25" customHeight="1" x14ac:dyDescent="0.75">
      <c r="B60" s="181" t="str">
        <f t="shared" ref="B60:C60" si="13">B5</f>
        <v>About what is the average annual government transfers (e.g., SCTs) to households in this region?</v>
      </c>
      <c r="C60" s="325">
        <f t="shared" si="13"/>
        <v>1.3479056915317831</v>
      </c>
      <c r="D60" s="181" t="s">
        <v>293</v>
      </c>
      <c r="E60" s="181">
        <v>0</v>
      </c>
      <c r="F60" s="181">
        <v>1000000</v>
      </c>
      <c r="G60" s="181">
        <v>1</v>
      </c>
      <c r="I60" s="181" t="str">
        <f>B5</f>
        <v>About what is the average annual government transfers (e.g., SCTs) to households in this region?</v>
      </c>
      <c r="J60" s="325">
        <f>D5</f>
        <v>2.6958113830635604</v>
      </c>
      <c r="K60" s="181" t="s">
        <v>292</v>
      </c>
      <c r="L60" s="181">
        <v>0</v>
      </c>
      <c r="M60" s="181">
        <v>1000000</v>
      </c>
      <c r="N60" s="181">
        <v>1</v>
      </c>
    </row>
    <row r="61" spans="2:14" ht="14.25" customHeight="1" x14ac:dyDescent="0.75">
      <c r="B61" s="33" t="s">
        <v>0</v>
      </c>
      <c r="C61" s="34" t="s">
        <v>1</v>
      </c>
      <c r="D61" s="35" t="s">
        <v>2</v>
      </c>
      <c r="E61" s="35" t="s">
        <v>3</v>
      </c>
      <c r="F61" s="35" t="s">
        <v>4</v>
      </c>
      <c r="G61" s="35" t="s">
        <v>5</v>
      </c>
      <c r="I61" s="33" t="s">
        <v>0</v>
      </c>
      <c r="J61" s="34" t="s">
        <v>1</v>
      </c>
      <c r="K61" s="35" t="s">
        <v>2</v>
      </c>
      <c r="L61" s="35" t="s">
        <v>3</v>
      </c>
      <c r="M61" s="35" t="s">
        <v>4</v>
      </c>
      <c r="N61" s="35" t="s">
        <v>5</v>
      </c>
    </row>
    <row r="62" spans="2:14" ht="14.25" customHeight="1" x14ac:dyDescent="0.75">
      <c r="B62" s="181" t="str">
        <f t="shared" ref="B62:B68" si="14">B6</f>
        <v>About what % of household income comes from wages earned by male unskilled workers in the household?</v>
      </c>
      <c r="C62" s="181">
        <f t="shared" ref="C62:C67" si="15">C6*100</f>
        <v>40</v>
      </c>
      <c r="D62" s="181" t="s">
        <v>371</v>
      </c>
      <c r="E62" s="181">
        <v>0</v>
      </c>
      <c r="F62" s="181">
        <v>100</v>
      </c>
      <c r="G62" s="181">
        <v>0.01</v>
      </c>
      <c r="I62" s="181" t="str">
        <f>B62</f>
        <v>About what % of household income comes from wages earned by male unskilled workers in the household?</v>
      </c>
      <c r="J62" s="181">
        <f t="shared" ref="J62:J67" si="16">D6*100</f>
        <v>10</v>
      </c>
      <c r="K62" s="181" t="s">
        <v>375</v>
      </c>
      <c r="L62" s="181">
        <v>0</v>
      </c>
      <c r="M62" s="181">
        <v>100</v>
      </c>
      <c r="N62" s="181">
        <v>0.01</v>
      </c>
    </row>
    <row r="63" spans="2:14" ht="14.25" customHeight="1" x14ac:dyDescent="0.75">
      <c r="B63" s="181" t="str">
        <f t="shared" si="14"/>
        <v>About what % of household income comes from wages earned by male skilled workers in the household?</v>
      </c>
      <c r="C63" s="181">
        <f t="shared" si="15"/>
        <v>7.0000000000000009</v>
      </c>
      <c r="D63" s="181" t="s">
        <v>372</v>
      </c>
      <c r="E63" s="181">
        <v>0</v>
      </c>
      <c r="F63" s="181">
        <v>100</v>
      </c>
      <c r="G63" s="181">
        <v>0.01</v>
      </c>
      <c r="I63" s="181" t="str">
        <f t="shared" ref="I63:I67" si="17">B63</f>
        <v>About what % of household income comes from wages earned by male skilled workers in the household?</v>
      </c>
      <c r="J63" s="181">
        <f t="shared" si="16"/>
        <v>10</v>
      </c>
      <c r="K63" s="181" t="s">
        <v>376</v>
      </c>
      <c r="L63" s="181">
        <v>0</v>
      </c>
      <c r="M63" s="181">
        <v>100</v>
      </c>
      <c r="N63" s="181">
        <v>0.01</v>
      </c>
    </row>
    <row r="64" spans="2:14" ht="14.25" customHeight="1" x14ac:dyDescent="0.75">
      <c r="B64" s="181" t="str">
        <f t="shared" si="14"/>
        <v>About what % of household income comes from wages earned by female unskilled workers in the household?</v>
      </c>
      <c r="C64" s="181">
        <f t="shared" si="15"/>
        <v>38</v>
      </c>
      <c r="D64" s="181" t="s">
        <v>373</v>
      </c>
      <c r="E64" s="181">
        <v>0</v>
      </c>
      <c r="F64" s="181">
        <v>100</v>
      </c>
      <c r="G64" s="181">
        <v>0.01</v>
      </c>
      <c r="I64" s="181" t="str">
        <f t="shared" si="17"/>
        <v>About what % of household income comes from wages earned by female unskilled workers in the household?</v>
      </c>
      <c r="J64" s="181">
        <f t="shared" si="16"/>
        <v>10</v>
      </c>
      <c r="K64" s="181" t="s">
        <v>377</v>
      </c>
      <c r="L64" s="181">
        <v>0</v>
      </c>
      <c r="M64" s="181">
        <v>100</v>
      </c>
      <c r="N64" s="181">
        <v>0.01</v>
      </c>
    </row>
    <row r="65" spans="2:14" ht="14.25" customHeight="1" x14ac:dyDescent="0.75">
      <c r="B65" s="181" t="str">
        <f t="shared" si="14"/>
        <v>About what % of household income comes from wages earned by female skilled workers in the household?</v>
      </c>
      <c r="C65" s="181">
        <f t="shared" si="15"/>
        <v>4</v>
      </c>
      <c r="D65" s="181" t="s">
        <v>374</v>
      </c>
      <c r="E65" s="181">
        <v>0</v>
      </c>
      <c r="F65" s="181">
        <v>100</v>
      </c>
      <c r="G65" s="181">
        <v>0.01</v>
      </c>
      <c r="I65" s="181" t="str">
        <f t="shared" si="17"/>
        <v>About what % of household income comes from wages earned by female skilled workers in the household?</v>
      </c>
      <c r="J65" s="181">
        <f t="shared" si="16"/>
        <v>1</v>
      </c>
      <c r="K65" s="181" t="s">
        <v>378</v>
      </c>
      <c r="L65" s="181">
        <v>0</v>
      </c>
      <c r="M65" s="181">
        <v>100</v>
      </c>
      <c r="N65" s="181">
        <v>0.01</v>
      </c>
    </row>
    <row r="66" spans="2:14" ht="14.25" customHeight="1" x14ac:dyDescent="0.75">
      <c r="B66" s="181" t="str">
        <f t="shared" si="14"/>
        <v>About what % of household incomes comes from profits from household-owned farms or businesses or renting property the household owns?</v>
      </c>
      <c r="C66" s="181">
        <f t="shared" si="15"/>
        <v>6</v>
      </c>
      <c r="D66" s="181" t="s">
        <v>295</v>
      </c>
      <c r="E66" s="181">
        <v>0</v>
      </c>
      <c r="F66" s="181">
        <v>100</v>
      </c>
      <c r="G66" s="181">
        <v>0.01</v>
      </c>
      <c r="I66" s="181" t="str">
        <f t="shared" si="17"/>
        <v>About what % of household incomes comes from profits from household-owned farms or businesses or renting property the household owns?</v>
      </c>
      <c r="J66" s="181">
        <f t="shared" si="16"/>
        <v>68</v>
      </c>
      <c r="K66" s="181" t="s">
        <v>294</v>
      </c>
      <c r="L66" s="181">
        <v>0</v>
      </c>
      <c r="M66" s="181">
        <v>100</v>
      </c>
      <c r="N66" s="181">
        <v>0.01</v>
      </c>
    </row>
    <row r="67" spans="2:14" ht="14.25" customHeight="1" x14ac:dyDescent="0.75">
      <c r="B67" s="181" t="str">
        <f t="shared" si="14"/>
        <v>About what % of household incomes comes from migrant remittances (domestic and foreign?</v>
      </c>
      <c r="C67" s="181">
        <f t="shared" si="15"/>
        <v>3</v>
      </c>
      <c r="D67" s="181" t="s">
        <v>297</v>
      </c>
      <c r="E67" s="181">
        <v>0</v>
      </c>
      <c r="F67" s="181">
        <v>100</v>
      </c>
      <c r="G67" s="181">
        <v>0.01</v>
      </c>
      <c r="I67" s="181" t="str">
        <f t="shared" si="17"/>
        <v>About what % of household incomes comes from migrant remittances (domestic and foreign?</v>
      </c>
      <c r="J67" s="181">
        <f t="shared" si="16"/>
        <v>0</v>
      </c>
      <c r="K67" s="181" t="s">
        <v>296</v>
      </c>
      <c r="L67" s="181">
        <v>0</v>
      </c>
      <c r="M67" s="181">
        <v>100</v>
      </c>
      <c r="N67" s="181">
        <v>0.01</v>
      </c>
    </row>
    <row r="68" spans="2:14" ht="14.25" customHeight="1" x14ac:dyDescent="0.75">
      <c r="B68" s="61" t="str">
        <f t="shared" si="14"/>
        <v>About what percentage of households' spending each month is on…</v>
      </c>
      <c r="C68" s="1">
        <f>C12</f>
        <v>0</v>
      </c>
      <c r="I68" s="61" t="str">
        <f>B12</f>
        <v>About what percentage of households' spending each month is on…</v>
      </c>
      <c r="J68" s="1">
        <f>D12</f>
        <v>0</v>
      </c>
    </row>
    <row r="69" spans="2:14" ht="14.25" customHeight="1" x14ac:dyDescent="0.75">
      <c r="B69" s="33" t="s">
        <v>0</v>
      </c>
      <c r="C69" s="34" t="s">
        <v>1</v>
      </c>
      <c r="D69" s="35" t="s">
        <v>2</v>
      </c>
      <c r="E69" s="35" t="s">
        <v>3</v>
      </c>
      <c r="F69" s="35" t="s">
        <v>4</v>
      </c>
      <c r="G69" s="35" t="s">
        <v>5</v>
      </c>
      <c r="I69" s="33" t="s">
        <v>0</v>
      </c>
      <c r="J69" s="34" t="s">
        <v>1</v>
      </c>
      <c r="K69" s="35" t="s">
        <v>2</v>
      </c>
      <c r="L69" s="35" t="s">
        <v>3</v>
      </c>
      <c r="M69" s="35" t="s">
        <v>4</v>
      </c>
      <c r="N69" s="35" t="s">
        <v>5</v>
      </c>
    </row>
    <row r="70" spans="2:14" ht="14.25" customHeight="1" x14ac:dyDescent="0.75">
      <c r="B70" s="181" t="str">
        <f t="shared" ref="B70:B79" si="18">B13</f>
        <v>Food bought from Local grocery stores</v>
      </c>
      <c r="C70" s="181">
        <f t="shared" ref="C70:C79" si="19">C13*100</f>
        <v>46</v>
      </c>
      <c r="D70" s="181" t="s">
        <v>299</v>
      </c>
      <c r="E70" s="181">
        <v>0</v>
      </c>
      <c r="F70" s="181">
        <v>100</v>
      </c>
      <c r="G70" s="181">
        <v>0.01</v>
      </c>
      <c r="I70" s="181" t="str">
        <f t="shared" ref="I70:I79" si="20">B13</f>
        <v>Food bought from Local grocery stores</v>
      </c>
      <c r="J70" s="181">
        <f t="shared" ref="J70:J79" si="21">D13*100</f>
        <v>50</v>
      </c>
      <c r="K70" s="181" t="s">
        <v>298</v>
      </c>
      <c r="L70" s="181">
        <v>0</v>
      </c>
      <c r="M70" s="181">
        <v>100</v>
      </c>
      <c r="N70" s="181">
        <v>0.01</v>
      </c>
    </row>
    <row r="71" spans="2:14" ht="14.25" customHeight="1" x14ac:dyDescent="0.75">
      <c r="B71" s="181" t="str">
        <f t="shared" si="18"/>
        <v>Other goods from local grocery stores</v>
      </c>
      <c r="C71" s="181">
        <f t="shared" si="19"/>
        <v>0</v>
      </c>
      <c r="D71" s="181" t="s">
        <v>301</v>
      </c>
      <c r="E71" s="181">
        <v>0</v>
      </c>
      <c r="F71" s="181">
        <v>100</v>
      </c>
      <c r="G71" s="181">
        <v>0.01</v>
      </c>
      <c r="I71" s="181" t="str">
        <f t="shared" si="20"/>
        <v>Other goods from local grocery stores</v>
      </c>
      <c r="J71" s="181">
        <f t="shared" si="21"/>
        <v>0</v>
      </c>
      <c r="K71" s="181" t="s">
        <v>300</v>
      </c>
      <c r="L71" s="181">
        <v>0</v>
      </c>
      <c r="M71" s="181">
        <v>100</v>
      </c>
      <c r="N71" s="181">
        <v>0.01</v>
      </c>
    </row>
    <row r="72" spans="2:14" ht="14.25" customHeight="1" x14ac:dyDescent="0.75">
      <c r="B72" s="181" t="str">
        <f t="shared" si="18"/>
        <v>Food from Periodic markets</v>
      </c>
      <c r="C72" s="181">
        <f t="shared" si="19"/>
        <v>0</v>
      </c>
      <c r="D72" s="181" t="s">
        <v>303</v>
      </c>
      <c r="E72" s="181">
        <v>0</v>
      </c>
      <c r="F72" s="181">
        <v>100</v>
      </c>
      <c r="G72" s="181">
        <v>0.01</v>
      </c>
      <c r="I72" s="181" t="str">
        <f t="shared" si="20"/>
        <v>Food from Periodic markets</v>
      </c>
      <c r="J72" s="181">
        <f t="shared" si="21"/>
        <v>0</v>
      </c>
      <c r="K72" s="181" t="s">
        <v>302</v>
      </c>
      <c r="L72" s="181">
        <v>0</v>
      </c>
      <c r="M72" s="181">
        <v>100</v>
      </c>
      <c r="N72" s="181">
        <v>0.01</v>
      </c>
    </row>
    <row r="73" spans="2:14" ht="14.25" customHeight="1" x14ac:dyDescent="0.75">
      <c r="B73" s="181" t="str">
        <f t="shared" si="18"/>
        <v>Buying food direct from local farmers or your own farm</v>
      </c>
      <c r="C73" s="181">
        <f t="shared" si="19"/>
        <v>7.0000000000000009</v>
      </c>
      <c r="D73" s="181" t="s">
        <v>305</v>
      </c>
      <c r="E73" s="181">
        <v>0</v>
      </c>
      <c r="F73" s="181">
        <v>100</v>
      </c>
      <c r="G73" s="181">
        <v>0.01</v>
      </c>
      <c r="I73" s="181" t="str">
        <f t="shared" si="20"/>
        <v>Buying food direct from local farmers or your own farm</v>
      </c>
      <c r="J73" s="181">
        <f t="shared" si="21"/>
        <v>2</v>
      </c>
      <c r="K73" s="181" t="s">
        <v>304</v>
      </c>
      <c r="L73" s="181">
        <v>0</v>
      </c>
      <c r="M73" s="181">
        <v>100</v>
      </c>
      <c r="N73" s="181">
        <v>0.01</v>
      </c>
    </row>
    <row r="74" spans="2:14" ht="14.25" customHeight="1" x14ac:dyDescent="0.75">
      <c r="B74" s="181" t="str">
        <f t="shared" si="18"/>
        <v>Buying local fish</v>
      </c>
      <c r="C74" s="181">
        <f t="shared" si="19"/>
        <v>7.0000000000000009</v>
      </c>
      <c r="D74" s="181" t="s">
        <v>307</v>
      </c>
      <c r="E74" s="181">
        <v>0</v>
      </c>
      <c r="F74" s="181">
        <v>100</v>
      </c>
      <c r="G74" s="181">
        <v>0.01</v>
      </c>
      <c r="I74" s="181" t="str">
        <f t="shared" si="20"/>
        <v>Buying local fish</v>
      </c>
      <c r="J74" s="181">
        <f t="shared" si="21"/>
        <v>0</v>
      </c>
      <c r="K74" s="181" t="s">
        <v>306</v>
      </c>
      <c r="L74" s="181">
        <v>0</v>
      </c>
      <c r="M74" s="181">
        <v>100</v>
      </c>
      <c r="N74" s="181">
        <v>0.01</v>
      </c>
    </row>
    <row r="75" spans="2:14" ht="14.25" customHeight="1" x14ac:dyDescent="0.75">
      <c r="B75" s="181" t="str">
        <f t="shared" si="18"/>
        <v>Buying from local food processors, including neighbors who sell foods they prepare for sale</v>
      </c>
      <c r="C75" s="181">
        <f t="shared" si="19"/>
        <v>0</v>
      </c>
      <c r="D75" s="181" t="s">
        <v>309</v>
      </c>
      <c r="E75" s="181">
        <v>0</v>
      </c>
      <c r="F75" s="181">
        <v>100</v>
      </c>
      <c r="G75" s="181">
        <v>0.01</v>
      </c>
      <c r="I75" s="181" t="str">
        <f t="shared" si="20"/>
        <v>Buying from local food processors, including neighbors who sell foods they prepare for sale</v>
      </c>
      <c r="J75" s="181">
        <f t="shared" si="21"/>
        <v>0</v>
      </c>
      <c r="K75" s="181" t="s">
        <v>308</v>
      </c>
      <c r="L75" s="181">
        <v>0</v>
      </c>
      <c r="M75" s="181">
        <v>100</v>
      </c>
      <c r="N75" s="181">
        <v>0.01</v>
      </c>
    </row>
    <row r="76" spans="2:14" ht="14.25" customHeight="1" x14ac:dyDescent="0.75">
      <c r="B76" s="181" t="str">
        <f t="shared" si="18"/>
        <v>Buying food and drink at local restaurants (food and drink)</v>
      </c>
      <c r="C76" s="181">
        <f t="shared" si="19"/>
        <v>0</v>
      </c>
      <c r="D76" s="181" t="s">
        <v>311</v>
      </c>
      <c r="E76" s="181">
        <v>0</v>
      </c>
      <c r="F76" s="181">
        <v>100</v>
      </c>
      <c r="G76" s="181">
        <v>0.01</v>
      </c>
      <c r="I76" s="181" t="str">
        <f t="shared" si="20"/>
        <v>Buying food and drink at local restaurants (food and drink)</v>
      </c>
      <c r="J76" s="181">
        <f t="shared" si="21"/>
        <v>0</v>
      </c>
      <c r="K76" s="181" t="s">
        <v>310</v>
      </c>
      <c r="L76" s="181">
        <v>0</v>
      </c>
      <c r="M76" s="181">
        <v>100</v>
      </c>
      <c r="N76" s="181">
        <v>0.01</v>
      </c>
    </row>
    <row r="77" spans="2:14" ht="14.25" customHeight="1" x14ac:dyDescent="0.75">
      <c r="B77" s="181" t="str">
        <f t="shared" si="18"/>
        <v>Things besides food that are sold by people or businesses in your community, including services</v>
      </c>
      <c r="C77" s="181">
        <f t="shared" si="19"/>
        <v>13</v>
      </c>
      <c r="D77" s="181" t="s">
        <v>313</v>
      </c>
      <c r="E77" s="181">
        <v>0</v>
      </c>
      <c r="F77" s="181">
        <v>100</v>
      </c>
      <c r="G77" s="181">
        <v>0.01</v>
      </c>
      <c r="I77" s="181" t="str">
        <f t="shared" si="20"/>
        <v>Things besides food that are sold by people or businesses in your community, including services</v>
      </c>
      <c r="J77" s="181">
        <f t="shared" si="21"/>
        <v>20</v>
      </c>
      <c r="K77" s="181" t="s">
        <v>312</v>
      </c>
      <c r="L77" s="181">
        <v>0</v>
      </c>
      <c r="M77" s="181">
        <v>100</v>
      </c>
      <c r="N77" s="181">
        <v>0.01</v>
      </c>
    </row>
    <row r="78" spans="2:14" ht="14.25" customHeight="1" x14ac:dyDescent="0.75">
      <c r="B78" s="181" t="str">
        <f t="shared" si="18"/>
        <v>Things you buy from businesses, etc., in places outside your community</v>
      </c>
      <c r="C78" s="181">
        <f t="shared" si="19"/>
        <v>12.000000000000002</v>
      </c>
      <c r="D78" s="181" t="s">
        <v>315</v>
      </c>
      <c r="E78" s="181">
        <v>0</v>
      </c>
      <c r="F78" s="181">
        <v>100</v>
      </c>
      <c r="G78" s="181">
        <v>0.01</v>
      </c>
      <c r="I78" s="181" t="str">
        <f t="shared" si="20"/>
        <v>Things you buy from businesses, etc., in places outside your community</v>
      </c>
      <c r="J78" s="181">
        <f t="shared" si="21"/>
        <v>23</v>
      </c>
      <c r="K78" s="181" t="s">
        <v>314</v>
      </c>
      <c r="L78" s="181">
        <v>0</v>
      </c>
      <c r="M78" s="181">
        <v>100</v>
      </c>
      <c r="N78" s="181">
        <v>0.01</v>
      </c>
    </row>
    <row r="79" spans="2:14" ht="14.25" customHeight="1" x14ac:dyDescent="0.75">
      <c r="B79" s="181" t="str">
        <f t="shared" si="18"/>
        <v>Rent (if household rents its house; don't include business rentals here)</v>
      </c>
      <c r="C79" s="181">
        <f t="shared" si="19"/>
        <v>12</v>
      </c>
      <c r="D79" s="181" t="s">
        <v>317</v>
      </c>
      <c r="E79" s="181">
        <v>0</v>
      </c>
      <c r="F79" s="181">
        <v>100</v>
      </c>
      <c r="G79" s="181">
        <v>0.01</v>
      </c>
      <c r="I79" s="181" t="str">
        <f t="shared" si="20"/>
        <v>Rent (if household rents its house; don't include business rentals here)</v>
      </c>
      <c r="J79" s="181">
        <f t="shared" si="21"/>
        <v>4</v>
      </c>
      <c r="K79" s="181" t="s">
        <v>316</v>
      </c>
      <c r="L79" s="181">
        <v>0</v>
      </c>
      <c r="M79" s="181">
        <v>100</v>
      </c>
      <c r="N79" s="181">
        <v>0.01</v>
      </c>
    </row>
    <row r="80" spans="2:14" ht="14.25" customHeight="1" x14ac:dyDescent="0.75">
      <c r="B80" s="181" t="str">
        <f t="shared" ref="B80:B81" si="22">B25</f>
        <v>Household federal income tax payments</v>
      </c>
      <c r="C80" s="181">
        <f t="shared" ref="C80:C81" si="23">C25*100</f>
        <v>1</v>
      </c>
      <c r="D80" s="181" t="s">
        <v>319</v>
      </c>
      <c r="E80" s="181">
        <v>0</v>
      </c>
      <c r="F80" s="181">
        <v>100</v>
      </c>
      <c r="G80" s="181">
        <v>0.01</v>
      </c>
      <c r="I80" s="181" t="str">
        <f t="shared" ref="I80:I81" si="24">B25</f>
        <v>Household federal income tax payments</v>
      </c>
      <c r="J80" s="181">
        <f t="shared" ref="J80:J81" si="25">D25*100</f>
        <v>0.27959999999999996</v>
      </c>
      <c r="K80" s="181" t="s">
        <v>318</v>
      </c>
      <c r="L80" s="181">
        <v>0</v>
      </c>
      <c r="M80" s="181">
        <v>100</v>
      </c>
      <c r="N80" s="181">
        <v>0.01</v>
      </c>
    </row>
    <row r="81" spans="2:11" ht="14.25" customHeight="1" x14ac:dyDescent="0.75">
      <c r="B81" s="1" t="str">
        <f t="shared" si="22"/>
        <v>Total (should equal 100%)</v>
      </c>
      <c r="C81" s="1">
        <f t="shared" si="23"/>
        <v>100</v>
      </c>
      <c r="I81" s="1" t="str">
        <f t="shared" si="24"/>
        <v>Total (should equal 100%)</v>
      </c>
      <c r="J81" s="1">
        <f t="shared" si="25"/>
        <v>100.2796</v>
      </c>
    </row>
    <row r="82" spans="2:11" ht="14.25" customHeight="1" x14ac:dyDescent="0.75"/>
    <row r="83" spans="2:11" ht="14.25" customHeight="1" x14ac:dyDescent="0.75">
      <c r="K83" s="102"/>
    </row>
    <row r="84" spans="2:11" ht="14.25" customHeight="1" x14ac:dyDescent="0.75"/>
    <row r="85" spans="2:11" ht="14.25" customHeight="1" x14ac:dyDescent="0.75"/>
    <row r="86" spans="2:11" ht="14.25" customHeight="1" x14ac:dyDescent="0.75">
      <c r="D86" s="102"/>
    </row>
    <row r="87" spans="2:11" ht="14.25" customHeight="1" x14ac:dyDescent="0.75"/>
    <row r="88" spans="2:11" ht="14.25" customHeight="1" x14ac:dyDescent="0.75"/>
    <row r="89" spans="2:11" ht="14.25" customHeight="1" x14ac:dyDescent="0.75"/>
    <row r="90" spans="2:11" ht="14.25" customHeight="1" x14ac:dyDescent="0.75"/>
    <row r="91" spans="2:11" ht="14.25" customHeight="1" x14ac:dyDescent="0.75"/>
    <row r="92" spans="2:11" ht="14.25" customHeight="1" x14ac:dyDescent="0.75"/>
    <row r="93" spans="2:11" ht="14.25" customHeight="1" x14ac:dyDescent="0.75"/>
    <row r="94" spans="2:11" ht="14.25" customHeight="1" x14ac:dyDescent="0.75"/>
    <row r="95" spans="2:11" ht="14.25" customHeight="1" x14ac:dyDescent="0.75"/>
    <row r="96" spans="2:11"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4.25" customHeight="1" x14ac:dyDescent="0.75"/>
    <row r="249" ht="14.25" customHeight="1" x14ac:dyDescent="0.75"/>
    <row r="250" ht="14.25" customHeight="1" x14ac:dyDescent="0.75"/>
    <row r="251" ht="14.25" customHeight="1" x14ac:dyDescent="0.75"/>
    <row r="252" ht="14.25" customHeight="1" x14ac:dyDescent="0.75"/>
    <row r="253" ht="14.25" customHeight="1" x14ac:dyDescent="0.75"/>
    <row r="254" ht="14.25" customHeight="1" x14ac:dyDescent="0.75"/>
    <row r="255" ht="14.25" customHeight="1" x14ac:dyDescent="0.75"/>
    <row r="256" ht="14.25" customHeight="1" x14ac:dyDescent="0.75"/>
    <row r="257" ht="14.25" customHeight="1" x14ac:dyDescent="0.75"/>
    <row r="258" ht="14.25" customHeight="1" x14ac:dyDescent="0.75"/>
    <row r="259" ht="14.25" customHeight="1" x14ac:dyDescent="0.75"/>
    <row r="260" ht="14.25" customHeight="1" x14ac:dyDescent="0.75"/>
    <row r="261" ht="14.25" customHeight="1" x14ac:dyDescent="0.75"/>
    <row r="262" ht="14.25" customHeight="1" x14ac:dyDescent="0.75"/>
    <row r="263" ht="14.25" customHeight="1" x14ac:dyDescent="0.75"/>
    <row r="264" ht="14.25" customHeight="1" x14ac:dyDescent="0.75"/>
    <row r="265" ht="14.25" customHeight="1" x14ac:dyDescent="0.75"/>
    <row r="266" ht="14.25" customHeight="1" x14ac:dyDescent="0.75"/>
    <row r="267" ht="14.25" customHeight="1" x14ac:dyDescent="0.75"/>
    <row r="268" ht="14.25" customHeight="1" x14ac:dyDescent="0.75"/>
    <row r="269" ht="14.25" customHeight="1" x14ac:dyDescent="0.75"/>
    <row r="270" ht="14.25" customHeight="1" x14ac:dyDescent="0.75"/>
    <row r="271" ht="14.25" customHeight="1" x14ac:dyDescent="0.75"/>
    <row r="272" ht="14.25" customHeight="1" x14ac:dyDescent="0.75"/>
    <row r="273" ht="14.25" customHeight="1" x14ac:dyDescent="0.75"/>
    <row r="274" ht="14.25" customHeight="1" x14ac:dyDescent="0.75"/>
    <row r="275" ht="14.25" customHeight="1" x14ac:dyDescent="0.75"/>
    <row r="276" ht="14.25" customHeight="1" x14ac:dyDescent="0.75"/>
    <row r="277" ht="14.25" customHeight="1" x14ac:dyDescent="0.75"/>
    <row r="278" ht="14.25" customHeight="1" x14ac:dyDescent="0.75"/>
    <row r="279" ht="14.25" customHeight="1" x14ac:dyDescent="0.75"/>
    <row r="280" ht="14.25" customHeight="1" x14ac:dyDescent="0.75"/>
    <row r="281" ht="14.2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workbookViewId="0">
      <pane xSplit="1" ySplit="2" topLeftCell="J6" activePane="bottomRight" state="frozen"/>
      <selection pane="topRight" activeCell="B1" sqref="B1"/>
      <selection pane="bottomLeft" activeCell="A3" sqref="A3"/>
      <selection pane="bottomRight" activeCell="S21" sqref="S21:S22"/>
    </sheetView>
  </sheetViews>
  <sheetFormatPr defaultColWidth="14.5" defaultRowHeight="15" customHeight="1" x14ac:dyDescent="0.75"/>
  <cols>
    <col min="1" max="1" width="15.5" customWidth="1"/>
    <col min="2" max="5" width="11.31640625" customWidth="1"/>
    <col min="6" max="10" width="10.81640625" customWidth="1"/>
    <col min="11" max="12" width="11.1796875" customWidth="1"/>
    <col min="13" max="14" width="10.81640625" customWidth="1"/>
    <col min="15" max="15" width="12.1796875" customWidth="1"/>
    <col min="16" max="18" width="10.81640625" customWidth="1"/>
    <col min="19" max="19" width="13.81640625" customWidth="1"/>
    <col min="20" max="20" width="14.5" customWidth="1"/>
    <col min="21" max="21" width="14.31640625" customWidth="1"/>
    <col min="22" max="22" width="10.5" customWidth="1"/>
    <col min="23" max="23" width="96.31640625" customWidth="1"/>
    <col min="24" max="32" width="8.5" customWidth="1"/>
  </cols>
  <sheetData>
    <row r="1" spans="1:32" ht="14.25" customHeight="1" x14ac:dyDescent="0.75">
      <c r="A1" s="63" t="s">
        <v>330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75">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331</v>
      </c>
      <c r="R2" s="77" t="s">
        <v>570</v>
      </c>
      <c r="S2" s="65" t="s">
        <v>57</v>
      </c>
      <c r="T2" s="66" t="s">
        <v>59</v>
      </c>
      <c r="U2" s="67" t="s">
        <v>181</v>
      </c>
      <c r="V2" s="68" t="s">
        <v>332</v>
      </c>
      <c r="W2" s="68" t="s">
        <v>333</v>
      </c>
      <c r="X2" s="59"/>
      <c r="Y2" s="59"/>
      <c r="Z2" s="59"/>
      <c r="AA2" s="59"/>
      <c r="AB2" s="59"/>
      <c r="AC2" s="59"/>
      <c r="AD2" s="59"/>
      <c r="AE2" s="59"/>
      <c r="AF2" s="59"/>
    </row>
    <row r="3" spans="1:32" ht="14.25" customHeight="1" x14ac:dyDescent="0.75">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75">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c r="S4" s="72"/>
      <c r="T4" s="72"/>
      <c r="U4" s="70">
        <f t="shared" si="0"/>
        <v>489914.32982571534</v>
      </c>
      <c r="V4" s="52">
        <f>U4/C22</f>
        <v>1</v>
      </c>
      <c r="W4" s="52"/>
      <c r="X4" s="59"/>
      <c r="Y4" s="59"/>
      <c r="Z4" s="59"/>
      <c r="AA4" s="59"/>
      <c r="AB4" s="59"/>
      <c r="AC4" s="59"/>
      <c r="AD4" s="59"/>
      <c r="AE4" s="59"/>
      <c r="AF4" s="59"/>
    </row>
    <row r="5" spans="1:32" ht="14.25" customHeight="1" x14ac:dyDescent="0.75">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c r="S5" s="72">
        <v>0</v>
      </c>
      <c r="T5" s="72">
        <v>0</v>
      </c>
      <c r="U5" s="70">
        <f t="shared" si="0"/>
        <v>1513066.4782892461</v>
      </c>
      <c r="V5" s="52">
        <f>U5/D22</f>
        <v>1.0091558477717528</v>
      </c>
      <c r="W5" s="52"/>
      <c r="X5" s="59"/>
      <c r="Y5" s="59"/>
      <c r="Z5" s="59"/>
      <c r="AA5" s="59"/>
      <c r="AB5" s="59"/>
      <c r="AC5" s="59"/>
      <c r="AD5" s="59"/>
      <c r="AE5" s="59"/>
      <c r="AF5" s="59"/>
    </row>
    <row r="6" spans="1:32" ht="14.25" customHeight="1" x14ac:dyDescent="0.75">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Localgov!C25</f>
        <v>0</v>
      </c>
      <c r="S6" s="72">
        <v>0</v>
      </c>
      <c r="T6" s="72"/>
      <c r="U6" s="70">
        <f t="shared" si="0"/>
        <v>36662.372114388367</v>
      </c>
      <c r="V6" s="52">
        <f>U6/E22</f>
        <v>1</v>
      </c>
      <c r="W6" s="52"/>
      <c r="X6" s="59"/>
      <c r="Y6" s="59"/>
      <c r="Z6" s="59"/>
      <c r="AA6" s="59"/>
      <c r="AB6" s="59"/>
      <c r="AC6" s="59"/>
      <c r="AD6" s="59"/>
      <c r="AE6" s="59"/>
      <c r="AF6" s="59"/>
    </row>
    <row r="7" spans="1:32" ht="14.25" customHeight="1" x14ac:dyDescent="0.75">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Localgov!C26</f>
        <v>0</v>
      </c>
      <c r="S7" s="72">
        <v>0</v>
      </c>
      <c r="T7" s="72">
        <v>0</v>
      </c>
      <c r="U7" s="70">
        <f t="shared" si="0"/>
        <v>161854.73090888202</v>
      </c>
      <c r="V7" s="52">
        <f>U7/F22</f>
        <v>1.0000000000000002</v>
      </c>
      <c r="W7" s="498" t="s">
        <v>334</v>
      </c>
      <c r="X7" s="59"/>
      <c r="Y7" s="59"/>
      <c r="Z7" s="59"/>
      <c r="AA7" s="59"/>
      <c r="AB7" s="59"/>
      <c r="AC7" s="59"/>
      <c r="AD7" s="59"/>
      <c r="AE7" s="59"/>
      <c r="AF7" s="59"/>
    </row>
    <row r="8" spans="1:32" ht="14.25" customHeight="1" x14ac:dyDescent="0.75">
      <c r="A8" s="13" t="s">
        <v>40</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Localgov!C27</f>
        <v>10682.15</v>
      </c>
      <c r="S8" s="72"/>
      <c r="T8" s="72"/>
      <c r="U8" s="70">
        <f t="shared" si="0"/>
        <v>143211.7576954776</v>
      </c>
      <c r="V8" s="52">
        <f>U8/G22</f>
        <v>1.0000000000000002</v>
      </c>
      <c r="W8" s="490"/>
      <c r="X8" s="59"/>
      <c r="Y8" s="59"/>
      <c r="Z8" s="59"/>
      <c r="AA8" s="59"/>
      <c r="AB8" s="59"/>
      <c r="AC8" s="59"/>
      <c r="AD8" s="59"/>
      <c r="AE8" s="59"/>
      <c r="AF8" s="59"/>
    </row>
    <row r="9" spans="1:32" ht="14.25" customHeight="1" x14ac:dyDescent="0.75">
      <c r="A9" s="13" t="s">
        <v>41</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Localgov!C28</f>
        <v>0</v>
      </c>
      <c r="S9" s="72"/>
      <c r="T9" s="72"/>
      <c r="U9" s="70">
        <f t="shared" si="0"/>
        <v>15430.961906507333</v>
      </c>
      <c r="V9" s="52">
        <f>U9/H22</f>
        <v>1</v>
      </c>
      <c r="W9" s="490"/>
      <c r="X9" s="59"/>
      <c r="Y9" s="59"/>
      <c r="Z9" s="59"/>
      <c r="AA9" s="59"/>
      <c r="AB9" s="59"/>
      <c r="AC9" s="59"/>
      <c r="AD9" s="59"/>
      <c r="AE9" s="59"/>
      <c r="AF9" s="59"/>
    </row>
    <row r="10" spans="1:32" ht="14.25" customHeight="1" x14ac:dyDescent="0.75">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Localgov!C29</f>
        <v>2946.8</v>
      </c>
      <c r="S10" s="72"/>
      <c r="T10" s="72"/>
      <c r="U10" s="70">
        <f t="shared" si="0"/>
        <v>25502.112331748533</v>
      </c>
      <c r="V10" s="52">
        <f>U10/I22</f>
        <v>1</v>
      </c>
      <c r="W10" s="490"/>
      <c r="X10" s="59"/>
      <c r="Y10" s="59"/>
      <c r="Z10" s="59"/>
      <c r="AA10" s="59"/>
      <c r="AB10" s="59"/>
      <c r="AC10" s="59"/>
      <c r="AD10" s="59"/>
      <c r="AE10" s="59"/>
      <c r="AF10" s="59"/>
    </row>
    <row r="11" spans="1:32" ht="14.25" customHeight="1" x14ac:dyDescent="0.75">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Localgov!C30</f>
        <v>17680.8</v>
      </c>
      <c r="S11" s="72">
        <v>0</v>
      </c>
      <c r="T11" s="72">
        <v>0</v>
      </c>
      <c r="U11" s="70">
        <f t="shared" si="0"/>
        <v>724013.77291039517</v>
      </c>
      <c r="V11" s="52">
        <f>U11/J22</f>
        <v>1</v>
      </c>
      <c r="W11" s="490"/>
      <c r="X11" s="59"/>
      <c r="Y11" s="59"/>
      <c r="Z11" s="59"/>
      <c r="AA11" s="59"/>
      <c r="AB11" s="59"/>
      <c r="AC11" s="59"/>
      <c r="AD11" s="59"/>
      <c r="AE11" s="59"/>
      <c r="AF11" s="59"/>
    </row>
    <row r="12" spans="1:32" ht="14.25" customHeight="1" x14ac:dyDescent="0.75">
      <c r="A12" s="69" t="s">
        <v>45</v>
      </c>
      <c r="B12" s="70">
        <f>Ag!C35</f>
        <v>0</v>
      </c>
      <c r="C12" s="70">
        <f>Tourism!C35</f>
        <v>0</v>
      </c>
      <c r="D12" s="70">
        <f>Nonag!C35</f>
        <v>0</v>
      </c>
      <c r="E12" s="70">
        <f>Fishing!C37</f>
        <v>0</v>
      </c>
      <c r="F12" s="74">
        <f>Households!G7*SUM($B$7:$T$7)</f>
        <v>129745.89765165445</v>
      </c>
      <c r="G12" s="74">
        <f>Households!H7*SUM($B$8:$T$8)</f>
        <v>59322.025154193718</v>
      </c>
      <c r="H12" s="74">
        <f>Households!I7*SUM($B$9:$T$9)</f>
        <v>12241.939833884566</v>
      </c>
      <c r="I12" s="74">
        <f>Households!J7*SUM($B$10:$T$10)</f>
        <v>20442.988832737698</v>
      </c>
      <c r="J12" s="103">
        <f>Households!K7*SUM($B$11:$T$11)</f>
        <v>59253.813875554624</v>
      </c>
      <c r="K12" s="71">
        <f>Households!C39</f>
        <v>0</v>
      </c>
      <c r="L12" s="71">
        <f>Households!D39</f>
        <v>0</v>
      </c>
      <c r="M12" s="72">
        <f>Restaurants!C36</f>
        <v>0</v>
      </c>
      <c r="N12" s="72">
        <f>Lodges!C36</f>
        <v>0</v>
      </c>
      <c r="O12" s="72">
        <f>Tourists!C34</f>
        <v>0</v>
      </c>
      <c r="P12" s="72">
        <f>NatParkPA!C36</f>
        <v>0</v>
      </c>
      <c r="Q12" s="72">
        <f>ComRevSh!C34</f>
        <v>0</v>
      </c>
      <c r="R12" s="72">
        <f>Localgov!C31</f>
        <v>736.7</v>
      </c>
      <c r="S12" s="72">
        <v>0</v>
      </c>
      <c r="T12" s="75">
        <f>Households!G14</f>
        <v>16018.071105692999</v>
      </c>
      <c r="U12" s="70">
        <f t="shared" si="0"/>
        <v>297761.43645371805</v>
      </c>
      <c r="V12" s="52">
        <f>U12/K22</f>
        <v>0.58066725641030181</v>
      </c>
      <c r="W12" s="490"/>
      <c r="X12" s="59"/>
      <c r="Y12" s="59"/>
      <c r="Z12" s="59"/>
      <c r="AA12" s="59"/>
      <c r="AB12" s="59"/>
      <c r="AC12" s="59"/>
      <c r="AD12" s="59"/>
      <c r="AE12" s="59"/>
      <c r="AF12" s="59"/>
    </row>
    <row r="13" spans="1:32" ht="14.25" customHeight="1" x14ac:dyDescent="0.75">
      <c r="A13" s="69" t="s">
        <v>47</v>
      </c>
      <c r="B13" s="70">
        <f>Ag!C36</f>
        <v>0</v>
      </c>
      <c r="C13" s="70">
        <f>Tourism!C36</f>
        <v>0</v>
      </c>
      <c r="D13" s="70">
        <f>Nonag!C36</f>
        <v>0</v>
      </c>
      <c r="E13" s="70">
        <f>Fishing!C38</f>
        <v>0</v>
      </c>
      <c r="F13" s="74">
        <f>Households!G8*SUM($B$7:$T$7)</f>
        <v>32108.83325722755</v>
      </c>
      <c r="G13" s="74">
        <f>Households!H8*SUM($B$8:$T$8)</f>
        <v>83889.732541283869</v>
      </c>
      <c r="H13" s="74">
        <f>Households!I8*SUM($B$9:$T$9)</f>
        <v>3189.0220726227676</v>
      </c>
      <c r="I13" s="74">
        <f>Households!J8*SUM($B$10:$T$10)</f>
        <v>5059.1234990108351</v>
      </c>
      <c r="J13" s="103">
        <f>Households!K8*SUM($B$11:$T$11)</f>
        <v>664759.95903484058</v>
      </c>
      <c r="K13" s="71">
        <f>Households!C40</f>
        <v>0</v>
      </c>
      <c r="L13" s="71">
        <f>Households!D40</f>
        <v>0</v>
      </c>
      <c r="M13" s="72">
        <f>Restaurants!C37</f>
        <v>0</v>
      </c>
      <c r="N13" s="72">
        <f>Lodges!C37</f>
        <v>0</v>
      </c>
      <c r="O13" s="72">
        <f>Tourists!C35</f>
        <v>0</v>
      </c>
      <c r="P13" s="72">
        <f>NatParkPA!C37</f>
        <v>0</v>
      </c>
      <c r="Q13" s="72">
        <f>ComRevSh!C35</f>
        <v>0</v>
      </c>
      <c r="R13" s="72">
        <f>Localgov!C32</f>
        <v>3315.15</v>
      </c>
      <c r="S13" s="72">
        <v>0</v>
      </c>
      <c r="T13" s="72">
        <f>Households!H14</f>
        <v>0</v>
      </c>
      <c r="U13" s="70">
        <f t="shared" si="0"/>
        <v>792321.82040498557</v>
      </c>
      <c r="V13" s="52">
        <f>U13/L22</f>
        <v>1.5294636245376041</v>
      </c>
      <c r="W13" s="490"/>
      <c r="X13" s="59"/>
      <c r="Y13" s="59"/>
      <c r="Z13" s="59"/>
      <c r="AA13" s="59"/>
      <c r="AB13" s="59"/>
      <c r="AC13" s="59"/>
      <c r="AD13" s="59"/>
      <c r="AE13" s="59"/>
      <c r="AF13" s="59"/>
    </row>
    <row r="14" spans="1:32" ht="14.25" customHeight="1" x14ac:dyDescent="0.75">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Localgov!C33</f>
        <v>0</v>
      </c>
      <c r="S14" s="72">
        <v>0</v>
      </c>
      <c r="T14" s="70"/>
      <c r="U14" s="76">
        <f t="shared" si="0"/>
        <v>113686.58506538466</v>
      </c>
      <c r="V14" s="52">
        <f>U14/M22</f>
        <v>1</v>
      </c>
      <c r="W14" s="490"/>
      <c r="X14" s="59"/>
      <c r="Y14" s="59"/>
      <c r="Z14" s="59"/>
      <c r="AA14" s="59"/>
      <c r="AB14" s="59"/>
      <c r="AC14" s="59"/>
      <c r="AD14" s="59"/>
      <c r="AE14" s="59"/>
      <c r="AF14" s="59"/>
    </row>
    <row r="15" spans="1:32" ht="14.25" customHeight="1" x14ac:dyDescent="0.75">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Localgov!C34</f>
        <v>0</v>
      </c>
      <c r="S15" s="72">
        <v>0</v>
      </c>
      <c r="T15" s="70"/>
      <c r="U15" s="76">
        <f t="shared" si="0"/>
        <v>24872.042824591415</v>
      </c>
      <c r="V15" s="52">
        <f>U15/N22</f>
        <v>1</v>
      </c>
      <c r="W15" s="490"/>
      <c r="X15" s="59"/>
      <c r="Y15" s="59"/>
      <c r="Z15" s="59"/>
      <c r="AA15" s="59"/>
      <c r="AB15" s="59"/>
      <c r="AC15" s="59"/>
      <c r="AD15" s="59"/>
      <c r="AE15" s="59"/>
      <c r="AF15" s="59"/>
    </row>
    <row r="16" spans="1:32" ht="14.25" customHeight="1" x14ac:dyDescent="0.75">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Localgov!C35</f>
        <v>0</v>
      </c>
      <c r="S16" s="72">
        <v>0</v>
      </c>
      <c r="T16" s="105">
        <f>O22</f>
        <v>1248835.3922682505</v>
      </c>
      <c r="U16" s="70">
        <f t="shared" si="0"/>
        <v>1248835.3922682505</v>
      </c>
      <c r="V16" s="52">
        <f>U16/O22</f>
        <v>1</v>
      </c>
      <c r="W16" s="490"/>
      <c r="X16" s="59"/>
      <c r="Y16" s="59"/>
      <c r="Z16" s="59"/>
      <c r="AA16" s="59"/>
      <c r="AB16" s="59"/>
      <c r="AC16" s="59"/>
      <c r="AD16" s="59"/>
      <c r="AE16" s="59"/>
      <c r="AF16" s="59"/>
    </row>
    <row r="17" spans="1:32" ht="14.25" customHeight="1" x14ac:dyDescent="0.75">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Localgov!C36</f>
        <v>0</v>
      </c>
      <c r="S17" s="104">
        <f>NatParkPA!C47</f>
        <v>131495.5963247105</v>
      </c>
      <c r="T17" s="70"/>
      <c r="U17" s="70">
        <f t="shared" si="0"/>
        <v>244122.61958731621</v>
      </c>
      <c r="V17" s="52">
        <f>U17/P22</f>
        <v>1</v>
      </c>
      <c r="W17" s="490"/>
      <c r="X17" s="59"/>
      <c r="Y17" s="59"/>
      <c r="Z17" s="59"/>
      <c r="AA17" s="59"/>
      <c r="AB17" s="59"/>
      <c r="AC17" s="59"/>
      <c r="AD17" s="59"/>
      <c r="AE17" s="59"/>
      <c r="AF17" s="59"/>
    </row>
    <row r="18" spans="1:32" ht="14.25" customHeight="1" x14ac:dyDescent="0.75">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Localgov!C37</f>
        <v>0</v>
      </c>
      <c r="S18" s="72"/>
      <c r="T18" s="70"/>
      <c r="U18" s="70">
        <f t="shared" si="0"/>
        <v>10562</v>
      </c>
      <c r="V18" s="52">
        <f>U18/Q22</f>
        <v>5.8796350417786982</v>
      </c>
      <c r="W18" s="490"/>
      <c r="X18" s="59"/>
      <c r="Y18" s="59"/>
      <c r="Z18" s="59"/>
      <c r="AA18" s="59"/>
      <c r="AB18" s="59"/>
      <c r="AC18" s="59"/>
      <c r="AD18" s="59"/>
      <c r="AE18" s="59"/>
      <c r="AF18" s="59"/>
    </row>
    <row r="19" spans="1:32" ht="14.25" customHeight="1" x14ac:dyDescent="0.75">
      <c r="A19" s="482" t="s">
        <v>574</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f>Localgov!C38</f>
        <v>0</v>
      </c>
      <c r="S19" s="72">
        <v>0</v>
      </c>
      <c r="T19" s="70"/>
      <c r="U19" s="483">
        <f t="shared" si="0"/>
        <v>42167.199274279548</v>
      </c>
      <c r="V19" s="52"/>
      <c r="W19" s="490"/>
      <c r="X19" s="59"/>
      <c r="Y19" s="59"/>
      <c r="Z19" s="59"/>
      <c r="AA19" s="59"/>
      <c r="AB19" s="59"/>
      <c r="AC19" s="59"/>
      <c r="AD19" s="59"/>
      <c r="AE19" s="59"/>
      <c r="AF19" s="59"/>
    </row>
    <row r="20" spans="1:32" ht="14.25" customHeight="1" x14ac:dyDescent="0.75">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Localgov!C39</f>
        <v>0</v>
      </c>
      <c r="S20" s="72">
        <v>0</v>
      </c>
      <c r="T20" s="70"/>
      <c r="U20" s="76">
        <f t="shared" si="0"/>
        <v>73386.524772870835</v>
      </c>
      <c r="V20" s="52">
        <f>U20/S22</f>
        <v>0.55809112110228232</v>
      </c>
      <c r="W20" s="490"/>
      <c r="X20" s="59"/>
      <c r="Y20" s="59"/>
      <c r="Z20" s="59"/>
      <c r="AA20" s="59"/>
      <c r="AB20" s="59"/>
      <c r="AC20" s="59"/>
      <c r="AD20" s="59"/>
      <c r="AE20" s="59"/>
      <c r="AF20" s="59"/>
    </row>
    <row r="21" spans="1:32" ht="14.25" customHeight="1" x14ac:dyDescent="0.75">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Localgov!C40</f>
        <v>0</v>
      </c>
      <c r="S21" s="104">
        <f>IF(SUM(B20:P20)-SUM(S3:S17)&gt;0,SUM(B20:P20)-SUM(S3:S17),0)</f>
        <v>0</v>
      </c>
      <c r="T21" s="70"/>
      <c r="U21" s="70">
        <f t="shared" si="0"/>
        <v>1248138.9074877542</v>
      </c>
      <c r="V21" s="52">
        <f>U21/T22</f>
        <v>0.98678538157170881</v>
      </c>
      <c r="W21" s="490"/>
      <c r="X21" s="59"/>
      <c r="Y21" s="59"/>
      <c r="Z21" s="59"/>
      <c r="AA21" s="59"/>
      <c r="AB21" s="59"/>
      <c r="AC21" s="59"/>
      <c r="AD21" s="59"/>
      <c r="AE21" s="59"/>
      <c r="AF21" s="59"/>
    </row>
    <row r="22" spans="1:32" ht="14.25" customHeight="1" x14ac:dyDescent="0.75">
      <c r="A22" s="79" t="s">
        <v>181</v>
      </c>
      <c r="B22" s="70">
        <f t="shared" ref="B22:T22" si="1">SUM(B3:B21)</f>
        <v>66442.014270757732</v>
      </c>
      <c r="C22" s="70">
        <f t="shared" si="1"/>
        <v>489914.32982571534</v>
      </c>
      <c r="D22" s="70">
        <f t="shared" si="1"/>
        <v>1499338.7608367363</v>
      </c>
      <c r="E22" s="70">
        <f t="shared" si="1"/>
        <v>36662.372114388367</v>
      </c>
      <c r="F22" s="70">
        <f t="shared" si="1"/>
        <v>161854.73090888199</v>
      </c>
      <c r="G22" s="70">
        <f t="shared" si="1"/>
        <v>143211.75769547757</v>
      </c>
      <c r="H22" s="70">
        <f t="shared" si="1"/>
        <v>15430.961906507333</v>
      </c>
      <c r="I22" s="70">
        <f t="shared" si="1"/>
        <v>25502.112331748533</v>
      </c>
      <c r="J22" s="70">
        <f t="shared" si="1"/>
        <v>724013.77291039517</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83">
        <f t="shared" si="1"/>
        <v>35361.599999999999</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75">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75">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75">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75">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75">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75">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75">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75">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75">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75">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75">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75">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75">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75">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75">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75">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7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75">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75">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75">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75">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75">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7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75">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7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7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7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7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7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7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7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7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7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7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7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75">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7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75">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7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75">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7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75">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7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75">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7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75">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7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75">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7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75">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7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7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7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75">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7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75">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7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75">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7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75">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7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75">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7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75">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7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75">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7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75">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7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75">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7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75">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7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75">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7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75">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7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75">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75">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75">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7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7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7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7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7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7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7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7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7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7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7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7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7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7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7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7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7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7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7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7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7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7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7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7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7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7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7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7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7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7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7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7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7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7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7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7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7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7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7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7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7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7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7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7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7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7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7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7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7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7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7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7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7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7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7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7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7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7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7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7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7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7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7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7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7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7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7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7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7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7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7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7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7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7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7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7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7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7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7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7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7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7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7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7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7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75"/>
    <row r="190" spans="1:32" ht="15.75" customHeight="1" x14ac:dyDescent="0.75"/>
    <row r="191" spans="1:32" ht="15.75" customHeight="1" x14ac:dyDescent="0.75"/>
    <row r="192" spans="1:32" ht="15.75" customHeight="1" x14ac:dyDescent="0.75"/>
    <row r="193" ht="15.75" customHeight="1" x14ac:dyDescent="0.75"/>
    <row r="194" ht="15.75" customHeight="1" x14ac:dyDescent="0.75"/>
    <row r="195" ht="15.75" customHeight="1" x14ac:dyDescent="0.75"/>
    <row r="196" ht="15.75" customHeight="1" x14ac:dyDescent="0.75"/>
    <row r="197" ht="15.75" customHeight="1" x14ac:dyDescent="0.75"/>
    <row r="198" ht="15.75" customHeight="1" x14ac:dyDescent="0.75"/>
    <row r="199" ht="15.75" customHeight="1" x14ac:dyDescent="0.75"/>
    <row r="200" ht="15.75" customHeight="1" x14ac:dyDescent="0.75"/>
    <row r="201" ht="15.75" customHeight="1" x14ac:dyDescent="0.75"/>
    <row r="202" ht="15.75" customHeight="1" x14ac:dyDescent="0.75"/>
    <row r="203" ht="15.75" customHeight="1" x14ac:dyDescent="0.75"/>
    <row r="204" ht="15.75" customHeight="1" x14ac:dyDescent="0.75"/>
    <row r="205" ht="15.75" customHeight="1" x14ac:dyDescent="0.75"/>
    <row r="206" ht="15.75" customHeight="1" x14ac:dyDescent="0.75"/>
    <row r="207" ht="15.75" customHeight="1" x14ac:dyDescent="0.75"/>
    <row r="208" ht="15.75" customHeight="1" x14ac:dyDescent="0.75"/>
    <row r="209" ht="15.75" customHeight="1" x14ac:dyDescent="0.75"/>
    <row r="210" ht="15.75" customHeight="1" x14ac:dyDescent="0.75"/>
    <row r="211" ht="15.75" customHeight="1" x14ac:dyDescent="0.75"/>
    <row r="212" ht="15.75" customHeight="1" x14ac:dyDescent="0.75"/>
    <row r="213" ht="15.75" customHeight="1" x14ac:dyDescent="0.75"/>
    <row r="214" ht="15.75" customHeight="1" x14ac:dyDescent="0.75"/>
    <row r="215" ht="15.75" customHeight="1" x14ac:dyDescent="0.75"/>
    <row r="216" ht="15.75" customHeight="1" x14ac:dyDescent="0.75"/>
    <row r="217" ht="15.75" customHeight="1" x14ac:dyDescent="0.75"/>
    <row r="218" ht="15.75" customHeight="1" x14ac:dyDescent="0.75"/>
    <row r="219" ht="15.75" customHeight="1" x14ac:dyDescent="0.75"/>
    <row r="220" ht="15.75" customHeight="1" x14ac:dyDescent="0.75"/>
    <row r="221" ht="15.75" customHeight="1" x14ac:dyDescent="0.75"/>
    <row r="222" ht="15.75" customHeight="1" x14ac:dyDescent="0.75"/>
    <row r="223" ht="15.75" customHeight="1" x14ac:dyDescent="0.75"/>
    <row r="224" ht="15.75" customHeight="1" x14ac:dyDescent="0.75"/>
    <row r="225" ht="15.75" customHeight="1" x14ac:dyDescent="0.75"/>
    <row r="226" ht="15.75" customHeight="1" x14ac:dyDescent="0.75"/>
    <row r="227" ht="15.75" customHeight="1" x14ac:dyDescent="0.75"/>
    <row r="228" ht="15.75" customHeight="1" x14ac:dyDescent="0.75"/>
    <row r="229" ht="15.75" customHeight="1" x14ac:dyDescent="0.75"/>
    <row r="230" ht="15.75" customHeight="1" x14ac:dyDescent="0.75"/>
    <row r="231" ht="15.75" customHeight="1" x14ac:dyDescent="0.75"/>
    <row r="232" ht="15.75" customHeight="1" x14ac:dyDescent="0.75"/>
    <row r="233" ht="15.75" customHeight="1" x14ac:dyDescent="0.75"/>
    <row r="234" ht="15.75" customHeight="1" x14ac:dyDescent="0.75"/>
    <row r="235" ht="15.75" customHeight="1" x14ac:dyDescent="0.75"/>
    <row r="236" ht="15.75" customHeight="1" x14ac:dyDescent="0.75"/>
    <row r="237" ht="15.75" customHeight="1" x14ac:dyDescent="0.75"/>
    <row r="238" ht="15.75" customHeight="1" x14ac:dyDescent="0.75"/>
    <row r="239" ht="15.75" customHeight="1" x14ac:dyDescent="0.75"/>
    <row r="240" ht="15.75" customHeight="1" x14ac:dyDescent="0.75"/>
    <row r="241" ht="15.75" customHeight="1" x14ac:dyDescent="0.75"/>
    <row r="242" ht="15.75" customHeight="1" x14ac:dyDescent="0.75"/>
    <row r="243" ht="15.75" customHeight="1" x14ac:dyDescent="0.75"/>
    <row r="244" ht="15.75" customHeight="1" x14ac:dyDescent="0.75"/>
    <row r="245" ht="15.75" customHeight="1" x14ac:dyDescent="0.75"/>
    <row r="246" ht="15.75" customHeight="1" x14ac:dyDescent="0.75"/>
    <row r="247" ht="15.7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defaultColWidth="14.5" defaultRowHeight="15" customHeight="1" x14ac:dyDescent="0.75"/>
  <cols>
    <col min="2" max="17" width="7.5" customWidth="1"/>
    <col min="18" max="19" width="5.31640625" customWidth="1"/>
  </cols>
  <sheetData>
    <row r="1" spans="1:33" ht="15" customHeight="1" x14ac:dyDescent="0.75">
      <c r="A1" s="1" t="s">
        <v>335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75">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75">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75">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75">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1513066.4782892461</v>
      </c>
      <c r="U5" s="1"/>
      <c r="V5" s="1"/>
      <c r="W5" s="1"/>
      <c r="X5" s="1"/>
      <c r="Y5" s="1"/>
      <c r="Z5" s="1"/>
      <c r="AA5" s="1"/>
      <c r="AB5" s="1"/>
      <c r="AC5" s="1"/>
      <c r="AD5" s="1"/>
      <c r="AE5" s="1"/>
      <c r="AF5" s="1"/>
      <c r="AG5" s="1"/>
    </row>
    <row r="6" spans="1:33" ht="15" customHeight="1" x14ac:dyDescent="0.75">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75">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161854.73090888202</v>
      </c>
      <c r="U7" s="1"/>
      <c r="V7" s="1"/>
      <c r="W7" s="1"/>
      <c r="X7" s="1"/>
      <c r="Y7" s="1"/>
      <c r="Z7" s="1"/>
      <c r="AA7" s="1"/>
      <c r="AB7" s="1"/>
      <c r="AC7" s="1"/>
      <c r="AD7" s="1"/>
      <c r="AE7" s="1"/>
      <c r="AF7" s="1"/>
      <c r="AG7" s="1"/>
    </row>
    <row r="8" spans="1:33" ht="15" customHeight="1" x14ac:dyDescent="0.75">
      <c r="A8" s="59" t="str">
        <f>'SAM(LEWIE Input)'!A8</f>
        <v>L-FUSK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75">
      <c r="A9" s="59" t="str">
        <f>'SAM(LEWIE Input)'!A9</f>
        <v>L-MSK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75">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75">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724013.77291039517</v>
      </c>
      <c r="U11" s="1"/>
      <c r="V11" s="1"/>
      <c r="W11" s="1"/>
      <c r="X11" s="1"/>
      <c r="Y11" s="1"/>
      <c r="Z11" s="1"/>
      <c r="AA11" s="1"/>
      <c r="AB11" s="1"/>
      <c r="AC11" s="1"/>
      <c r="AD11" s="1"/>
      <c r="AE11" s="1"/>
      <c r="AF11" s="1"/>
      <c r="AG11" s="1"/>
    </row>
    <row r="12" spans="1:33" ht="15" customHeight="1" x14ac:dyDescent="0.75">
      <c r="A12" s="59" t="str">
        <f>'SAM(LEWIE Input)'!A12</f>
        <v>Poor</v>
      </c>
      <c r="B12" s="80">
        <f>'SAM(LEWIE Input)'!B12</f>
        <v>0</v>
      </c>
      <c r="C12" s="80">
        <f>'SAM(LEWIE Input)'!C12</f>
        <v>0</v>
      </c>
      <c r="D12" s="80">
        <f>'SAM(LEWIE Input)'!D12</f>
        <v>0</v>
      </c>
      <c r="E12" s="80">
        <f>'SAM(LEWIE Input)'!E12</f>
        <v>0</v>
      </c>
      <c r="F12" s="80">
        <f>'SAM(LEWIE Input)'!F12</f>
        <v>129745.89765165445</v>
      </c>
      <c r="G12" s="80">
        <f>'SAM(LEWIE Input)'!G12</f>
        <v>59322.025154193718</v>
      </c>
      <c r="H12" s="80">
        <f>'SAM(LEWIE Input)'!H12</f>
        <v>12241.939833884566</v>
      </c>
      <c r="I12" s="80">
        <f>'SAM(LEWIE Input)'!I12</f>
        <v>20442.988832737698</v>
      </c>
      <c r="J12" s="80">
        <f>'SAM(LEWIE Input)'!J12</f>
        <v>59253.813875554624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297761.43645371805</v>
      </c>
      <c r="U12" s="1"/>
      <c r="V12" s="1"/>
      <c r="W12" s="1"/>
      <c r="X12" s="1"/>
      <c r="Y12" s="1"/>
      <c r="Z12" s="1"/>
      <c r="AA12" s="1"/>
      <c r="AB12" s="1"/>
      <c r="AC12" s="1"/>
      <c r="AD12" s="1"/>
      <c r="AE12" s="1"/>
      <c r="AF12" s="1"/>
      <c r="AG12" s="1"/>
    </row>
    <row r="13" spans="1:33" ht="15" customHeight="1" x14ac:dyDescent="0.75">
      <c r="A13" s="59" t="str">
        <f>'SAM(LEWIE Input)'!A13</f>
        <v>Nonpoor</v>
      </c>
      <c r="B13" s="80">
        <f>'SAM(LEWIE Input)'!B13</f>
        <v>0</v>
      </c>
      <c r="C13" s="80">
        <f>'SAM(LEWIE Input)'!C13</f>
        <v>0</v>
      </c>
      <c r="D13" s="80">
        <f>'SAM(LEWIE Input)'!D13</f>
        <v>0</v>
      </c>
      <c r="E13" s="80">
        <f>'SAM(LEWIE Input)'!E13</f>
        <v>0</v>
      </c>
      <c r="F13" s="80">
        <f>'SAM(LEWIE Input)'!F13</f>
        <v>32108.83325722755</v>
      </c>
      <c r="G13" s="80">
        <f>'SAM(LEWIE Input)'!G13</f>
        <v>83889.732541283869</v>
      </c>
      <c r="H13" s="80">
        <f>'SAM(LEWIE Input)'!H13</f>
        <v>3189.0220726227676</v>
      </c>
      <c r="I13" s="80">
        <f>'SAM(LEWIE Input)'!I13</f>
        <v>5059.1234990108351</v>
      </c>
      <c r="J13" s="80">
        <f>'SAM(LEWIE Input)'!J13</f>
        <v>664759.95903484058</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792321.82040498557</v>
      </c>
      <c r="U13" s="1"/>
      <c r="V13" s="1"/>
      <c r="W13" s="1"/>
      <c r="X13" s="1"/>
      <c r="Y13" s="1"/>
      <c r="Z13" s="1"/>
      <c r="AA13" s="1"/>
      <c r="AB13" s="1"/>
      <c r="AC13" s="1"/>
      <c r="AD13" s="1"/>
      <c r="AE13" s="1"/>
      <c r="AF13" s="1"/>
      <c r="AG13" s="1"/>
    </row>
    <row r="14" spans="1:33" ht="15" customHeight="1" x14ac:dyDescent="0.75">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75">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75">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75">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75">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75">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75">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1248138.9074877542</v>
      </c>
      <c r="U20" s="1"/>
      <c r="V20" s="1"/>
      <c r="W20" s="1"/>
      <c r="X20" s="1"/>
      <c r="Y20" s="1"/>
      <c r="Z20" s="1"/>
      <c r="AA20" s="1"/>
      <c r="AB20" s="1"/>
      <c r="AC20" s="1"/>
      <c r="AD20" s="1"/>
      <c r="AE20" s="1"/>
      <c r="AF20" s="1"/>
      <c r="AG20" s="1"/>
    </row>
    <row r="21" spans="1:33" ht="15" customHeight="1" x14ac:dyDescent="0.75">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161854.73090888199</v>
      </c>
      <c r="G21" s="80">
        <f>'SAM(LEWIE Input)'!G22</f>
        <v>143211.75769547757</v>
      </c>
      <c r="H21" s="80">
        <f>'SAM(LEWIE Input)'!H22</f>
        <v>15430.961906507333</v>
      </c>
      <c r="I21" s="80">
        <f>'SAM(LEWIE Input)'!I22</f>
        <v>25502.112331748533</v>
      </c>
      <c r="J21" s="80">
        <f>'SAM(LEWIE Input)'!J22</f>
        <v>724013.77291039517</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ht="14.75" x14ac:dyDescent="0.75">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ht="14.75" x14ac:dyDescent="0.75">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ht="14.75" x14ac:dyDescent="0.75">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ht="14.75" x14ac:dyDescent="0.75">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ht="14.75" x14ac:dyDescent="0.75">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ht="14.75" x14ac:dyDescent="0.75">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ht="14.75" x14ac:dyDescent="0.75">
      <c r="A29" s="59" t="str">
        <f t="shared" si="1"/>
        <v>L-FUSK</v>
      </c>
      <c r="B29" s="81">
        <f t="shared" ref="B29:S29" si="7">B8/B$21</f>
        <v>0</v>
      </c>
      <c r="C29" s="81">
        <f t="shared" si="7"/>
        <v>4.4318518518518521E-2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ht="14.75" x14ac:dyDescent="0.75">
      <c r="A30" s="59" t="str">
        <f t="shared" si="1"/>
        <v>L-MSK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ht="14.75" x14ac:dyDescent="0.75">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ht="14.75" x14ac:dyDescent="0.75">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ht="14.75" x14ac:dyDescent="0.75">
      <c r="A33" s="59" t="str">
        <f t="shared" si="1"/>
        <v>Poor</v>
      </c>
      <c r="B33" s="81">
        <f t="shared" ref="B33:S33" si="11">B12/B$21</f>
        <v>0</v>
      </c>
      <c r="C33" s="81">
        <f t="shared" si="11"/>
        <v>0</v>
      </c>
      <c r="D33" s="81">
        <f t="shared" si="11"/>
        <v>0</v>
      </c>
      <c r="E33" s="81">
        <f t="shared" si="11"/>
        <v>0</v>
      </c>
      <c r="F33" s="81">
        <f t="shared" si="11"/>
        <v>0.80161943319838092</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ht="14.75" x14ac:dyDescent="0.75">
      <c r="A34" s="59" t="str">
        <f t="shared" si="1"/>
        <v>Nonpoor</v>
      </c>
      <c r="B34" s="81">
        <f t="shared" ref="B34:S34" si="12">B13/B$21</f>
        <v>0</v>
      </c>
      <c r="C34" s="81">
        <f t="shared" si="12"/>
        <v>0</v>
      </c>
      <c r="D34" s="81">
        <f t="shared" si="12"/>
        <v>0</v>
      </c>
      <c r="E34" s="81">
        <f t="shared" si="12"/>
        <v>0</v>
      </c>
      <c r="F34" s="81">
        <f t="shared" si="12"/>
        <v>0.19838056680161911</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ht="14.75" x14ac:dyDescent="0.75">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ht="14.75" x14ac:dyDescent="0.75">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ht="14.75" x14ac:dyDescent="0.75">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ht="14.75" x14ac:dyDescent="0.75">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ht="14.75" x14ac:dyDescent="0.75">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ht="14.75" x14ac:dyDescent="0.75">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ht="14.75" x14ac:dyDescent="0.75">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ht="14.75" x14ac:dyDescent="0.75">
      <c r="A42" s="59" t="s">
        <v>336</v>
      </c>
      <c r="B42" s="81">
        <f t="shared" ref="B42:S42" si="20">SUM(B24:B41)</f>
        <v>0.98116000000000003</v>
      </c>
      <c r="C42" s="81">
        <f t="shared" si="20"/>
        <v>0.98584666666666654</v>
      </c>
      <c r="D42" s="81">
        <f t="shared" si="20"/>
        <v>0.97931733333333337</v>
      </c>
      <c r="E42" s="81">
        <f t="shared" si="20"/>
        <v>1</v>
      </c>
      <c r="F42" s="81">
        <f t="shared" si="20"/>
        <v>1</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ht="14.75" x14ac:dyDescent="0.75">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ht="14.75" x14ac:dyDescent="0.75">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ht="14.75" x14ac:dyDescent="0.75">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ht="14.75" x14ac:dyDescent="0.75">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ht="14.75" x14ac:dyDescent="0.75">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ht="14.75" x14ac:dyDescent="0.75">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ht="14.75" x14ac:dyDescent="0.75">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ht="14.75" x14ac:dyDescent="0.75">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ht="14.75" x14ac:dyDescent="0.75">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ht="14.75" x14ac:dyDescent="0.75">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ht="14.75" x14ac:dyDescent="0.75">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ht="14.75" x14ac:dyDescent="0.75">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ht="14.75" x14ac:dyDescent="0.75">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ht="14.75" x14ac:dyDescent="0.75">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ht="14.75" x14ac:dyDescent="0.75">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ht="14.75" x14ac:dyDescent="0.75">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ht="14.75" x14ac:dyDescent="0.75">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ht="14.75" x14ac:dyDescent="0.75">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ht="14.75" x14ac:dyDescent="0.75">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ht="14.75" x14ac:dyDescent="0.75">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ht="14.75" x14ac:dyDescent="0.75">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ht="14.75" x14ac:dyDescent="0.75">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ht="14.75" x14ac:dyDescent="0.75">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ht="14.75" x14ac:dyDescent="0.75">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ht="14.75" x14ac:dyDescent="0.75">
      <c r="A68" s="59" t="str">
        <f t="shared" si="24"/>
        <v>L-FUSK</v>
      </c>
      <c r="B68" s="81">
        <f t="shared" ref="B68:Q68" si="30">B50-B29</f>
        <v>0</v>
      </c>
      <c r="C68" s="81">
        <f t="shared" si="30"/>
        <v>-4.4318518518518521E-2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ht="14.75" x14ac:dyDescent="0.75">
      <c r="A69" s="59" t="str">
        <f t="shared" si="24"/>
        <v>L-MSK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ht="14.75" x14ac:dyDescent="0.75">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ht="14.75" x14ac:dyDescent="0.75">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ht="14.75" x14ac:dyDescent="0.75">
      <c r="A72" s="59" t="str">
        <f t="shared" si="24"/>
        <v>Poor</v>
      </c>
      <c r="B72" s="81">
        <f t="shared" ref="B72:Q72" si="34">B54-B33</f>
        <v>0</v>
      </c>
      <c r="C72" s="81">
        <f t="shared" si="34"/>
        <v>0</v>
      </c>
      <c r="D72" s="81">
        <f t="shared" si="34"/>
        <v>0</v>
      </c>
      <c r="E72" s="81">
        <f t="shared" si="34"/>
        <v>0</v>
      </c>
      <c r="F72" s="81">
        <f t="shared" si="34"/>
        <v>-0.80161943319838092</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ht="14.75" x14ac:dyDescent="0.75">
      <c r="A73" s="59" t="str">
        <f t="shared" si="24"/>
        <v>Nonpoor</v>
      </c>
      <c r="B73" s="81">
        <f t="shared" ref="B73:Q73" si="35">B55-B34</f>
        <v>0</v>
      </c>
      <c r="C73" s="81">
        <f t="shared" si="35"/>
        <v>0</v>
      </c>
      <c r="D73" s="81">
        <f t="shared" si="35"/>
        <v>0</v>
      </c>
      <c r="E73" s="81">
        <f t="shared" si="35"/>
        <v>0</v>
      </c>
      <c r="F73" s="81">
        <f t="shared" si="35"/>
        <v>-0.19838056680161911</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ht="14.75" x14ac:dyDescent="0.75">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ht="14.75" x14ac:dyDescent="0.75">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ht="14.75" x14ac:dyDescent="0.75">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ht="14.75" x14ac:dyDescent="0.75">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ht="14.75" x14ac:dyDescent="0.75">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ht="14.75" x14ac:dyDescent="0.75">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ht="14.75" x14ac:dyDescent="0.75">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ht="14.75" x14ac:dyDescent="0.75">
      <c r="A81" s="59" t="str">
        <f t="shared" ref="A81:A96" si="42">A63</f>
        <v>Ag</v>
      </c>
      <c r="B81" s="81">
        <f t="array" ref="B81:Q96">MINVERSE(B63:Q78)</f>
        <v>1.0679136707113628</v>
      </c>
      <c r="C81" s="81">
        <v>2.996139079463463E-2</v>
      </c>
      <c r="D81" s="81">
        <v>1.8809188307236119E-2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ht="14.75" x14ac:dyDescent="0.75">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ht="14.75" x14ac:dyDescent="0.75">
      <c r="A83" s="59" t="str">
        <f t="shared" si="42"/>
        <v>Nag</v>
      </c>
      <c r="B83" s="81">
        <v>0.96433969747130976</v>
      </c>
      <c r="C83" s="81">
        <v>0.79041319781655794</v>
      </c>
      <c r="D83" s="81">
        <v>1.4983612151970576</v>
      </c>
      <c r="E83" s="81">
        <v>0</v>
      </c>
      <c r="F83" s="81">
        <v>1.1106566285105868</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ht="14.75" x14ac:dyDescent="0.75">
      <c r="A84" s="59" t="str">
        <f t="shared" si="42"/>
        <v>NatRes</v>
      </c>
      <c r="B84" s="81">
        <v>2.008651106427628E-2</v>
      </c>
      <c r="C84" s="81">
        <v>1.2256481528105042E-2</v>
      </c>
      <c r="D84" s="81">
        <v>9.7202672898514097E-3</v>
      </c>
      <c r="E84" s="81">
        <v>1</v>
      </c>
      <c r="F84" s="81">
        <v>6.599949003013679E-2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ht="14.75" x14ac:dyDescent="0.75">
      <c r="A85" s="59" t="str">
        <f t="shared" si="42"/>
        <v>L-MUSK</v>
      </c>
      <c r="B85" s="81">
        <v>0.23858101221229036</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ht="14.75" x14ac:dyDescent="0.75">
      <c r="A86" s="59" t="str">
        <f t="shared" si="42"/>
        <v>L-FUSK</v>
      </c>
      <c r="B86" s="81">
        <v>0</v>
      </c>
      <c r="C86" s="81">
        <v>4.4318518518518521E-2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ht="14.75" x14ac:dyDescent="0.75">
      <c r="A87" s="59" t="str">
        <f t="shared" si="42"/>
        <v>L-MSK</v>
      </c>
      <c r="B87" s="81">
        <v>3.9913368900465235E-2</v>
      </c>
      <c r="C87" s="81">
        <v>8.8670820304365613E-3</v>
      </c>
      <c r="D87" s="81">
        <v>7.4143538606103688E-3</v>
      </c>
      <c r="E87" s="81">
        <v>0</v>
      </c>
      <c r="F87" s="81">
        <v>7.7437461290560707E-3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ht="14.75" x14ac:dyDescent="0.75">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ht="14.75" x14ac:dyDescent="0.75">
      <c r="A89" s="59" t="str">
        <f t="shared" si="42"/>
        <v>K</v>
      </c>
      <c r="B89" s="81">
        <v>0.71230135285129292</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ht="14.75" x14ac:dyDescent="0.75">
      <c r="A90" s="59" t="str">
        <f t="shared" si="42"/>
        <v>Poor</v>
      </c>
      <c r="B90" s="81">
        <v>0.28121115489986792</v>
      </c>
      <c r="C90" s="81">
        <v>0.17159074139347061</v>
      </c>
      <c r="D90" s="81">
        <v>0.13608374205791973</v>
      </c>
      <c r="E90" s="81">
        <v>0</v>
      </c>
      <c r="F90" s="81">
        <v>0.92399286042191509</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ht="14.75" x14ac:dyDescent="0.75">
      <c r="A91" s="59" t="str">
        <f t="shared" si="42"/>
        <v>Nonpoor</v>
      </c>
      <c r="B91" s="81">
        <v>0.7095845790641806</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ht="14.75" x14ac:dyDescent="0.75">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ht="14.75" x14ac:dyDescent="0.75">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ht="14.75" x14ac:dyDescent="0.75">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ht="14.75" x14ac:dyDescent="0.75">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ht="14.75" x14ac:dyDescent="0.75">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defaultColWidth="14.5" defaultRowHeight="15" customHeight="1" x14ac:dyDescent="0.75"/>
  <sheetData>
    <row r="1" spans="1:26" ht="15" customHeight="1" x14ac:dyDescent="0.75">
      <c r="A1" s="6" t="s">
        <v>337</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75">
      <c r="A2" s="83" t="s">
        <v>338</v>
      </c>
      <c r="B2" s="84" t="s">
        <v>339</v>
      </c>
      <c r="C2" s="1"/>
      <c r="D2" s="1"/>
      <c r="E2" s="1"/>
      <c r="F2" s="1"/>
      <c r="G2" s="1"/>
      <c r="H2" s="1"/>
      <c r="I2" s="1"/>
      <c r="J2" s="1"/>
      <c r="K2" s="1"/>
      <c r="L2" s="1"/>
      <c r="M2" s="1"/>
      <c r="N2" s="1"/>
      <c r="O2" s="1"/>
      <c r="P2" s="1"/>
      <c r="Q2" s="1"/>
      <c r="R2" s="1"/>
      <c r="S2" s="1"/>
      <c r="T2" s="1"/>
      <c r="U2" s="1"/>
      <c r="V2" s="1"/>
      <c r="W2" s="1"/>
      <c r="X2" s="1"/>
      <c r="Y2" s="1"/>
      <c r="Z2" s="1"/>
    </row>
    <row r="3" spans="1:26" ht="15" customHeight="1" x14ac:dyDescent="0.75">
      <c r="A3" s="85" t="s">
        <v>340</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75">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75">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75">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75">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75">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75">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75">
      <c r="A10" s="88" t="s">
        <v>341</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75">
      <c r="A11" s="90" t="s">
        <v>342</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75">
      <c r="A12" s="86" t="s">
        <v>343</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75">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75">
      <c r="A14" s="86" t="str">
        <f>'Multiplier Matrix (uncorrected)'!A86</f>
        <v>L-FUSK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75">
      <c r="A15" s="86" t="str">
        <f>'Multiplier Matrix (uncorrected)'!A87</f>
        <v>L-MSK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75">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75">
      <c r="A17" s="88" t="s">
        <v>344</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75">
      <c r="A18" s="90" t="s">
        <v>345</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75">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75">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75">
      <c r="A21" s="93" t="s">
        <v>346</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75">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ht="14.75" x14ac:dyDescent="0.75">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ht="14.75" x14ac:dyDescent="0.75">
      <c r="A24" s="96" t="s">
        <v>347</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ht="14.75" x14ac:dyDescent="0.75">
      <c r="A25" s="97" t="s">
        <v>348</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ht="14.75" x14ac:dyDescent="0.75">
      <c r="A26" s="98" t="s">
        <v>349</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ht="14.75" x14ac:dyDescent="0.75">
      <c r="A27" s="59" t="s">
        <v>350</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ht="14.75" x14ac:dyDescent="0.75">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ht="14.75" x14ac:dyDescent="0.75">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ht="14.75" x14ac:dyDescent="0.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75" x14ac:dyDescent="0.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75" x14ac:dyDescent="0.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75" x14ac:dyDescent="0.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75" x14ac:dyDescent="0.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75" x14ac:dyDescent="0.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75" x14ac:dyDescent="0.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75" x14ac:dyDescent="0.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75" x14ac:dyDescent="0.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75" x14ac:dyDescent="0.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75" x14ac:dyDescent="0.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75" x14ac:dyDescent="0.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75" x14ac:dyDescent="0.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75" x14ac:dyDescent="0.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75" x14ac:dyDescent="0.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75" x14ac:dyDescent="0.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75" x14ac:dyDescent="0.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75" x14ac:dyDescent="0.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75" x14ac:dyDescent="0.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75" x14ac:dyDescent="0.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75" x14ac:dyDescent="0.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75" x14ac:dyDescent="0.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75" x14ac:dyDescent="0.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75" x14ac:dyDescent="0.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75" x14ac:dyDescent="0.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75" x14ac:dyDescent="0.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75" x14ac:dyDescent="0.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75" x14ac:dyDescent="0.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75" x14ac:dyDescent="0.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75" x14ac:dyDescent="0.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75" x14ac:dyDescent="0.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75" x14ac:dyDescent="0.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75" x14ac:dyDescent="0.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75" x14ac:dyDescent="0.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75" x14ac:dyDescent="0.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75" x14ac:dyDescent="0.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75" x14ac:dyDescent="0.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75" x14ac:dyDescent="0.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75" x14ac:dyDescent="0.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75" x14ac:dyDescent="0.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75" x14ac:dyDescent="0.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75" x14ac:dyDescent="0.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75" x14ac:dyDescent="0.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75" x14ac:dyDescent="0.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75" x14ac:dyDescent="0.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75" x14ac:dyDescent="0.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75" x14ac:dyDescent="0.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75" x14ac:dyDescent="0.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75" x14ac:dyDescent="0.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75" x14ac:dyDescent="0.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75" x14ac:dyDescent="0.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75" x14ac:dyDescent="0.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75" x14ac:dyDescent="0.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75" x14ac:dyDescent="0.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75" x14ac:dyDescent="0.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75" x14ac:dyDescent="0.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75" x14ac:dyDescent="0.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75" x14ac:dyDescent="0.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75" x14ac:dyDescent="0.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75" x14ac:dyDescent="0.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75" x14ac:dyDescent="0.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75" x14ac:dyDescent="0.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75" x14ac:dyDescent="0.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75" x14ac:dyDescent="0.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75" x14ac:dyDescent="0.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75" x14ac:dyDescent="0.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75" x14ac:dyDescent="0.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75" x14ac:dyDescent="0.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75" x14ac:dyDescent="0.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75" x14ac:dyDescent="0.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75" x14ac:dyDescent="0.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75" x14ac:dyDescent="0.7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75" x14ac:dyDescent="0.75">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75" x14ac:dyDescent="0.75">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75" x14ac:dyDescent="0.75">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Justin Kagin</cp:lastModifiedBy>
  <dcterms:created xsi:type="dcterms:W3CDTF">2023-06-19T15:34:23Z</dcterms:created>
  <dcterms:modified xsi:type="dcterms:W3CDTF">2023-11-14T22:27:54Z</dcterms:modified>
</cp:coreProperties>
</file>