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281D31EA-E25F-BB41-BCFF-3F92E9F6B8AF}" xr6:coauthVersionLast="47" xr6:coauthVersionMax="47" xr10:uidLastSave="{00000000-0000-0000-0000-000000000000}"/>
  <bookViews>
    <workbookView xWindow="0" yWindow="500" windowWidth="28800" windowHeight="16440" firstSheet="1"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c r="C4" i="9"/>
  <c r="C17" i="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<sst xmlns="http://schemas.openxmlformats.org/spreadsheetml/2006/main" count="1379" uniqueCount="632">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</sst>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0.75972998883416742</c:v>
                </c:pt>
                <c:pt idx="1">
                  <c:v>0.16238487049649797</c:v>
                </c:pt>
                <c:pt idx="2">
                  <c:v>1.8720762622307996</c:v>
                </c:pt>
                <c:pt idx="3">
                  <c:v>0.27393200338946966</c:v>
                </c:pt>
                <c:pt idx="4">
                  <c:v>4.1157760097362987E-2</c:v>
                </c:pt>
                <c:pt idx="5">
                  <c:v>0.74057542647100982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0.43166765130358131</c:v>
                </c:pt>
                <c:pt idx="1">
                  <c:v>0.14722975797866544</c:v>
                </c:pt>
                <c:pt idx="2">
                  <c:v>0.11271074502340146</c:v>
                </c:pt>
                <c:pt idx="3">
                  <c:v>0.24991828722445197</c:v>
                </c:pt>
                <c:pt idx="4">
                  <c:v>1.2078355414911861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1.2000738285382611</c:v>
                </c:pt>
                <c:pt idx="1">
                  <c:v>0.94928815448302517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363.30742655125147</c:v>
                </c:pt>
                <c:pt idx="1">
                  <c:v>287.38518269404875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zoomScale="102" zoomScaleNormal="102" workbookViewId="0">
      <selection activeCell="C6" sqref="C6"/>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31000</v>
      </c>
      <c r="D3" s="181" t="s">
        <v>7</v>
      </c>
      <c r="E3" s="128">
        <v>0</v>
      </c>
      <c r="F3" s="128">
        <v>0</v>
      </c>
      <c r="G3" s="128">
        <v>1</v>
      </c>
      <c r="H3" s="480" t="s">
        <v>631</v>
      </c>
    </row>
    <row r="4" spans="1:8" ht="14.25" customHeight="1" x14ac:dyDescent="0.2">
      <c r="A4" s="102"/>
      <c r="B4" s="187" t="s">
        <v>9</v>
      </c>
      <c r="C4" s="132">
        <v>1</v>
      </c>
      <c r="D4" s="181" t="s">
        <v>10</v>
      </c>
      <c r="E4" s="128">
        <v>1</v>
      </c>
      <c r="F4" s="128">
        <v>8</v>
      </c>
      <c r="G4" s="128">
        <v>1</v>
      </c>
      <c r="H4" s="195"/>
    </row>
    <row r="5" spans="1:8" ht="14.25" customHeight="1" x14ac:dyDescent="0.2">
      <c r="A5" s="102"/>
      <c r="B5" s="187" t="s">
        <v>11</v>
      </c>
      <c r="C5" s="132">
        <v>2</v>
      </c>
      <c r="D5" s="181" t="s">
        <v>12</v>
      </c>
      <c r="E5" s="128">
        <v>0</v>
      </c>
      <c r="F5" s="128">
        <v>9</v>
      </c>
      <c r="G5" s="128">
        <v>1</v>
      </c>
      <c r="H5" s="195"/>
    </row>
    <row r="6" spans="1:8" ht="14.25" customHeight="1" x14ac:dyDescent="0.2">
      <c r="A6" s="102"/>
      <c r="B6" s="187" t="s">
        <v>536</v>
      </c>
      <c r="C6" s="132">
        <v>112.1</v>
      </c>
      <c r="D6" s="181" t="s">
        <v>13</v>
      </c>
      <c r="E6" s="128">
        <v>0</v>
      </c>
      <c r="F6" s="128">
        <v>300</v>
      </c>
      <c r="G6" s="128">
        <v>1</v>
      </c>
      <c r="H6" s="195"/>
    </row>
    <row r="7" spans="1:8" ht="14.25" customHeight="1" x14ac:dyDescent="0.2">
      <c r="A7" s="102"/>
      <c r="B7" s="188" t="s">
        <v>14</v>
      </c>
      <c r="C7" s="193">
        <v>0</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12.46</v>
      </c>
      <c r="D12" s="181" t="s">
        <v>20</v>
      </c>
      <c r="E12" s="128">
        <v>0</v>
      </c>
      <c r="F12" s="128">
        <v>236</v>
      </c>
      <c r="G12" s="128">
        <v>0.1</v>
      </c>
      <c r="H12" s="8" t="s">
        <v>21</v>
      </c>
    </row>
    <row r="13" spans="1:8" ht="14.25" customHeight="1" x14ac:dyDescent="0.2">
      <c r="A13" s="102"/>
      <c r="B13" s="190" t="s">
        <v>22</v>
      </c>
      <c r="C13" s="134">
        <v>41.86</v>
      </c>
      <c r="D13" s="181" t="s">
        <v>23</v>
      </c>
      <c r="E13" s="128">
        <v>0</v>
      </c>
      <c r="F13" s="128">
        <v>694</v>
      </c>
      <c r="G13" s="128">
        <v>0.1</v>
      </c>
      <c r="H13" s="8"/>
    </row>
    <row r="14" spans="1:8" ht="14.25" customHeight="1" x14ac:dyDescent="0.2">
      <c r="A14" s="102"/>
      <c r="B14" s="190" t="s">
        <v>24</v>
      </c>
      <c r="C14" s="134">
        <v>7.3</v>
      </c>
      <c r="D14" s="181" t="s">
        <v>25</v>
      </c>
      <c r="E14" s="128">
        <v>0</v>
      </c>
      <c r="F14" s="128">
        <v>536</v>
      </c>
      <c r="G14" s="128">
        <v>0.1</v>
      </c>
      <c r="H14" s="8"/>
    </row>
    <row r="15" spans="1:8" ht="14.25" customHeight="1" x14ac:dyDescent="0.2">
      <c r="A15" s="102"/>
      <c r="B15" s="190" t="s">
        <v>535</v>
      </c>
      <c r="C15" s="134">
        <v>8.94</v>
      </c>
      <c r="D15" s="181" t="s">
        <v>26</v>
      </c>
      <c r="E15" s="128">
        <v>0</v>
      </c>
      <c r="F15" s="128">
        <v>225</v>
      </c>
      <c r="G15" s="128">
        <v>0.1</v>
      </c>
      <c r="H15" s="8"/>
    </row>
    <row r="16" spans="1:8" ht="14.25" customHeight="1" x14ac:dyDescent="0.2">
      <c r="A16" s="102"/>
      <c r="B16" s="191" t="s">
        <v>534</v>
      </c>
      <c r="C16" s="134">
        <v>1.1399999999999999</v>
      </c>
      <c r="D16" s="189" t="s">
        <v>27</v>
      </c>
      <c r="E16" s="128">
        <v>0</v>
      </c>
      <c r="F16" s="128">
        <v>962</v>
      </c>
      <c r="G16" s="128">
        <v>0.1</v>
      </c>
      <c r="H16" s="9"/>
    </row>
    <row r="17" spans="1:8" ht="14.25" customHeight="1" x14ac:dyDescent="0.2">
      <c r="A17" s="102"/>
      <c r="B17" s="191" t="s">
        <v>527</v>
      </c>
      <c r="C17" s="457">
        <f>NatParkPA!C6/(Tourists!C3+Tourists!C7)</f>
        <v>6.8375632329010729</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1523960</v>
      </c>
      <c r="D26" s="414" t="s">
        <v>33</v>
      </c>
      <c r="E26" s="411"/>
      <c r="F26" s="411"/>
      <c r="G26" s="411"/>
      <c r="H26" s="412"/>
    </row>
    <row r="27" spans="1:8" ht="14.25" customHeight="1" x14ac:dyDescent="0.2">
      <c r="B27" s="408" t="s">
        <v>34</v>
      </c>
      <c r="C27" s="413">
        <f>($C$7+$C$4*$C$3)*SUM($C$15:$C$16)</f>
        <v>312480</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386260</v>
      </c>
      <c r="D36" s="414" t="s">
        <v>49</v>
      </c>
      <c r="E36" s="411"/>
      <c r="F36" s="411"/>
      <c r="G36" s="411"/>
      <c r="H36" s="412"/>
    </row>
    <row r="37" spans="2:8" ht="14.25" customHeight="1" x14ac:dyDescent="0.2">
      <c r="B37" s="408" t="s">
        <v>50</v>
      </c>
      <c r="C37" s="413">
        <f>C5*C3*$C$6</f>
        <v>6950200</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9384864.4602199327</v>
      </c>
      <c r="D44" s="414" t="s">
        <v>62</v>
      </c>
      <c r="E44" s="411"/>
      <c r="F44" s="411"/>
      <c r="G44" s="411"/>
      <c r="H44" s="412"/>
    </row>
    <row r="45" spans="2:8" ht="14.25" customHeight="1" x14ac:dyDescent="0.2">
      <c r="B45" s="408" t="s">
        <v>63</v>
      </c>
      <c r="C45" s="413">
        <f>$C$3*($C$17+$C$4*SUM($C$12:$C$16)+$C$5*$C$6)+$C$7*($C$17+SUM($C$12:$C$16))</f>
        <v>9384864.4602199327</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1057856.7849926036</v>
      </c>
      <c r="D26" s="360" t="s">
        <v>85</v>
      </c>
    </row>
    <row r="27" spans="1:8" ht="14.25" customHeight="1" x14ac:dyDescent="0.2">
      <c r="B27" s="361" t="s">
        <v>32</v>
      </c>
      <c r="C27" s="394">
        <v>0</v>
      </c>
      <c r="D27" s="363" t="s">
        <v>86</v>
      </c>
    </row>
    <row r="28" spans="1:8" ht="16.5" customHeight="1" x14ac:dyDescent="0.2">
      <c r="A28" s="19"/>
      <c r="B28" s="361" t="s">
        <v>34</v>
      </c>
      <c r="C28" s="395">
        <f>SUM($D$11:$D$12)*C45</f>
        <v>5666341.7889207778</v>
      </c>
      <c r="D28" s="360" t="s">
        <v>87</v>
      </c>
    </row>
    <row r="29" spans="1:8" ht="16.5" customHeight="1" x14ac:dyDescent="0.2">
      <c r="A29" s="19"/>
      <c r="B29" s="361" t="s">
        <v>36</v>
      </c>
      <c r="C29" s="395">
        <f>$D$10*$C$45</f>
        <v>0</v>
      </c>
      <c r="D29" s="360" t="s">
        <v>88</v>
      </c>
    </row>
    <row r="30" spans="1:8" ht="16.5" customHeight="1" x14ac:dyDescent="0.2">
      <c r="A30" s="19"/>
      <c r="B30" s="330" t="s">
        <v>38</v>
      </c>
      <c r="C30" s="396">
        <f>$D4*$C$45*C17</f>
        <v>2220451.8655290292</v>
      </c>
      <c r="D30" s="365" t="s">
        <v>89</v>
      </c>
    </row>
    <row r="31" spans="1:8" ht="16.5" customHeight="1" x14ac:dyDescent="0.2">
      <c r="A31" s="19"/>
      <c r="B31" s="330" t="s">
        <v>41</v>
      </c>
      <c r="C31" s="396">
        <f>$D5*$C$45*C17</f>
        <v>83790.636435057706</v>
      </c>
      <c r="D31" s="365" t="s">
        <v>90</v>
      </c>
    </row>
    <row r="32" spans="1:8" ht="16.5" customHeight="1" x14ac:dyDescent="0.2">
      <c r="A32" s="19"/>
      <c r="B32" s="330" t="s">
        <v>40</v>
      </c>
      <c r="C32" s="396">
        <f>$D6*$C$45*C17</f>
        <v>230424.25019640874</v>
      </c>
      <c r="D32" s="365" t="s">
        <v>91</v>
      </c>
    </row>
    <row r="33" spans="1:8" ht="16.5" customHeight="1" x14ac:dyDescent="0.2">
      <c r="A33" s="19"/>
      <c r="B33" s="330" t="s">
        <v>42</v>
      </c>
      <c r="C33" s="396">
        <f>$D7*$C$45*C17</f>
        <v>10473.829554382213</v>
      </c>
      <c r="D33" s="365" t="s">
        <v>92</v>
      </c>
    </row>
    <row r="34" spans="1:8" ht="16.5" customHeight="1" x14ac:dyDescent="0.2">
      <c r="A34" s="19"/>
      <c r="B34" s="361" t="s">
        <v>43</v>
      </c>
      <c r="C34" s="396">
        <f>D18*C$45*C16</f>
        <v>3398792.3719518441</v>
      </c>
      <c r="D34" s="365" t="s">
        <v>93</v>
      </c>
    </row>
    <row r="35" spans="1:8" ht="16.5" customHeight="1" x14ac:dyDescent="0.2">
      <c r="A35" s="19"/>
      <c r="B35" s="361" t="s">
        <v>45</v>
      </c>
      <c r="C35" s="396">
        <v>0</v>
      </c>
      <c r="D35" s="365" t="s">
        <v>94</v>
      </c>
      <c r="G35" s="109">
        <f>Restaurants!C27</f>
        <v>29299.366040000001</v>
      </c>
    </row>
    <row r="36" spans="1:8" ht="16.5" customHeight="1" x14ac:dyDescent="0.2">
      <c r="A36" s="19"/>
      <c r="B36" s="361" t="s">
        <v>47</v>
      </c>
      <c r="C36" s="396">
        <v>0</v>
      </c>
      <c r="D36" s="365" t="s">
        <v>94</v>
      </c>
      <c r="G36" s="110">
        <f>+Lodges!C27</f>
        <v>227879.91107304633</v>
      </c>
    </row>
    <row r="37" spans="1:8" ht="16.5" customHeight="1" x14ac:dyDescent="0.2">
      <c r="A37" s="19"/>
      <c r="B37" s="361" t="s">
        <v>48</v>
      </c>
      <c r="C37" s="396">
        <v>0</v>
      </c>
      <c r="D37" s="365" t="s">
        <v>95</v>
      </c>
      <c r="G37" s="110">
        <f>+SUM(Households!C30:D30)</f>
        <v>6885088.6315387413</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6155.4437688888893</v>
      </c>
    </row>
    <row r="40" spans="1:8" ht="16.5" customHeight="1" x14ac:dyDescent="0.2">
      <c r="A40" s="19"/>
      <c r="B40" s="361" t="s">
        <v>54</v>
      </c>
      <c r="C40" s="396">
        <v>0</v>
      </c>
      <c r="D40" s="365" t="s">
        <v>98</v>
      </c>
    </row>
    <row r="41" spans="1:8" ht="16.5" customHeight="1" x14ac:dyDescent="0.2">
      <c r="A41" s="19"/>
      <c r="B41" s="328" t="s">
        <v>551</v>
      </c>
      <c r="C41" s="463">
        <f>$D$14*$C$45</f>
        <v>251371.90930517312</v>
      </c>
      <c r="D41" s="345" t="s">
        <v>552</v>
      </c>
    </row>
    <row r="42" spans="1:8" ht="16.5" customHeight="1" x14ac:dyDescent="0.2">
      <c r="A42" s="19"/>
      <c r="B42" s="328" t="s">
        <v>57</v>
      </c>
      <c r="C42" s="463">
        <f>$D$15*$C$45</f>
        <v>73316.806880675489</v>
      </c>
      <c r="D42" s="353" t="s">
        <v>553</v>
      </c>
    </row>
    <row r="43" spans="1:8" ht="16.5" customHeight="1" x14ac:dyDescent="0.2">
      <c r="A43" s="19"/>
      <c r="B43" s="397" t="s">
        <v>59</v>
      </c>
      <c r="C43" s="398">
        <f>$C$45*$D$13+C45*SUM(D4:D7)*(1-C17)+C45*C18*(1-C16)</f>
        <v>879801.68256810599</v>
      </c>
      <c r="D43" s="365" t="s">
        <v>99</v>
      </c>
      <c r="G43" s="108">
        <f>(Restaurants!C27+Lodges!C27+SUM(Households!C30:D30)+NatParkPA!C27+ Tourism!C26 + Tourists!C25 + ComRevSh!C25 )/(1-0)</f>
        <v>7148423.3524206765</v>
      </c>
    </row>
    <row r="44" spans="1:8" ht="16.5" customHeight="1" x14ac:dyDescent="0.2">
      <c r="A44" s="19"/>
      <c r="B44" s="361" t="s">
        <v>61</v>
      </c>
      <c r="C44" s="398">
        <f>SUM(C26:C43)</f>
        <v>13872621.926334061</v>
      </c>
      <c r="D44" s="365" t="s">
        <v>100</v>
      </c>
    </row>
    <row r="45" spans="1:8" ht="16.5" customHeight="1" x14ac:dyDescent="0.2">
      <c r="A45" s="19"/>
      <c r="B45" s="361" t="s">
        <v>63</v>
      </c>
      <c r="C45" s="399">
        <f>(Restaurants!C27+Lodges!C27+SUM(Households!C30:D30)+NatParkPA!C27+Tourism!C26+Tourists!C25+ComRevSh!C25)/(1-SUM(D8:D12))</f>
        <v>13872621.926334057</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10822745.423801176</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395322.90694638464</v>
      </c>
      <c r="D26" s="379" t="s">
        <v>128</v>
      </c>
    </row>
    <row r="27" spans="1:8" ht="14.25" customHeight="1" x14ac:dyDescent="0.2">
      <c r="B27" s="330" t="s">
        <v>32</v>
      </c>
      <c r="C27" s="381">
        <v>0</v>
      </c>
      <c r="D27" s="331" t="s">
        <v>129</v>
      </c>
    </row>
    <row r="28" spans="1:8" ht="16.5" customHeight="1" x14ac:dyDescent="0.2">
      <c r="A28" s="19"/>
      <c r="B28" s="330" t="s">
        <v>34</v>
      </c>
      <c r="C28" s="383">
        <f>SUM($D$11:$D$12)*$C$45</f>
        <v>3471966.4001378124</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1615667.5327373976</v>
      </c>
      <c r="D30" s="380" t="s">
        <v>89</v>
      </c>
    </row>
    <row r="31" spans="1:8" ht="16.5" customHeight="1" x14ac:dyDescent="0.2">
      <c r="A31" s="19"/>
      <c r="B31" s="330" t="s">
        <v>41</v>
      </c>
      <c r="C31" s="383">
        <f>D5*$C$45*C17</f>
        <v>687518.09903719055</v>
      </c>
      <c r="D31" s="380" t="s">
        <v>90</v>
      </c>
    </row>
    <row r="32" spans="1:8" ht="16.5" customHeight="1" x14ac:dyDescent="0.2">
      <c r="A32" s="19"/>
      <c r="B32" s="330" t="s">
        <v>40</v>
      </c>
      <c r="C32" s="383">
        <f>D6*$C$45*C17</f>
        <v>309383.14456673578</v>
      </c>
      <c r="D32" s="380" t="s">
        <v>91</v>
      </c>
    </row>
    <row r="33" spans="1:8" ht="16.5" customHeight="1" x14ac:dyDescent="0.2">
      <c r="A33" s="19"/>
      <c r="B33" s="330" t="s">
        <v>42</v>
      </c>
      <c r="C33" s="383">
        <f>D7*$C$45*C17</f>
        <v>1907862.7248282041</v>
      </c>
      <c r="D33" s="380" t="s">
        <v>92</v>
      </c>
    </row>
    <row r="34" spans="1:8" ht="16.5" customHeight="1" x14ac:dyDescent="0.2">
      <c r="A34" s="19"/>
      <c r="B34" s="330" t="s">
        <v>43</v>
      </c>
      <c r="C34" s="383">
        <f>$C$45*D18*C16</f>
        <v>2971584.0724382265</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395322.90694638464</v>
      </c>
      <c r="D41" s="345" t="s">
        <v>552</v>
      </c>
    </row>
    <row r="42" spans="1:8" ht="16.5" customHeight="1" x14ac:dyDescent="0.2">
      <c r="A42" s="19"/>
      <c r="B42" s="328" t="s">
        <v>57</v>
      </c>
      <c r="C42" s="463">
        <f>$D$15*$C$45</f>
        <v>446886.76437417383</v>
      </c>
      <c r="D42" s="353" t="s">
        <v>553</v>
      </c>
    </row>
    <row r="43" spans="1:8" ht="16.5" customHeight="1" x14ac:dyDescent="0.2">
      <c r="A43" s="19"/>
      <c r="B43" s="382" t="s">
        <v>59</v>
      </c>
      <c r="C43" s="383">
        <f>$D$13*$C$45 + C45*SUM(D4:D7)*(1-C17) + C45*C18*(1-C16)</f>
        <v>3661033.8773730402</v>
      </c>
      <c r="D43" s="380" t="s">
        <v>136</v>
      </c>
    </row>
    <row r="44" spans="1:8" ht="16.5" customHeight="1" x14ac:dyDescent="0.2">
      <c r="A44" s="19"/>
      <c r="B44" s="330" t="s">
        <v>61</v>
      </c>
      <c r="C44" s="383">
        <f>SUM($C$26:$C$43)</f>
        <v>15862548.429385552</v>
      </c>
      <c r="D44" s="380" t="s">
        <v>62</v>
      </c>
    </row>
    <row r="45" spans="1:8" ht="33" customHeight="1" x14ac:dyDescent="0.2">
      <c r="A45" s="19"/>
      <c r="B45" s="330" t="s">
        <v>63</v>
      </c>
      <c r="C45" s="381">
        <f>SUM(Tourists!C27, Tourism!C28, Lodges!C29,Restaurants!C29,SUM(Households!C32:D32) + NatParkPA!C29  + ComRevSh!C27)/(1-SUM(D8:D12))</f>
        <v>15862548.42938555</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53902.884851310781</v>
      </c>
      <c r="D28" s="379" t="s">
        <v>149</v>
      </c>
    </row>
    <row r="29" spans="1:8" ht="14.25" customHeight="1" x14ac:dyDescent="0.2">
      <c r="B29" s="330" t="s">
        <v>32</v>
      </c>
      <c r="C29" s="362">
        <v>0</v>
      </c>
      <c r="D29" s="331" t="s">
        <v>150</v>
      </c>
    </row>
    <row r="30" spans="1:8" ht="16.5" customHeight="1" x14ac:dyDescent="0.2">
      <c r="A30" s="19"/>
      <c r="B30" s="330" t="s">
        <v>34</v>
      </c>
      <c r="C30" s="364">
        <f>$C$47*$D$12</f>
        <v>684883.71340488992</v>
      </c>
      <c r="D30" s="379" t="s">
        <v>151</v>
      </c>
    </row>
    <row r="31" spans="1:8" ht="16.5" customHeight="1" x14ac:dyDescent="0.2">
      <c r="A31" s="19"/>
      <c r="B31" s="330" t="s">
        <v>36</v>
      </c>
      <c r="C31" s="364">
        <f>$C$47*D10</f>
        <v>469272.17399964679</v>
      </c>
      <c r="D31" s="379" t="s">
        <v>152</v>
      </c>
    </row>
    <row r="32" spans="1:8" ht="16.5" customHeight="1" x14ac:dyDescent="0.2">
      <c r="A32" s="19"/>
      <c r="B32" s="330" t="s">
        <v>38</v>
      </c>
      <c r="C32" s="364">
        <f>D4*$C$47*C17</f>
        <v>1046350.1177019151</v>
      </c>
      <c r="D32" s="380" t="s">
        <v>89</v>
      </c>
    </row>
    <row r="33" spans="1:7" ht="16.5" customHeight="1" x14ac:dyDescent="0.2">
      <c r="A33" s="19"/>
      <c r="B33" s="330" t="s">
        <v>41</v>
      </c>
      <c r="C33" s="364">
        <f>D5*$C$47*C17</f>
        <v>88781.222108041271</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1333159.5852262694</v>
      </c>
      <c r="D36" s="380" t="s">
        <v>93</v>
      </c>
      <c r="G36" s="110">
        <f>SUM(Lodges!C30,Restaurants!C30,SUM(Households!C33:D33),NatParkPA!C30,Tourism!C29,ComRevSh!C28)/(1-C10-C8-C11-C12)</f>
        <v>6406582.1684161378</v>
      </c>
    </row>
    <row r="37" spans="1:7" ht="16.5" customHeight="1" x14ac:dyDescent="0.2">
      <c r="A37" s="19"/>
      <c r="B37" s="330" t="s">
        <v>45</v>
      </c>
      <c r="C37" s="381">
        <v>0</v>
      </c>
      <c r="D37" s="380" t="s">
        <v>153</v>
      </c>
      <c r="G37" s="110">
        <f>SUM(Lodges!C30,Restaurants!C30,SUM(Households!C33:D33),NatParkPA!C30,Tourism!C29,ComRevSh!C28)</f>
        <v>2639511.8533874485</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38049.095189160544</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133171.8331620619</v>
      </c>
      <c r="D45" s="380" t="s">
        <v>158</v>
      </c>
      <c r="G45" s="110"/>
    </row>
    <row r="46" spans="1:7" ht="16.5" customHeight="1" x14ac:dyDescent="0.2">
      <c r="A46" s="19"/>
      <c r="B46" s="330" t="s">
        <v>61</v>
      </c>
      <c r="C46" s="383">
        <f>SUM(C28:C45)</f>
        <v>3847570.6256432957</v>
      </c>
      <c r="D46" s="380" t="s">
        <v>62</v>
      </c>
      <c r="G46" s="110"/>
    </row>
    <row r="47" spans="1:7" ht="47.25" customHeight="1" x14ac:dyDescent="0.2">
      <c r="A47" s="19"/>
      <c r="B47" s="330" t="s">
        <v>63</v>
      </c>
      <c r="C47" s="381">
        <f>SUM(Lodges!C30,Restaurants!C30,SUM(Households!C33:D33),NatParkPA!C30,Tourism!C29,ComRevSh!C28)/(1-SUM(D8:D12))</f>
        <v>4503917.5176563151</v>
      </c>
      <c r="D47" s="380" t="s">
        <v>159</v>
      </c>
      <c r="F47" s="127" t="s">
        <v>372</v>
      </c>
    </row>
    <row r="48" spans="1:7" ht="16.5" customHeight="1" x14ac:dyDescent="0.2">
      <c r="A48" s="19"/>
      <c r="B48" s="330" t="s">
        <v>65</v>
      </c>
      <c r="C48" s="381">
        <f>C47-C46</f>
        <v>656346.89201301942</v>
      </c>
      <c r="D48" s="380" t="s">
        <v>102</v>
      </c>
    </row>
    <row r="49" spans="1:8" ht="16.5" customHeight="1" x14ac:dyDescent="0.2">
      <c r="A49" s="19"/>
      <c r="B49" s="384" t="s">
        <v>67</v>
      </c>
      <c r="C49" s="385">
        <f>C48/C47</f>
        <v>0.145728</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29299.366040000001</v>
      </c>
      <c r="D27" s="360" t="s">
        <v>169</v>
      </c>
    </row>
    <row r="28" spans="1:9" ht="14.25" customHeight="1" x14ac:dyDescent="0.2">
      <c r="B28" s="361" t="s">
        <v>32</v>
      </c>
      <c r="C28" s="362">
        <v>0</v>
      </c>
      <c r="D28" s="363" t="s">
        <v>170</v>
      </c>
    </row>
    <row r="29" spans="1:9" ht="15.75" customHeight="1" x14ac:dyDescent="0.2">
      <c r="B29" s="359" t="s">
        <v>34</v>
      </c>
      <c r="C29" s="335">
        <f>($D11+$D$12)*$C$46</f>
        <v>102396.75348000003</v>
      </c>
      <c r="D29" s="360" t="s">
        <v>171</v>
      </c>
    </row>
    <row r="30" spans="1:9" ht="15.75" customHeight="1" x14ac:dyDescent="0.2">
      <c r="B30" s="359" t="s">
        <v>36</v>
      </c>
      <c r="C30" s="335">
        <f>$D10*$C$46</f>
        <v>22050.038360000006</v>
      </c>
      <c r="D30" s="360" t="s">
        <v>172</v>
      </c>
    </row>
    <row r="31" spans="1:9" ht="15.75" customHeight="1" x14ac:dyDescent="0.2">
      <c r="B31" s="330" t="s">
        <v>38</v>
      </c>
      <c r="C31" s="364">
        <f>D4*$C$46*C17</f>
        <v>16310.987280000003</v>
      </c>
      <c r="D31" s="365" t="s">
        <v>89</v>
      </c>
    </row>
    <row r="32" spans="1:9" ht="15.75" customHeight="1" x14ac:dyDescent="0.2">
      <c r="B32" s="330" t="s">
        <v>41</v>
      </c>
      <c r="C32" s="364">
        <f>D5*$C$46*C17</f>
        <v>5739.0510800000011</v>
      </c>
      <c r="D32" s="365" t="s">
        <v>90</v>
      </c>
    </row>
    <row r="33" spans="2:5" ht="15.75" customHeight="1" x14ac:dyDescent="0.2">
      <c r="B33" s="330" t="s">
        <v>40</v>
      </c>
      <c r="C33" s="364">
        <f>D6*$C$46*C17</f>
        <v>42589.800120000007</v>
      </c>
      <c r="D33" s="365" t="s">
        <v>91</v>
      </c>
    </row>
    <row r="34" spans="2:5" ht="15.75" customHeight="1" x14ac:dyDescent="0.2">
      <c r="B34" s="330" t="s">
        <v>42</v>
      </c>
      <c r="C34" s="364">
        <f>D7*$C$46*C17</f>
        <v>5436.9957600000016</v>
      </c>
      <c r="D34" s="365" t="s">
        <v>92</v>
      </c>
    </row>
    <row r="35" spans="2:5" ht="15.75" customHeight="1" x14ac:dyDescent="0.2">
      <c r="B35" s="359" t="s">
        <v>43</v>
      </c>
      <c r="C35" s="364">
        <f>D18*C46*C16</f>
        <v>84204.68</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11780.157480000003</v>
      </c>
      <c r="D42" s="345" t="s">
        <v>552</v>
      </c>
    </row>
    <row r="43" spans="2:5" ht="15.75" customHeight="1" x14ac:dyDescent="0.2">
      <c r="B43" s="328" t="s">
        <v>57</v>
      </c>
      <c r="C43" s="364">
        <f>$D$15*$C$46</f>
        <v>4832.8851200000017</v>
      </c>
      <c r="D43" s="353" t="s">
        <v>553</v>
      </c>
    </row>
    <row r="44" spans="2:5" ht="15.75" customHeight="1" x14ac:dyDescent="0.2">
      <c r="B44" s="368" t="s">
        <v>59</v>
      </c>
      <c r="C44" s="364">
        <f>D13*C46 + C46*SUM(D4:D7)*(1-C17) + C46*D18*(1-C16)</f>
        <v>61619.285280000011</v>
      </c>
      <c r="D44" s="369" t="s">
        <v>178</v>
      </c>
    </row>
    <row r="45" spans="2:5" ht="15.75" customHeight="1" x14ac:dyDescent="0.2">
      <c r="B45" s="359" t="s">
        <v>61</v>
      </c>
      <c r="C45" s="364">
        <f>SUM(C27:C44)</f>
        <v>386260</v>
      </c>
      <c r="D45" s="367" t="s">
        <v>179</v>
      </c>
    </row>
    <row r="46" spans="2:5" ht="15.75" customHeight="1" x14ac:dyDescent="0.2">
      <c r="B46" s="359" t="s">
        <v>63</v>
      </c>
      <c r="C46" s="364">
        <f>Tourists!$C$36+SUM(Households!C41:D41) + Ag!C37 + Tourism!C37 + Nonag!C37 + Fishing!C39 + Lodges!C38 + ComRevSh!C36 + NatParkPA!C38</f>
        <v>386260</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227879.91107304633</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1505414.6888059587</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63327.407573387194</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350791.14532224589</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404369.15307012259</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489200.99867092713</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175817.92182129767</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1193665.0603590459</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364780.68105138239</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116161.96983734377</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1921026.1757643651</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6812435.1133491229</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6950200</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137764.88665087707</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1.9821715439969651E-2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6155.4437688888893</v>
      </c>
      <c r="D26" s="379" t="s">
        <v>113</v>
      </c>
    </row>
    <row r="27" spans="1:8" ht="16.5" customHeight="1" x14ac:dyDescent="0.2">
      <c r="A27" s="19"/>
      <c r="B27" s="330" t="s">
        <v>32</v>
      </c>
      <c r="C27" s="364">
        <v>0</v>
      </c>
      <c r="D27" s="380" t="s">
        <v>114</v>
      </c>
    </row>
    <row r="28" spans="1:8" ht="16.5" customHeight="1" x14ac:dyDescent="0.2">
      <c r="A28" s="19"/>
      <c r="B28" s="330" t="s">
        <v>34</v>
      </c>
      <c r="C28" s="364">
        <f>SUM($D$11:$D$12)*$C$46</f>
        <v>452425.11701333337</v>
      </c>
      <c r="D28" s="379" t="s">
        <v>115</v>
      </c>
    </row>
    <row r="29" spans="1:8" ht="16.5" customHeight="1" x14ac:dyDescent="0.2">
      <c r="A29" s="19"/>
      <c r="B29" s="330" t="s">
        <v>36</v>
      </c>
      <c r="C29" s="364">
        <f>$D$10*$C$46</f>
        <v>6155.4437688888893</v>
      </c>
      <c r="D29" s="379" t="s">
        <v>116</v>
      </c>
    </row>
    <row r="30" spans="1:8" ht="16.5" customHeight="1" x14ac:dyDescent="0.2">
      <c r="A30" s="19"/>
      <c r="B30" s="330" t="s">
        <v>38</v>
      </c>
      <c r="C30" s="364">
        <f>D4*$C$46*C17</f>
        <v>46678.781914074068</v>
      </c>
      <c r="D30" s="380" t="s">
        <v>89</v>
      </c>
    </row>
    <row r="31" spans="1:8" ht="16.5" customHeight="1" x14ac:dyDescent="0.2">
      <c r="A31" s="19"/>
      <c r="B31" s="330" t="s">
        <v>41</v>
      </c>
      <c r="C31" s="364">
        <f>D5*$C$46*C17</f>
        <v>66068.429786074077</v>
      </c>
      <c r="D31" s="380" t="s">
        <v>90</v>
      </c>
    </row>
    <row r="32" spans="1:8" ht="16.5" customHeight="1" x14ac:dyDescent="0.2">
      <c r="A32" s="19"/>
      <c r="B32" s="330" t="s">
        <v>40</v>
      </c>
      <c r="C32" s="364">
        <f>D6*$C$46*C17</f>
        <v>54578.268084148149</v>
      </c>
      <c r="D32" s="380" t="s">
        <v>91</v>
      </c>
    </row>
    <row r="33" spans="1:4" ht="16.5" customHeight="1" x14ac:dyDescent="0.2">
      <c r="A33" s="19"/>
      <c r="B33" s="330" t="s">
        <v>42</v>
      </c>
      <c r="C33" s="364">
        <f>D7*$C$46*C17</f>
        <v>16517.107446518519</v>
      </c>
      <c r="D33" s="380" t="s">
        <v>92</v>
      </c>
    </row>
    <row r="34" spans="1:4" ht="16.5" customHeight="1" x14ac:dyDescent="0.2">
      <c r="A34" s="19"/>
      <c r="B34" s="330" t="s">
        <v>43</v>
      </c>
      <c r="C34" s="364">
        <f>D18*$C$46*C16</f>
        <v>324450.40668444446</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46935.258737777782</v>
      </c>
      <c r="D42" s="345" t="s">
        <v>552</v>
      </c>
    </row>
    <row r="43" spans="1:4" ht="16.5" customHeight="1" x14ac:dyDescent="0.2">
      <c r="A43" s="19"/>
      <c r="B43" s="328" t="s">
        <v>57</v>
      </c>
      <c r="C43" s="349">
        <f>$D$15*$C$46</f>
        <v>26930.066488888893</v>
      </c>
      <c r="D43" s="353" t="s">
        <v>553</v>
      </c>
    </row>
    <row r="44" spans="1:4" ht="16.5" customHeight="1" x14ac:dyDescent="0.2">
      <c r="A44" s="19"/>
      <c r="B44" s="382" t="s">
        <v>59</v>
      </c>
      <c r="C44" s="364">
        <f>$D$13*$C$46 + C46*SUM(D4:D7)*(1-C17) + C46*C18*(1-C16)</f>
        <v>477065.67630696308</v>
      </c>
      <c r="D44" s="380" t="s">
        <v>123</v>
      </c>
    </row>
    <row r="45" spans="1:4" ht="16.5" customHeight="1" x14ac:dyDescent="0.2">
      <c r="A45" s="19"/>
      <c r="B45" s="330" t="s">
        <v>61</v>
      </c>
      <c r="C45" s="383">
        <f>SUM($C$26:$C$44)</f>
        <v>1523960.0000000002</v>
      </c>
      <c r="D45" s="380" t="s">
        <v>62</v>
      </c>
    </row>
    <row r="46" spans="1:4" ht="33" customHeight="1" x14ac:dyDescent="0.2">
      <c r="A46" s="19"/>
      <c r="B46" s="330" t="s">
        <v>63</v>
      </c>
      <c r="C46" s="381">
        <f>SUM(Tourists!C26)</f>
        <v>1523960</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1108240.0087098787</v>
      </c>
      <c r="D5" s="45" t="s">
        <v>615</v>
      </c>
      <c r="E5" s="46"/>
      <c r="F5" s="476"/>
      <c r="G5" s="47"/>
    </row>
    <row r="6" spans="1:7" ht="26.25" customHeight="1" x14ac:dyDescent="0.2">
      <c r="A6" s="256"/>
      <c r="B6" s="300" t="s">
        <v>614</v>
      </c>
      <c r="C6" s="301">
        <f>C5-C4</f>
        <v>-41163.415195228765</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432213.60339685268</v>
      </c>
      <c r="D27" s="343" t="s">
        <v>589</v>
      </c>
    </row>
    <row r="28" spans="1:8" ht="15.75" customHeight="1" x14ac:dyDescent="0.2">
      <c r="B28" s="328" t="s">
        <v>36</v>
      </c>
      <c r="C28" s="422">
        <f>C15*C5</f>
        <v>0</v>
      </c>
      <c r="D28" s="343" t="s">
        <v>590</v>
      </c>
    </row>
    <row r="29" spans="1:8" ht="15.75" customHeight="1" x14ac:dyDescent="0.2">
      <c r="B29" s="330" t="s">
        <v>38</v>
      </c>
      <c r="C29" s="422">
        <f>C9*C5*C19</f>
        <v>22164.800174197575</v>
      </c>
      <c r="D29" s="347" t="s">
        <v>89</v>
      </c>
    </row>
    <row r="30" spans="1:8" ht="15.75" customHeight="1" x14ac:dyDescent="0.2">
      <c r="B30" s="330" t="s">
        <v>41</v>
      </c>
      <c r="C30" s="422">
        <f>C10*C5*C19</f>
        <v>121906.40095808666</v>
      </c>
      <c r="D30" s="347" t="s">
        <v>90</v>
      </c>
    </row>
    <row r="31" spans="1:8" ht="15.75" customHeight="1" x14ac:dyDescent="0.2">
      <c r="B31" s="330" t="s">
        <v>40</v>
      </c>
      <c r="C31" s="422">
        <f>C11*C5*C19</f>
        <v>11082.400087098787</v>
      </c>
      <c r="D31" s="347" t="s">
        <v>91</v>
      </c>
    </row>
    <row r="32" spans="1:8" ht="15.75" customHeight="1" x14ac:dyDescent="0.2">
      <c r="B32" s="330" t="s">
        <v>42</v>
      </c>
      <c r="C32" s="422">
        <f>C12*C5*C19</f>
        <v>177318.4013935806</v>
      </c>
      <c r="D32" s="347" t="s">
        <v>92</v>
      </c>
    </row>
    <row r="33" spans="2:6" ht="15.75" customHeight="1" x14ac:dyDescent="0.2">
      <c r="B33" s="328" t="s">
        <v>43</v>
      </c>
      <c r="C33" s="422">
        <f>C13*C5</f>
        <v>11082.400087098787</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332472.00261296361</v>
      </c>
      <c r="D43" s="351" t="s">
        <v>178</v>
      </c>
    </row>
    <row r="44" spans="2:6" ht="15.75" customHeight="1" x14ac:dyDescent="0.2">
      <c r="B44" s="328" t="s">
        <v>61</v>
      </c>
      <c r="C44" s="422">
        <f>SUM(C25:C43)</f>
        <v>1108240.0087098789</v>
      </c>
      <c r="D44" s="350" t="s">
        <v>179</v>
      </c>
      <c r="F44" s="100">
        <f>C44-C4</f>
        <v>-41163.415195228532</v>
      </c>
    </row>
    <row r="45" spans="2:6" ht="15.75" customHeight="1" x14ac:dyDescent="0.2">
      <c r="B45" s="328" t="s">
        <v>63</v>
      </c>
      <c r="C45" s="422">
        <f>C5</f>
        <v>1108240.0087098787</v>
      </c>
      <c r="D45" s="350" t="s">
        <v>180</v>
      </c>
    </row>
    <row r="46" spans="2:6" ht="15.75" customHeight="1" x14ac:dyDescent="0.2">
      <c r="B46" s="328" t="s">
        <v>222</v>
      </c>
      <c r="C46" s="424">
        <f>MAX(0,(C44-C45))</f>
        <v>2.3283064365386963E-10</v>
      </c>
      <c r="D46" s="341"/>
    </row>
    <row r="47" spans="2:6" ht="15.75" customHeight="1" x14ac:dyDescent="0.2"/>
    <row r="48" spans="2:6" ht="15.75" customHeight="1" x14ac:dyDescent="0.2">
      <c r="B48" s="62" t="s">
        <v>223</v>
      </c>
      <c r="C48" s="22">
        <f>C46/C44</f>
        <v>2.1009045136794128E-16</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1108240.0087098787</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-41163.415195228765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C1" zoomScale="108" workbookViewId="0">
      <selection activeCell="C5" sqref="C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2.5</v>
      </c>
      <c r="G2" s="56">
        <v>2.5</v>
      </c>
      <c r="H2" s="57">
        <v>0.14199999999999999</v>
      </c>
      <c r="I2" s="1" t="s">
        <v>242</v>
      </c>
      <c r="J2" s="1">
        <v>404.37170745953523</v>
      </c>
      <c r="K2" s="1">
        <v>1550.0915452615441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f>J2/F2</f>
        <v>161.74868298381409</v>
      </c>
      <c r="D4" s="430">
        <f>K2/G2</f>
        <v>620.03661810461767</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0.40123015305392767</v>
      </c>
      <c r="H7" s="444">
        <f>$C$7/SUM($C$6:$C$11)*$C$2*$C$4/($C$7/SUM($C$6:$C$11)*$C$2*$C$4+$D$7/SUM($D$6:$D$11)*$D$2*$D$4)</f>
        <v>0.53020189729110434</v>
      </c>
      <c r="I7" s="444">
        <f>$C$8/SUM($C$6:$C$11)*$C$2*$C$4/($C$8/SUM($C$6:$C$11)*$C$2*$C$4+$D$8/SUM($D$6:$D$11)*$D$2*$D$4)</f>
        <v>0.49414304819296639</v>
      </c>
      <c r="J7" s="444">
        <f>$C$9/SUM($C$6:$C$11)*$C$2*$C$4/($C$9/SUM($C$6:$C$11)*$C$2*$C$4+$D$9/SUM($D$6:$D$11)*$D$2*$D$4)</f>
        <v>0.45051194539249267</v>
      </c>
      <c r="K7" s="445">
        <f>$C$10/SUM($C$6:$C$11)*$C$2*$C$4/($C$10/SUM($C$6:$C$11)*$C$2*$C$4+$D$10/SUM($D$6:$D$11)*$D$2*$D$4)</f>
        <v>0.64622030237581107</v>
      </c>
    </row>
    <row r="8" spans="1:17" ht="15.75" customHeight="1" x14ac:dyDescent="0.2">
      <c r="A8" s="490"/>
      <c r="B8" s="441" t="s">
        <v>253</v>
      </c>
      <c r="C8" s="431">
        <v>0.20499999999999999</v>
      </c>
      <c r="D8" s="431">
        <v>0.22500000000000001</v>
      </c>
      <c r="E8" s="488"/>
      <c r="F8" s="58" t="s">
        <v>47</v>
      </c>
      <c r="G8" s="444">
        <f>$D$6/SUM($D$6:$D$11)*$D$2*$D$4/($C$6/SUM($C$6:$C$11)*$C$2*$C$4+$D$6/SUM($D$6:$D$11)*$D$2*$D$4)</f>
        <v>0.59876984694607238</v>
      </c>
      <c r="H8" s="444">
        <f>$D$7/SUM($D$6:$D$11)*$D$2*$D$4/($C$7/SUM($C$6:$C$11)*$C$2*$C$4+$D$7/SUM($D$6:$D$11)*$D$2*$D$4)</f>
        <v>0.46979810270889577</v>
      </c>
      <c r="I8" s="444">
        <f>$D$8/SUM($D$6:$D$11)*$D$2*$D$4/($C$8/SUM($C$6:$C$11)*$C$2*$C$4+$D$8/SUM($D$6:$D$11)*$D$2*$D$4)</f>
        <v>0.50585695180703349</v>
      </c>
      <c r="J8" s="444">
        <f>$D$9/SUM($D$6:$D$11)*$D$2*$D$4/($C$9/SUM($C$6:$C$11)*$C$2*$C$4+$D$9/SUM($D$6:$D$11)*$D$2*$D$4)</f>
        <v>0.54948805460750738</v>
      </c>
      <c r="K8" s="445">
        <f>$D$10/SUM($D$6:$D$11)*$D$2*$D$4/($C$10/SUM($C$6:$C$11)*$C$2*$C$4+$D$10/SUM($D$6:$D$11)*$D$2*$D$4)</f>
        <v>0.35377969762418898</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0.99999999999999989</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3463888.927633639</v>
      </c>
      <c r="H12" s="447">
        <f>$D$6/SUM($D$6:$D$11)*$D$2*$D$4</f>
        <v>5169283.0841619754</v>
      </c>
    </row>
    <row r="13" spans="1:17" ht="14.25" customHeight="1" x14ac:dyDescent="0.2">
      <c r="A13" s="486" t="s">
        <v>509</v>
      </c>
      <c r="B13" s="425" t="s">
        <v>259</v>
      </c>
      <c r="C13" s="431">
        <v>0.215</v>
      </c>
      <c r="D13" s="431">
        <v>0.24</v>
      </c>
      <c r="E13" s="492" t="s">
        <v>249</v>
      </c>
      <c r="F13" s="22" t="s">
        <v>251</v>
      </c>
      <c r="G13" s="447">
        <f>$C$10/SUM($C$6:$C$11)*$C$2*$C$4</f>
        <v>3540864.2371366089</v>
      </c>
      <c r="H13" s="447">
        <f>$D$10/SUM($D$6:$D$11)*$D$2*$D$4</f>
        <v>1938481.1565607409</v>
      </c>
    </row>
    <row r="14" spans="1:17" ht="14.25" customHeight="1" x14ac:dyDescent="0.2">
      <c r="A14" s="487"/>
      <c r="B14" s="425" t="s">
        <v>260</v>
      </c>
      <c r="C14" s="431">
        <v>0</v>
      </c>
      <c r="D14" s="431">
        <v>0</v>
      </c>
      <c r="E14" s="492"/>
      <c r="F14" s="22" t="s">
        <v>261</v>
      </c>
      <c r="G14" s="448">
        <f t="shared" ref="G14:H14" si="1">C11/SUM(C6:C11)*C2*C4</f>
        <v>1308580.2615504859</v>
      </c>
      <c r="H14" s="448">
        <f t="shared" si="1"/>
        <v>502569.18873796985</v>
      </c>
    </row>
    <row r="15" spans="1:17" ht="14.25" customHeight="1" x14ac:dyDescent="0.2">
      <c r="A15" s="487"/>
      <c r="B15" s="425" t="s">
        <v>262</v>
      </c>
      <c r="C15" s="431">
        <v>0</v>
      </c>
      <c r="D15" s="431">
        <v>0</v>
      </c>
      <c r="E15" s="492"/>
      <c r="F15" s="22" t="s">
        <v>181</v>
      </c>
      <c r="G15" s="448">
        <f t="shared" ref="G15:H15" si="2">C2*C4</f>
        <v>14009506.329540493</v>
      </c>
      <c r="H15" s="448">
        <f t="shared" si="2"/>
        <v>13425776.899142908</v>
      </c>
    </row>
    <row r="16" spans="1:17" ht="14.25" customHeight="1" x14ac:dyDescent="0.2">
      <c r="A16" s="487"/>
      <c r="B16" s="425" t="s">
        <v>263</v>
      </c>
      <c r="C16" s="431">
        <v>0.29499999999999998</v>
      </c>
      <c r="D16" s="431">
        <v>0.20499999999999999</v>
      </c>
      <c r="E16" s="492"/>
      <c r="G16" s="447">
        <f t="shared" ref="G16:H16" si="3">SUM(G12:G14)</f>
        <v>8313333.4263207335</v>
      </c>
      <c r="H16" s="447">
        <f t="shared" si="3"/>
        <v>7610333.4294606857</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4132804.367214445</v>
      </c>
      <c r="D30" s="329">
        <f>D$2*D$4*D16/SUM(D13:D25)</f>
        <v>2752284.2643242958</v>
      </c>
      <c r="E30" s="1" t="s">
        <v>272</v>
      </c>
    </row>
    <row r="31" spans="1:5" ht="14.25" customHeight="1" x14ac:dyDescent="0.2">
      <c r="B31" s="330" t="s">
        <v>32</v>
      </c>
      <c r="C31" s="460">
        <f>C$2*C$4*C23/SUM(C13:C25)</f>
        <v>700475.31647702469</v>
      </c>
      <c r="D31" s="461">
        <f>D$2*D$4*D23/SUM(D13:D25)</f>
        <v>1074062.1519314325</v>
      </c>
      <c r="E31" s="127" t="s">
        <v>538</v>
      </c>
    </row>
    <row r="32" spans="1:5" ht="14.25" customHeight="1" x14ac:dyDescent="0.2">
      <c r="B32" s="328" t="s">
        <v>34</v>
      </c>
      <c r="C32" s="329">
        <f>C2*C4*SUM(C13:C15,C18,C20)/SUM(C13:C25)</f>
        <v>4483042.0254529575</v>
      </c>
      <c r="D32" s="329">
        <f>D2*D4*SUM(D13:D15,D18,D20)/SUM(D13:D25)</f>
        <v>4900408.5681871613</v>
      </c>
      <c r="E32" s="1" t="s">
        <v>273</v>
      </c>
    </row>
    <row r="33" spans="2:5" ht="14.25" customHeight="1" x14ac:dyDescent="0.2">
      <c r="B33" s="328" t="s">
        <v>36</v>
      </c>
      <c r="C33" s="329">
        <f t="shared" ref="C33:D33" si="4">C2*C4*C17/SUM(C13:C25)</f>
        <v>1541045.6962494543</v>
      </c>
      <c r="D33" s="329">
        <f t="shared" si="4"/>
        <v>1006933.2674357181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1961330.8861356692</v>
      </c>
      <c r="D38" s="329">
        <f t="shared" si="5"/>
        <v>2618026.4953328669</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350237.65823851235</v>
      </c>
      <c r="D46" s="329">
        <f>D2*D4*D21/SUM(D13:D25)</f>
        <v>335644.4224785727</v>
      </c>
      <c r="E46" s="1" t="s">
        <v>283</v>
      </c>
    </row>
    <row r="47" spans="2:5" ht="14.25" customHeight="1" x14ac:dyDescent="0.2">
      <c r="B47" s="328" t="s">
        <v>61</v>
      </c>
      <c r="C47" s="329">
        <f>SUM(C30:C46)</f>
        <v>13168935.949768065</v>
      </c>
      <c r="D47" s="333">
        <f t="shared" ref="D47" si="7">SUM(D30:D46)</f>
        <v>12687359.169690048</v>
      </c>
      <c r="E47" s="1" t="s">
        <v>284</v>
      </c>
    </row>
    <row r="48" spans="2:5" ht="14.25" customHeight="1" x14ac:dyDescent="0.2">
      <c r="B48" s="328" t="s">
        <v>63</v>
      </c>
      <c r="C48" s="334">
        <f>C2*C4</f>
        <v>14009506.329540493</v>
      </c>
      <c r="D48" s="335">
        <f>D2*D4</f>
        <v>13425776.899142908</v>
      </c>
      <c r="E48" s="1" t="s">
        <v>285</v>
      </c>
    </row>
    <row r="49" spans="2:14" ht="14.25" customHeight="1" x14ac:dyDescent="0.2">
      <c r="B49" s="328" t="s">
        <v>65</v>
      </c>
      <c r="C49" s="329">
        <f t="shared" ref="C49:D49" si="8">C48-C47</f>
        <v>840570.37977242842</v>
      </c>
      <c r="D49" s="333">
        <f t="shared" si="8"/>
        <v>738417.72945285961</v>
      </c>
    </row>
    <row r="50" spans="2:14" ht="14.25" customHeight="1" x14ac:dyDescent="0.2">
      <c r="B50" s="336" t="s">
        <v>67</v>
      </c>
      <c r="C50" s="337">
        <f t="shared" ref="C50:D50" si="9">C49/C48</f>
        <v>5.9999999999999915E-2</v>
      </c>
      <c r="D50" s="338">
        <f t="shared" si="9"/>
        <v>5.4999999999999973E-2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161.74868298381409</v>
      </c>
      <c r="D57" s="181" t="s">
        <v>291</v>
      </c>
      <c r="E57" s="181">
        <v>0</v>
      </c>
      <c r="F57" s="181">
        <v>1000000</v>
      </c>
      <c r="G57" s="181">
        <v>1</v>
      </c>
      <c r="I57" s="181" t="str">
        <f>B4</f>
        <v>About what is the average annual per-capita income of households in this region (US$)?</v>
      </c>
      <c r="J57" s="324">
        <f>D4</f>
        <v>620.03661810461767</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1057856.7849926036</v>
      </c>
      <c r="C3" s="70">
        <f>Tourism!C26</f>
        <v>6155.4437688888893</v>
      </c>
      <c r="D3" s="70">
        <f>Nonag!C26</f>
        <v>395322.90694638464</v>
      </c>
      <c r="E3" s="70">
        <f>Fishing!C28</f>
        <v>53902.884851310781</v>
      </c>
      <c r="F3" s="70">
        <v>0</v>
      </c>
      <c r="G3" s="70"/>
      <c r="H3" s="70"/>
      <c r="I3" s="70"/>
      <c r="J3" s="70">
        <v>0</v>
      </c>
      <c r="K3" s="71">
        <f>Households!C30</f>
        <v>4132804.367214445</v>
      </c>
      <c r="L3" s="71">
        <f>Households!D30</f>
        <v>2752284.2643242958</v>
      </c>
      <c r="M3" s="72">
        <f>Restaurants!C27</f>
        <v>29299.366040000001</v>
      </c>
      <c r="N3" s="72">
        <f>Lodges!C27</f>
        <v>227879.91107304633</v>
      </c>
      <c r="O3" s="72">
        <f>Tourists!C25</f>
        <v>0</v>
      </c>
      <c r="P3" s="72">
        <f>NatParkPA!C27</f>
        <v>0</v>
      </c>
      <c r="Q3" s="72">
        <f>ComRevSh!C25</f>
        <v>0</v>
      </c>
      <c r="R3" s="72">
        <f>Localgov!C25</f>
        <v>0</v>
      </c>
      <c r="S3" s="72">
        <v>0</v>
      </c>
      <c r="T3" s="73"/>
      <c r="U3" s="70">
        <f t="shared" ref="U3:U21" si="0">SUM(B3:T3)</f>
        <v>8655505.9292109758</v>
      </c>
      <c r="V3" s="52">
        <f>U3/B22</f>
        <v>0.62392718371286682</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1523960</v>
      </c>
      <c r="P4" s="72">
        <f>NatParkPA!C28</f>
        <v>0</v>
      </c>
      <c r="Q4" s="72">
        <f>ComRevSh!C26</f>
        <v>0</v>
      </c>
      <c r="R4" s="72">
        <f>Localgov!C26</f>
        <v>0</v>
      </c>
      <c r="S4" s="72"/>
      <c r="T4" s="72"/>
      <c r="U4" s="70">
        <f t="shared" si="0"/>
        <v>1523960</v>
      </c>
      <c r="V4" s="52">
        <f>U4/C22</f>
        <v>0.99999999999999989</v>
      </c>
      <c r="W4" s="52"/>
      <c r="X4" s="59"/>
      <c r="Y4" s="59"/>
      <c r="Z4" s="59"/>
      <c r="AA4" s="59"/>
      <c r="AB4" s="59"/>
      <c r="AC4" s="59"/>
      <c r="AD4" s="59"/>
      <c r="AE4" s="59"/>
      <c r="AF4" s="59"/>
    </row>
    <row r="5" spans="1:32" ht="14.25" customHeight="1" x14ac:dyDescent="0.2">
      <c r="A5" s="69" t="s">
        <v>34</v>
      </c>
      <c r="B5" s="70">
        <f>Ag!C28</f>
        <v>5666341.7889207778</v>
      </c>
      <c r="C5" s="70">
        <f>Tourism!C28</f>
        <v>452425.11701333337</v>
      </c>
      <c r="D5" s="70">
        <f>Nonag!C28</f>
        <v>3471966.4001378124</v>
      </c>
      <c r="E5" s="70">
        <f>Fishing!C30</f>
        <v>684883.71340488992</v>
      </c>
      <c r="F5" s="70">
        <v>0</v>
      </c>
      <c r="G5" s="70"/>
      <c r="H5" s="70"/>
      <c r="I5" s="70"/>
      <c r="J5" s="70">
        <v>0</v>
      </c>
      <c r="K5" s="71">
        <f>Households!C32</f>
        <v>4483042.0254529575</v>
      </c>
      <c r="L5" s="71">
        <f>Households!D32</f>
        <v>4900408.5681871613</v>
      </c>
      <c r="M5" s="72">
        <f>Restaurants!C29</f>
        <v>102396.75348000003</v>
      </c>
      <c r="N5" s="72">
        <f>Lodges!C29</f>
        <v>1505414.6888059587</v>
      </c>
      <c r="O5" s="72">
        <f>Tourists!C27</f>
        <v>312480</v>
      </c>
      <c r="P5" s="72">
        <f>NatParkPA!C29</f>
        <v>228909.66511716411</v>
      </c>
      <c r="Q5" s="72">
        <f>ComRevSh!C27</f>
        <v>10182.304244779674</v>
      </c>
      <c r="R5" s="72">
        <f>Localgov!C27</f>
        <v>432213.60339685268</v>
      </c>
      <c r="S5" s="72">
        <v>0</v>
      </c>
      <c r="T5" s="72">
        <v>0</v>
      </c>
      <c r="U5" s="70">
        <f t="shared" si="0"/>
        <v>22250664.628161687</v>
      </c>
      <c r="V5" s="52">
        <f>U5/D22</f>
        <v>1.4027168917537913</v>
      </c>
      <c r="W5" s="52"/>
      <c r="X5" s="59"/>
      <c r="Y5" s="59"/>
      <c r="Z5" s="59"/>
      <c r="AA5" s="59"/>
      <c r="AB5" s="59"/>
      <c r="AC5" s="59"/>
      <c r="AD5" s="59"/>
      <c r="AE5" s="59"/>
      <c r="AF5" s="59"/>
    </row>
    <row r="6" spans="1:32" ht="14.25" customHeight="1" x14ac:dyDescent="0.2">
      <c r="A6" s="69" t="s">
        <v>36</v>
      </c>
      <c r="B6" s="70">
        <f>Ag!C29</f>
        <v>0</v>
      </c>
      <c r="C6" s="70">
        <f>Tourism!C29</f>
        <v>6155.4437688888893</v>
      </c>
      <c r="D6" s="70">
        <f>Nonag!C29</f>
        <v>0</v>
      </c>
      <c r="E6" s="70">
        <f>Fishing!C31</f>
        <v>469272.17399964679</v>
      </c>
      <c r="F6" s="70"/>
      <c r="G6" s="70"/>
      <c r="H6" s="70"/>
      <c r="I6" s="70"/>
      <c r="J6" s="70"/>
      <c r="K6" s="71">
        <f>Households!C33</f>
        <v>1541045.6962494543</v>
      </c>
      <c r="L6" s="71">
        <f>Households!D33</f>
        <v>1006933.2674357181</v>
      </c>
      <c r="M6" s="72">
        <f>Restaurants!C30</f>
        <v>22050.038360000006</v>
      </c>
      <c r="N6" s="72">
        <f>Lodges!C30</f>
        <v>63327.407573387194</v>
      </c>
      <c r="O6" s="72">
        <f>Tourists!C28</f>
        <v>0</v>
      </c>
      <c r="P6" s="72">
        <f>NatParkPA!C30</f>
        <v>0</v>
      </c>
      <c r="Q6" s="72">
        <f>ComRevSh!C28</f>
        <v>0</v>
      </c>
      <c r="R6" s="72">
        <f>Localgov!C28</f>
        <v>0</v>
      </c>
      <c r="S6" s="72">
        <v>0</v>
      </c>
      <c r="T6" s="72"/>
      <c r="U6" s="70">
        <f t="shared" si="0"/>
        <v>3108784.0273870951</v>
      </c>
      <c r="V6" s="52">
        <f>U6/E22</f>
        <v>0.80798621516332036</v>
      </c>
      <c r="W6" s="52"/>
      <c r="X6" s="59"/>
      <c r="Y6" s="59"/>
      <c r="Z6" s="59"/>
      <c r="AA6" s="59"/>
      <c r="AB6" s="59"/>
      <c r="AC6" s="59"/>
      <c r="AD6" s="59"/>
      <c r="AE6" s="59"/>
      <c r="AF6" s="59"/>
    </row>
    <row r="7" spans="1:32" ht="14.25" customHeight="1" x14ac:dyDescent="0.2">
      <c r="A7" s="13" t="s">
        <v>38</v>
      </c>
      <c r="B7" s="70">
        <f>Ag!C30</f>
        <v>2220451.8655290292</v>
      </c>
      <c r="C7" s="70">
        <f>Tourism!C30</f>
        <v>46678.781914074068</v>
      </c>
      <c r="D7" s="70">
        <f>Nonag!C30</f>
        <v>1615667.5327373976</v>
      </c>
      <c r="E7" s="70">
        <f>Fishing!C32</f>
        <v>1046350.1177019151</v>
      </c>
      <c r="F7" s="70">
        <v>0</v>
      </c>
      <c r="G7" s="70"/>
      <c r="H7" s="70"/>
      <c r="I7" s="70"/>
      <c r="J7" s="70">
        <v>0</v>
      </c>
      <c r="K7" s="71">
        <f>Households!C34</f>
        <v>0</v>
      </c>
      <c r="L7" s="71">
        <f>Households!D34</f>
        <v>0</v>
      </c>
      <c r="M7" s="72">
        <f>Restaurants!C31</f>
        <v>16310.987280000003</v>
      </c>
      <c r="N7" s="72">
        <f>Lodges!C31</f>
        <v>350791.14532224589</v>
      </c>
      <c r="O7" s="72">
        <f>Tourists!C29</f>
        <v>0</v>
      </c>
      <c r="P7" s="72">
        <f>NatParkPA!C31</f>
        <v>0</v>
      </c>
      <c r="Q7" s="72">
        <f>ComRevSh!C29</f>
        <v>290.92297842227634</v>
      </c>
      <c r="R7" s="72">
        <f>Localgov!C29</f>
        <v>22164.800174197575</v>
      </c>
      <c r="S7" s="72">
        <v>0</v>
      </c>
      <c r="T7" s="72">
        <v>0</v>
      </c>
      <c r="U7" s="70">
        <f t="shared" si="0"/>
        <v>5318706.1536372807</v>
      </c>
      <c r="V7" s="52">
        <f>U7/F22</f>
        <v>1</v>
      </c>
      <c r="W7" s="493" t="s">
        <v>332</v>
      </c>
      <c r="X7" s="59"/>
      <c r="Y7" s="59"/>
      <c r="Z7" s="59"/>
      <c r="AA7" s="59"/>
      <c r="AB7" s="59"/>
      <c r="AC7" s="59"/>
      <c r="AD7" s="59"/>
      <c r="AE7" s="59"/>
      <c r="AF7" s="59"/>
    </row>
    <row r="8" spans="1:32" ht="14.25" customHeight="1" x14ac:dyDescent="0.2">
      <c r="A8" s="13" t="s">
        <v>41</v>
      </c>
      <c r="B8" s="70">
        <f>Ag!C31</f>
        <v>83790.636435057706</v>
      </c>
      <c r="C8" s="70">
        <f>Tourism!C31</f>
        <v>66068.429786074077</v>
      </c>
      <c r="D8" s="70">
        <f>Nonag!C31</f>
        <v>687518.09903719055</v>
      </c>
      <c r="E8" s="70">
        <f>Fishing!C33</f>
        <v>88781.222108041271</v>
      </c>
      <c r="F8" s="70"/>
      <c r="G8" s="70"/>
      <c r="H8" s="70"/>
      <c r="I8" s="70"/>
      <c r="J8" s="70"/>
      <c r="K8" s="71"/>
      <c r="L8" s="71"/>
      <c r="M8" s="72">
        <f>Restaurants!C32</f>
        <v>5739.0510800000011</v>
      </c>
      <c r="N8" s="72">
        <f>Lodges!C32</f>
        <v>404369.15307012259</v>
      </c>
      <c r="O8" s="72"/>
      <c r="P8" s="72">
        <f>NatParkPA!C32</f>
        <v>59461.27807330931</v>
      </c>
      <c r="Q8" s="72">
        <f>ComRevSh!C30</f>
        <v>290.92297842227634</v>
      </c>
      <c r="R8" s="72">
        <f>Localgov!C30</f>
        <v>121906.40095808666</v>
      </c>
      <c r="S8" s="72"/>
      <c r="T8" s="72"/>
      <c r="U8" s="70">
        <f t="shared" si="0"/>
        <v>1517925.1935263046</v>
      </c>
      <c r="V8" s="52">
        <f>U8/G22</f>
        <v>0.99999999999999989</v>
      </c>
      <c r="W8" s="485"/>
      <c r="X8" s="59"/>
      <c r="Y8" s="59"/>
      <c r="Z8" s="59"/>
      <c r="AA8" s="59"/>
      <c r="AB8" s="59"/>
      <c r="AC8" s="59"/>
      <c r="AD8" s="59"/>
      <c r="AE8" s="59"/>
      <c r="AF8" s="59"/>
    </row>
    <row r="9" spans="1:32" ht="14.25" customHeight="1" x14ac:dyDescent="0.2">
      <c r="A9" s="13" t="s">
        <v>40</v>
      </c>
      <c r="B9" s="70">
        <f>Ag!C32</f>
        <v>230424.25019640874</v>
      </c>
      <c r="C9" s="70">
        <f>Tourism!C32</f>
        <v>54578.268084148149</v>
      </c>
      <c r="D9" s="70">
        <f>Nonag!C32</f>
        <v>309383.14456673578</v>
      </c>
      <c r="E9" s="70">
        <f>Fishing!C34</f>
        <v>0</v>
      </c>
      <c r="F9" s="70"/>
      <c r="G9" s="70"/>
      <c r="H9" s="70"/>
      <c r="I9" s="70"/>
      <c r="J9" s="70"/>
      <c r="K9" s="71"/>
      <c r="L9" s="71"/>
      <c r="M9" s="72">
        <f>Restaurants!C33</f>
        <v>42589.800120000007</v>
      </c>
      <c r="N9" s="72">
        <f>Lodges!C33</f>
        <v>489200.99867092713</v>
      </c>
      <c r="O9" s="72"/>
      <c r="P9" s="72">
        <f>NatParkPA!C33</f>
        <v>0</v>
      </c>
      <c r="Q9" s="72">
        <f>ComRevSh!C31</f>
        <v>290.92297842227634</v>
      </c>
      <c r="R9" s="72">
        <f>Localgov!C31</f>
        <v>11082.400087098787</v>
      </c>
      <c r="S9" s="72"/>
      <c r="T9" s="72"/>
      <c r="U9" s="70">
        <f t="shared" si="0"/>
        <v>1137549.7847037409</v>
      </c>
      <c r="V9" s="52">
        <f>U9/H22</f>
        <v>1</v>
      </c>
      <c r="W9" s="485"/>
      <c r="X9" s="59"/>
      <c r="Y9" s="59"/>
      <c r="Z9" s="59"/>
      <c r="AA9" s="59"/>
      <c r="AB9" s="59"/>
      <c r="AC9" s="59"/>
      <c r="AD9" s="59"/>
      <c r="AE9" s="59"/>
      <c r="AF9" s="59"/>
    </row>
    <row r="10" spans="1:32" ht="14.25" customHeight="1" x14ac:dyDescent="0.2">
      <c r="A10" s="13" t="s">
        <v>42</v>
      </c>
      <c r="B10" s="70">
        <f>Ag!C33</f>
        <v>10473.829554382213</v>
      </c>
      <c r="C10" s="70">
        <f>Tourism!C33</f>
        <v>16517.107446518519</v>
      </c>
      <c r="D10" s="70">
        <f>Nonag!C33</f>
        <v>1907862.7248282041</v>
      </c>
      <c r="E10" s="70">
        <f>Fishing!C35</f>
        <v>0</v>
      </c>
      <c r="F10" s="70"/>
      <c r="G10" s="70"/>
      <c r="H10" s="70"/>
      <c r="I10" s="70"/>
      <c r="J10" s="70"/>
      <c r="K10" s="71"/>
      <c r="L10" s="71"/>
      <c r="M10" s="72">
        <f>Restaurants!C34</f>
        <v>5436.9957600000016</v>
      </c>
      <c r="N10" s="72">
        <f>Lodges!C34</f>
        <v>175817.92182129767</v>
      </c>
      <c r="O10" s="72"/>
      <c r="P10" s="72">
        <f>NatParkPA!C34</f>
        <v>45277.118748544162</v>
      </c>
      <c r="Q10" s="72">
        <f>ComRevSh!C32</f>
        <v>290.92297842227634</v>
      </c>
      <c r="R10" s="72">
        <f>Localgov!C32</f>
        <v>177318.4013935806</v>
      </c>
      <c r="S10" s="72"/>
      <c r="T10" s="72"/>
      <c r="U10" s="70">
        <f t="shared" si="0"/>
        <v>2338995.0225309497</v>
      </c>
      <c r="V10" s="52">
        <f>U10/I22</f>
        <v>1</v>
      </c>
      <c r="W10" s="485"/>
      <c r="X10" s="59"/>
      <c r="Y10" s="59"/>
      <c r="Z10" s="59"/>
      <c r="AA10" s="59"/>
      <c r="AB10" s="59"/>
      <c r="AC10" s="59"/>
      <c r="AD10" s="59"/>
      <c r="AE10" s="59"/>
      <c r="AF10" s="59"/>
    </row>
    <row r="11" spans="1:32" ht="14.25" customHeight="1" x14ac:dyDescent="0.2">
      <c r="A11" s="69" t="s">
        <v>43</v>
      </c>
      <c r="B11" s="70">
        <f>Ag!C34</f>
        <v>3398792.3719518441</v>
      </c>
      <c r="C11" s="70">
        <f>Tourism!C34</f>
        <v>324450.40668444446</v>
      </c>
      <c r="D11" s="70">
        <f>Nonag!C34</f>
        <v>2971584.0724382265</v>
      </c>
      <c r="E11" s="70">
        <f>Fishing!C36</f>
        <v>1333159.5852262694</v>
      </c>
      <c r="F11" s="70">
        <v>0</v>
      </c>
      <c r="G11" s="70"/>
      <c r="H11" s="70"/>
      <c r="I11" s="70"/>
      <c r="J11" s="70">
        <v>0</v>
      </c>
      <c r="K11" s="71">
        <f>Households!C38</f>
        <v>1961330.8861356692</v>
      </c>
      <c r="L11" s="71">
        <f>Households!D38</f>
        <v>2618026.4953328669</v>
      </c>
      <c r="M11" s="72">
        <f>Restaurants!C35</f>
        <v>84204.68</v>
      </c>
      <c r="N11" s="72">
        <f>Lodges!C35</f>
        <v>1193665.0603590459</v>
      </c>
      <c r="O11" s="72">
        <f>Tourists!C33</f>
        <v>0</v>
      </c>
      <c r="P11" s="72">
        <f>NatParkPA!C35</f>
        <v>0</v>
      </c>
      <c r="Q11" s="72">
        <f>ComRevSh!C33</f>
        <v>0</v>
      </c>
      <c r="R11" s="72">
        <f>Localgov!C33</f>
        <v>11082.400087098787</v>
      </c>
      <c r="S11" s="72">
        <v>0</v>
      </c>
      <c r="T11" s="72">
        <v>0</v>
      </c>
      <c r="U11" s="70">
        <f t="shared" si="0"/>
        <v>13896295.958215466</v>
      </c>
      <c r="V11" s="52">
        <f>U11/J22</f>
        <v>1</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2134025.284072753</v>
      </c>
      <c r="G12" s="74">
        <f>Households!H7*SUM($B$8:$T$8)</f>
        <v>804806.81755361345</v>
      </c>
      <c r="H12" s="74">
        <f>Households!I7*SUM($B$9:$T$9)</f>
        <v>562112.31808475917</v>
      </c>
      <c r="I12" s="74">
        <f>Households!J7*SUM($B$10:$T$10)</f>
        <v>1053745.1978637753</v>
      </c>
      <c r="J12" s="103">
        <f>Households!K7*SUM($B$11:$T$11)</f>
        <v>8980068.5760217588</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1308580.2615504859</v>
      </c>
      <c r="U12" s="70">
        <f t="shared" si="0"/>
        <v>14843338.455147145</v>
      </c>
      <c r="V12" s="52">
        <f>U12/K22</f>
        <v>1.1904708120515806</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3184680.8695645281</v>
      </c>
      <c r="G13" s="74">
        <f>Households!H8*SUM($B$8:$T$8)</f>
        <v>713118.37597269134</v>
      </c>
      <c r="H13" s="74">
        <f>Households!I8*SUM($B$9:$T$9)</f>
        <v>575437.46661898156</v>
      </c>
      <c r="I13" s="74">
        <f>Households!J8*SUM($B$10:$T$10)</f>
        <v>1285249.8246671744</v>
      </c>
      <c r="J13" s="103">
        <f>Households!K8*SUM($B$11:$T$11)</f>
        <v>4916227.3821937069</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502569.18873796985</v>
      </c>
      <c r="U13" s="70">
        <f t="shared" si="0"/>
        <v>11177283.107755052</v>
      </c>
      <c r="V13" s="52">
        <f>U13/L22</f>
        <v>0.9624556308740897</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386260</v>
      </c>
      <c r="P14" s="72">
        <f>NatParkPA!C38</f>
        <v>0</v>
      </c>
      <c r="Q14" s="72">
        <f>ComRevSh!C36</f>
        <v>0</v>
      </c>
      <c r="R14" s="72">
        <f>Localgov!C36</f>
        <v>0</v>
      </c>
      <c r="S14" s="72">
        <v>0</v>
      </c>
      <c r="T14" s="70"/>
      <c r="U14" s="76">
        <f t="shared" si="0"/>
        <v>386260</v>
      </c>
      <c r="V14" s="52">
        <f>U14/M22</f>
        <v>1</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6950200</v>
      </c>
      <c r="P15" s="72">
        <f>NatParkPA!C39</f>
        <v>0</v>
      </c>
      <c r="Q15" s="72">
        <f>ComRevSh!C37</f>
        <v>0</v>
      </c>
      <c r="R15" s="72">
        <f>Localgov!C37</f>
        <v>0</v>
      </c>
      <c r="S15" s="72">
        <v>0</v>
      </c>
      <c r="T15" s="70"/>
      <c r="U15" s="76">
        <f t="shared" si="0"/>
        <v>6950200</v>
      </c>
      <c r="V15" s="52">
        <f>U15/N22</f>
        <v>1.0202225612954352</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9384864.4602199327</v>
      </c>
      <c r="U16" s="70">
        <f t="shared" si="0"/>
        <v>9384864.4602199327</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251371.90930517312</v>
      </c>
      <c r="C19" s="70">
        <f>Tourism!C42</f>
        <v>46935.258737777782</v>
      </c>
      <c r="D19" s="70">
        <f>Nonag!C41</f>
        <v>395322.90694638464</v>
      </c>
      <c r="E19" s="70">
        <f>Fishing!C43</f>
        <v>38049.095189160544</v>
      </c>
      <c r="F19" s="72"/>
      <c r="G19" s="72"/>
      <c r="H19" s="72"/>
      <c r="I19" s="72"/>
      <c r="J19" s="72"/>
      <c r="K19" s="71">
        <f>Households!C44</f>
        <v>0</v>
      </c>
      <c r="L19" s="71">
        <f>Households!D44</f>
        <v>0</v>
      </c>
      <c r="M19" s="72">
        <f>Restaurants!C42</f>
        <v>11780.157480000003</v>
      </c>
      <c r="N19" s="72">
        <f>Lodges!C42</f>
        <v>364780.68105138239</v>
      </c>
      <c r="O19" s="72">
        <v>0</v>
      </c>
      <c r="P19" s="72">
        <v>0</v>
      </c>
      <c r="Q19" s="72">
        <v>0</v>
      </c>
      <c r="R19" s="72" t="str">
        <f>Localgov!C41</f>
        <v>-</v>
      </c>
      <c r="S19" s="72">
        <v>0</v>
      </c>
      <c r="T19" s="70"/>
      <c r="U19" s="465">
        <f t="shared" si="0"/>
        <v>1108240.0087098787</v>
      </c>
      <c r="V19" s="52"/>
      <c r="W19" s="485"/>
      <c r="X19" s="59"/>
      <c r="Y19" s="59"/>
      <c r="Z19" s="59"/>
      <c r="AA19" s="59"/>
      <c r="AB19" s="59"/>
      <c r="AC19" s="59"/>
      <c r="AD19" s="59"/>
      <c r="AE19" s="59"/>
      <c r="AF19" s="59"/>
    </row>
    <row r="20" spans="1:32" ht="14.25" customHeight="1" x14ac:dyDescent="0.2">
      <c r="A20" s="69" t="s">
        <v>57</v>
      </c>
      <c r="B20" s="70">
        <f>Ag!C42</f>
        <v>73316.806880675489</v>
      </c>
      <c r="C20" s="70">
        <f>Tourism!C43</f>
        <v>26930.066488888893</v>
      </c>
      <c r="D20" s="70">
        <f>Nonag!C42</f>
        <v>446886.76437417383</v>
      </c>
      <c r="E20" s="70">
        <f>Fishing!C44</f>
        <v>0</v>
      </c>
      <c r="F20" s="72"/>
      <c r="G20" s="72"/>
      <c r="H20" s="72"/>
      <c r="I20" s="72"/>
      <c r="J20" s="72"/>
      <c r="K20" s="71">
        <f>Households!C45</f>
        <v>0</v>
      </c>
      <c r="L20" s="71">
        <f>Households!D45</f>
        <v>0</v>
      </c>
      <c r="M20" s="72">
        <f>Restaurants!C43</f>
        <v>4832.8851200000017</v>
      </c>
      <c r="N20" s="72">
        <f>Lodges!C43</f>
        <v>116161.96983734377</v>
      </c>
      <c r="O20" s="72">
        <f>Tourists!C42</f>
        <v>0</v>
      </c>
      <c r="P20" s="72">
        <f>NatParkPA!C43</f>
        <v>0</v>
      </c>
      <c r="Q20" s="72">
        <f>ComRevSh!C41</f>
        <v>0</v>
      </c>
      <c r="R20" s="72">
        <f>Localgov!C42</f>
        <v>0</v>
      </c>
      <c r="S20" s="72">
        <v>0</v>
      </c>
      <c r="T20" s="70"/>
      <c r="U20" s="76">
        <f t="shared" si="0"/>
        <v>668128.49270108202</v>
      </c>
      <c r="V20" s="52">
        <f>U20/S22</f>
        <v>1</v>
      </c>
      <c r="W20" s="485"/>
      <c r="X20" s="59"/>
      <c r="Y20" s="59"/>
      <c r="Z20" s="59"/>
      <c r="AA20" s="59"/>
      <c r="AB20" s="59"/>
      <c r="AC20" s="59"/>
      <c r="AD20" s="59"/>
      <c r="AE20" s="59"/>
      <c r="AF20" s="59"/>
    </row>
    <row r="21" spans="1:32" ht="14.25" customHeight="1" x14ac:dyDescent="0.2">
      <c r="A21" s="78" t="s">
        <v>59</v>
      </c>
      <c r="B21" s="70">
        <f>Ag!C43</f>
        <v>879801.68256810599</v>
      </c>
      <c r="C21" s="70">
        <f>Tourism!C44</f>
        <v>477065.67630696308</v>
      </c>
      <c r="D21" s="70">
        <f>Nonag!C43</f>
        <v>3661033.8773730402</v>
      </c>
      <c r="E21" s="70">
        <f>Fishing!C45</f>
        <v>133171.8331620619</v>
      </c>
      <c r="F21" s="72">
        <v>0</v>
      </c>
      <c r="G21" s="72"/>
      <c r="H21" s="72"/>
      <c r="I21" s="72"/>
      <c r="J21" s="72">
        <v>0</v>
      </c>
      <c r="K21" s="71">
        <f>Households!C46</f>
        <v>350237.65823851235</v>
      </c>
      <c r="L21" s="71">
        <f>Households!D46</f>
        <v>335644.4224785727</v>
      </c>
      <c r="M21" s="72">
        <f>Restaurants!C44</f>
        <v>61619.285280000011</v>
      </c>
      <c r="N21" s="72">
        <f>Lodges!C44</f>
        <v>1921026.1757643651</v>
      </c>
      <c r="O21" s="72">
        <f>Tourists!C43</f>
        <v>0</v>
      </c>
      <c r="P21" s="72">
        <f>NatParkPA!C44</f>
        <v>18158.706794063371</v>
      </c>
      <c r="Q21" s="72">
        <f>ComRevSh!C42</f>
        <v>0.61</v>
      </c>
      <c r="R21" s="72">
        <f>Localgov!C43</f>
        <v>332472.00261296361</v>
      </c>
      <c r="S21" s="104">
        <f>IF(SUM(B20:P20)-SUM(S3:S17)&gt;0,SUM(B20:P20)-SUM(S3:S17),0)</f>
        <v>499193.88634570665</v>
      </c>
      <c r="T21" s="70"/>
      <c r="U21" s="70">
        <f t="shared" si="0"/>
        <v>8669425.8169243559</v>
      </c>
      <c r="V21" s="52">
        <f>U21/T22</f>
        <v>0.77433146173455358</v>
      </c>
      <c r="W21" s="485"/>
      <c r="X21" s="59"/>
      <c r="Y21" s="59"/>
      <c r="Z21" s="59"/>
      <c r="AA21" s="59"/>
      <c r="AB21" s="59"/>
      <c r="AC21" s="59"/>
      <c r="AD21" s="59"/>
      <c r="AE21" s="59"/>
      <c r="AF21" s="59"/>
    </row>
    <row r="22" spans="1:32" ht="14.25" customHeight="1" x14ac:dyDescent="0.2">
      <c r="A22" s="79" t="s">
        <v>181</v>
      </c>
      <c r="B22" s="70">
        <f t="shared" ref="B22:T22" si="1">SUM(B3:B21)</f>
        <v>13872621.926334061</v>
      </c>
      <c r="C22" s="70">
        <f t="shared" si="1"/>
        <v>1523960.0000000002</v>
      </c>
      <c r="D22" s="70">
        <f t="shared" si="1"/>
        <v>15862548.429385552</v>
      </c>
      <c r="E22" s="70">
        <f t="shared" si="1"/>
        <v>3847570.6256432957</v>
      </c>
      <c r="F22" s="70">
        <f t="shared" si="1"/>
        <v>5318706.1536372807</v>
      </c>
      <c r="G22" s="70">
        <f t="shared" si="1"/>
        <v>1517925.1935263048</v>
      </c>
      <c r="H22" s="70">
        <f t="shared" si="1"/>
        <v>1137549.7847037409</v>
      </c>
      <c r="I22" s="70">
        <f t="shared" si="1"/>
        <v>2338995.0225309497</v>
      </c>
      <c r="J22" s="70">
        <f t="shared" si="1"/>
        <v>13896295.958215466</v>
      </c>
      <c r="K22" s="70">
        <f t="shared" si="1"/>
        <v>12468460.633291038</v>
      </c>
      <c r="L22" s="70">
        <f t="shared" si="1"/>
        <v>11613297.017758615</v>
      </c>
      <c r="M22" s="70">
        <f t="shared" si="1"/>
        <v>386260</v>
      </c>
      <c r="N22" s="70">
        <f t="shared" si="1"/>
        <v>6812435.1133491229</v>
      </c>
      <c r="O22" s="70">
        <f t="shared" si="1"/>
        <v>9384864.4602199327</v>
      </c>
      <c r="P22" s="70">
        <f t="shared" si="1"/>
        <v>380899.06657530862</v>
      </c>
      <c r="Q22" s="70">
        <f t="shared" si="1"/>
        <v>11346.606158468783</v>
      </c>
      <c r="R22" s="465">
        <f t="shared" si="1"/>
        <v>1108240.0087098789</v>
      </c>
      <c r="S22" s="104">
        <f t="shared" si="1"/>
        <v>668128.49270108202</v>
      </c>
      <c r="T22" s="105">
        <f t="shared" si="1"/>
        <v>11196013.910508389</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13019359.926334061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7148423.3524206765</v>
      </c>
      <c r="C27" s="106">
        <f>B25/B22</f>
        <v>0.93849309780581036</v>
      </c>
      <c r="D27" s="107">
        <f>B25/B27</f>
        <v>1.8212911133649219</v>
      </c>
      <c r="E27" s="59"/>
      <c r="F27" s="59">
        <f>SUM(K6:N6)+C6</f>
        <v>2639511.8533874485</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8360729.067158686</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1057856.7849926036</v>
      </c>
      <c r="C3" s="80">
        <f>'SAM(LEWIE Input)'!C3</f>
        <v>6155.4437688888893</v>
      </c>
      <c r="D3" s="80">
        <f>'SAM(LEWIE Input)'!D3</f>
        <v>395322.90694638464</v>
      </c>
      <c r="E3" s="80">
        <f>'SAM(LEWIE Input)'!E3</f>
        <v>53902.884851310781</v>
      </c>
      <c r="F3" s="80">
        <f>'SAM(LEWIE Input)'!F3</f>
        <v>0</v>
      </c>
      <c r="G3" s="80">
        <f>'SAM(LEWIE Input)'!G3</f>
        <v>0</v>
      </c>
      <c r="H3" s="80">
        <f>'SAM(LEWIE Input)'!H3</f>
        <v>0</v>
      </c>
      <c r="I3" s="80">
        <f>'SAM(LEWIE Input)'!I3</f>
        <v>0</v>
      </c>
      <c r="J3" s="80">
        <f>'SAM(LEWIE Input)'!J3</f>
        <v>0</v>
      </c>
      <c r="K3" s="80">
        <f>'SAM(LEWIE Input)'!K3</f>
        <v>4132804.367214445</v>
      </c>
      <c r="L3" s="80">
        <f>'SAM(LEWIE Input)'!L3</f>
        <v>2752284.2643242958</v>
      </c>
      <c r="M3" s="80">
        <f>'SAM(LEWIE Input)'!M3</f>
        <v>29299.366040000001</v>
      </c>
      <c r="N3" s="80">
        <f>'SAM(LEWIE Input)'!N3</f>
        <v>227879.91107304633</v>
      </c>
      <c r="O3" s="80">
        <f>'SAM(LEWIE Input)'!O3</f>
        <v>0</v>
      </c>
      <c r="P3" s="80">
        <f>'SAM(LEWIE Input)'!P3</f>
        <v>0</v>
      </c>
      <c r="Q3" s="80">
        <f>'SAM(LEWIE Input)'!Q3</f>
        <v>0</v>
      </c>
      <c r="R3" s="80">
        <f>'SAM(LEWIE Input)'!S3</f>
        <v>0</v>
      </c>
      <c r="S3" s="80">
        <f>'SAM(LEWIE Input)'!T3</f>
        <v>0</v>
      </c>
      <c r="T3" s="80">
        <f>'SAM(LEWIE Input)'!U3</f>
        <v>8655505.9292109758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1523960</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5666341.7889207778</v>
      </c>
      <c r="C5" s="80">
        <f>'SAM(LEWIE Input)'!C5</f>
        <v>452425.11701333337</v>
      </c>
      <c r="D5" s="80">
        <f>'SAM(LEWIE Input)'!D5</f>
        <v>3471966.4001378124</v>
      </c>
      <c r="E5" s="80">
        <f>'SAM(LEWIE Input)'!E5</f>
        <v>684883.71340488992</v>
      </c>
      <c r="F5" s="80">
        <f>'SAM(LEWIE Input)'!F5</f>
        <v>0</v>
      </c>
      <c r="G5" s="80">
        <f>'SAM(LEWIE Input)'!G5</f>
        <v>0</v>
      </c>
      <c r="H5" s="80">
        <f>'SAM(LEWIE Input)'!H5</f>
        <v>0</v>
      </c>
      <c r="I5" s="80">
        <f>'SAM(LEWIE Input)'!I5</f>
        <v>0</v>
      </c>
      <c r="J5" s="80">
        <f>'SAM(LEWIE Input)'!J5</f>
        <v>0</v>
      </c>
      <c r="K5" s="80">
        <f>'SAM(LEWIE Input)'!K5</f>
        <v>4483042.0254529575</v>
      </c>
      <c r="L5" s="80">
        <f>'SAM(LEWIE Input)'!L5</f>
        <v>4900408.5681871613</v>
      </c>
      <c r="M5" s="80">
        <f>'SAM(LEWIE Input)'!M5</f>
        <v>102396.75348000003</v>
      </c>
      <c r="N5" s="80">
        <f>'SAM(LEWIE Input)'!N5</f>
        <v>1505414.6888059587</v>
      </c>
      <c r="O5" s="80">
        <f>'SAM(LEWIE Input)'!O5</f>
        <v>312480</v>
      </c>
      <c r="P5" s="80">
        <f>'SAM(LEWIE Input)'!P5</f>
        <v>228909.66511716411</v>
      </c>
      <c r="Q5" s="80">
        <f>'SAM(LEWIE Input)'!Q5</f>
        <v>10182.304244779674</v>
      </c>
      <c r="R5" s="80">
        <f>'SAM(LEWIE Input)'!S5</f>
        <v>0</v>
      </c>
      <c r="S5" s="80">
        <f>'SAM(LEWIE Input)'!T5</f>
        <v>0</v>
      </c>
      <c r="T5" s="80">
        <f>'SAM(LEWIE Input)'!U5</f>
        <v>22250664.628161687</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6155.4437688888893</v>
      </c>
      <c r="D6" s="80">
        <f>'SAM(LEWIE Input)'!D6</f>
        <v>0</v>
      </c>
      <c r="E6" s="80">
        <f>'SAM(LEWIE Input)'!E6</f>
        <v>469272.17399964679</v>
      </c>
      <c r="F6" s="80">
        <f>'SAM(LEWIE Input)'!F6</f>
        <v>0</v>
      </c>
      <c r="G6" s="80">
        <f>'SAM(LEWIE Input)'!G6</f>
        <v>0</v>
      </c>
      <c r="H6" s="80">
        <f>'SAM(LEWIE Input)'!H6</f>
        <v>0</v>
      </c>
      <c r="I6" s="80">
        <f>'SAM(LEWIE Input)'!I6</f>
        <v>0</v>
      </c>
      <c r="J6" s="80">
        <f>'SAM(LEWIE Input)'!J6</f>
        <v>0</v>
      </c>
      <c r="K6" s="80">
        <f>'SAM(LEWIE Input)'!K6</f>
        <v>1541045.6962494543</v>
      </c>
      <c r="L6" s="80">
        <f>'SAM(LEWIE Input)'!L6</f>
        <v>1006933.2674357181</v>
      </c>
      <c r="M6" s="80">
        <f>'SAM(LEWIE Input)'!M6</f>
        <v>22050.038360000006</v>
      </c>
      <c r="N6" s="80">
        <f>'SAM(LEWIE Input)'!N6</f>
        <v>63327.407573387194</v>
      </c>
      <c r="O6" s="80">
        <f>'SAM(LEWIE Input)'!O6</f>
        <v>0</v>
      </c>
      <c r="P6" s="80">
        <f>'SAM(LEWIE Input)'!P6</f>
        <v>0</v>
      </c>
      <c r="Q6" s="80">
        <f>'SAM(LEWIE Input)'!Q6</f>
        <v>0</v>
      </c>
      <c r="R6" s="80">
        <f>'SAM(LEWIE Input)'!S6</f>
        <v>0</v>
      </c>
      <c r="S6" s="80">
        <f>'SAM(LEWIE Input)'!T6</f>
        <v>0</v>
      </c>
      <c r="T6" s="80">
        <f>'SAM(LEWIE Input)'!U6</f>
        <v>3108784.0273870951</v>
      </c>
      <c r="U6" s="1"/>
      <c r="V6" s="1"/>
      <c r="W6" s="1"/>
      <c r="X6" s="1"/>
      <c r="Y6" s="1"/>
      <c r="Z6" s="1"/>
      <c r="AA6" s="1"/>
      <c r="AB6" s="1"/>
      <c r="AC6" s="1"/>
      <c r="AD6" s="1"/>
      <c r="AE6" s="1"/>
      <c r="AF6" s="1"/>
      <c r="AG6" s="1"/>
    </row>
    <row r="7" spans="1:33" ht="15" customHeight="1" x14ac:dyDescent="0.2">
      <c r="A7" s="59" t="str">
        <f>'SAM(LEWIE Input)'!A7</f>
        <v>L-MUSK</v>
      </c>
      <c r="B7" s="80">
        <f>'SAM(LEWIE Input)'!B7</f>
        <v>2220451.8655290292</v>
      </c>
      <c r="C7" s="80">
        <f>'SAM(LEWIE Input)'!C7</f>
        <v>46678.781914074068</v>
      </c>
      <c r="D7" s="80">
        <f>'SAM(LEWIE Input)'!D7</f>
        <v>1615667.5327373976</v>
      </c>
      <c r="E7" s="80">
        <f>'SAM(LEWIE Input)'!E7</f>
        <v>1046350.1177019151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16310.987280000003</v>
      </c>
      <c r="N7" s="80">
        <f>'SAM(LEWIE Input)'!N7</f>
        <v>350791.14532224589</v>
      </c>
      <c r="O7" s="80">
        <f>'SAM(LEWIE Input)'!O7</f>
        <v>0</v>
      </c>
      <c r="P7" s="80">
        <f>'SAM(LEWIE Input)'!P7</f>
        <v>0</v>
      </c>
      <c r="Q7" s="80">
        <f>'SAM(LEWIE Input)'!Q7</f>
        <v>290.92297842227634</v>
      </c>
      <c r="R7" s="80">
        <f>'SAM(LEWIE Input)'!S7</f>
        <v>0</v>
      </c>
      <c r="S7" s="80">
        <f>'SAM(LEWIE Input)'!T7</f>
        <v>0</v>
      </c>
      <c r="T7" s="80">
        <f>'SAM(LEWIE Input)'!U7</f>
        <v>5318706.1536372807</v>
      </c>
      <c r="U7" s="1"/>
      <c r="V7" s="1"/>
      <c r="W7" s="1"/>
      <c r="X7" s="1"/>
      <c r="Y7" s="1"/>
      <c r="Z7" s="1"/>
      <c r="AA7" s="1"/>
      <c r="AB7" s="1"/>
      <c r="AC7" s="1"/>
      <c r="AD7" s="1"/>
      <c r="AE7" s="1"/>
      <c r="AF7" s="1"/>
      <c r="AG7" s="1"/>
    </row>
    <row r="8" spans="1:33" ht="15" customHeight="1" x14ac:dyDescent="0.2">
      <c r="A8" s="59" t="str">
        <f>'SAM(LEWIE Input)'!A8</f>
        <v>L-MSK</v>
      </c>
      <c r="B8" s="80">
        <f>'SAM(LEWIE Input)'!B8</f>
        <v>83790.636435057706</v>
      </c>
      <c r="C8" s="80">
        <f>'SAM(LEWIE Input)'!C8</f>
        <v>66068.429786074077</v>
      </c>
      <c r="D8" s="80">
        <f>'SAM(LEWIE Input)'!D8</f>
        <v>687518.09903719055</v>
      </c>
      <c r="E8" s="80">
        <f>'SAM(LEWIE Input)'!E8</f>
        <v>88781.222108041271</v>
      </c>
      <c r="F8" s="80">
        <f>'SAM(LEWIE Input)'!F8</f>
        <v>0</v>
      </c>
      <c r="G8" s="80">
        <f>'SAM(LEWIE Input)'!G8</f>
        <v>0</v>
      </c>
      <c r="H8" s="80">
        <f>'SAM(LEWIE Input)'!H8</f>
        <v>0</v>
      </c>
      <c r="I8" s="80">
        <f>'SAM(LEWIE Input)'!I8</f>
        <v>0</v>
      </c>
      <c r="J8" s="80">
        <f>'SAM(LEWIE Input)'!J8</f>
        <v>0</v>
      </c>
      <c r="K8" s="80">
        <f>'SAM(LEWIE Input)'!K8</f>
        <v>0</v>
      </c>
      <c r="L8" s="80">
        <f>'SAM(LEWIE Input)'!L8</f>
        <v>0</v>
      </c>
      <c r="M8" s="80">
        <f>'SAM(LEWIE Input)'!M8</f>
        <v>5739.0510800000011</v>
      </c>
      <c r="N8" s="80">
        <f>'SAM(LEWIE Input)'!N8</f>
        <v>404369.15307012259</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230424.25019640874</v>
      </c>
      <c r="C9" s="80">
        <f>'SAM(LEWIE Input)'!C9</f>
        <v>54578.268084148149</v>
      </c>
      <c r="D9" s="80">
        <f>'SAM(LEWIE Input)'!D9</f>
        <v>309383.14456673578</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42589.800120000007</v>
      </c>
      <c r="N9" s="80">
        <f>'SAM(LEWIE Input)'!N9</f>
        <v>489200.99867092713</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10473.829554382213</v>
      </c>
      <c r="C10" s="80">
        <f>'SAM(LEWIE Input)'!C10</f>
        <v>16517.107446518519</v>
      </c>
      <c r="D10" s="80">
        <f>'SAM(LEWIE Input)'!D10</f>
        <v>1907862.7248282041</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5436.9957600000016</v>
      </c>
      <c r="N10" s="80">
        <f>'SAM(LEWIE Input)'!N10</f>
        <v>175817.92182129767</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3398792.3719518441</v>
      </c>
      <c r="C11" s="80">
        <f>'SAM(LEWIE Input)'!C11</f>
        <v>324450.40668444446</v>
      </c>
      <c r="D11" s="80">
        <f>'SAM(LEWIE Input)'!D11</f>
        <v>2971584.0724382265</v>
      </c>
      <c r="E11" s="80">
        <f>'SAM(LEWIE Input)'!E11</f>
        <v>1333159.5852262694</v>
      </c>
      <c r="F11" s="80">
        <f>'SAM(LEWIE Input)'!F11</f>
        <v>0</v>
      </c>
      <c r="G11" s="80">
        <f>'SAM(LEWIE Input)'!G11</f>
        <v>0</v>
      </c>
      <c r="H11" s="80">
        <f>'SAM(LEWIE Input)'!H11</f>
        <v>0</v>
      </c>
      <c r="I11" s="80">
        <f>'SAM(LEWIE Input)'!I11</f>
        <v>0</v>
      </c>
      <c r="J11" s="80">
        <f>'SAM(LEWIE Input)'!J11</f>
        <v>0</v>
      </c>
      <c r="K11" s="80">
        <f>'SAM(LEWIE Input)'!K11</f>
        <v>1961330.8861356692</v>
      </c>
      <c r="L11" s="80">
        <f>'SAM(LEWIE Input)'!L11</f>
        <v>2618026.4953328669</v>
      </c>
      <c r="M11" s="80">
        <f>'SAM(LEWIE Input)'!M11</f>
        <v>84204.68</v>
      </c>
      <c r="N11" s="80">
        <f>'SAM(LEWIE Input)'!N11</f>
        <v>1193665.0603590459</v>
      </c>
      <c r="O11" s="80">
        <f>'SAM(LEWIE Input)'!O11</f>
        <v>0</v>
      </c>
      <c r="P11" s="80">
        <f>'SAM(LEWIE Input)'!P11</f>
        <v>0</v>
      </c>
      <c r="Q11" s="80">
        <f>'SAM(LEWIE Input)'!Q11</f>
        <v>0</v>
      </c>
      <c r="R11" s="80">
        <f>'SAM(LEWIE Input)'!S11</f>
        <v>0</v>
      </c>
      <c r="S11" s="80">
        <f>'SAM(LEWIE Input)'!T11</f>
        <v>0</v>
      </c>
      <c r="T11" s="80">
        <f>'SAM(LEWIE Input)'!U11</f>
        <v>13896295.958215466</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2134025.284072753</v>
      </c>
      <c r="G12" s="80">
        <f>'SAM(LEWIE Input)'!G12</f>
        <v>804806.81755361345</v>
      </c>
      <c r="H12" s="80">
        <f>'SAM(LEWIE Input)'!H12</f>
        <v>562112.31808475917</v>
      </c>
      <c r="I12" s="80">
        <f>'SAM(LEWIE Input)'!I12</f>
        <v>1053745.1978637753</v>
      </c>
      <c r="J12" s="80">
        <f>'SAM(LEWIE Input)'!J12</f>
        <v>8980068.5760217588</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1308580.2615504859</v>
      </c>
      <c r="T12" s="80">
        <f>'SAM(LEWIE Input)'!U12</f>
        <v>14843338.455147145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3184680.8695645281</v>
      </c>
      <c r="G13" s="80">
        <f>'SAM(LEWIE Input)'!G13</f>
        <v>713118.37597269134</v>
      </c>
      <c r="H13" s="80">
        <f>'SAM(LEWIE Input)'!H13</f>
        <v>575437.46661898156</v>
      </c>
      <c r="I13" s="80">
        <f>'SAM(LEWIE Input)'!I13</f>
        <v>1285249.8246671744</v>
      </c>
      <c r="J13" s="80">
        <f>'SAM(LEWIE Input)'!J13</f>
        <v>4916227.3821937069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502569.18873796985</v>
      </c>
      <c r="T13" s="80">
        <f>'SAM(LEWIE Input)'!U13</f>
        <v>11177283.107755052</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386260</v>
      </c>
      <c r="P14" s="80">
        <f>'SAM(LEWIE Input)'!P14</f>
        <v>0</v>
      </c>
      <c r="Q14" s="80">
        <f>'SAM(LEWIE Input)'!Q14</f>
        <v>0</v>
      </c>
      <c r="R14" s="80">
        <f>'SAM(LEWIE Input)'!S14</f>
        <v>0</v>
      </c>
      <c r="S14" s="80">
        <f>'SAM(LEWIE Input)'!T14</f>
        <v>0</v>
      </c>
      <c r="T14" s="80">
        <f>'SAM(LEWIE Input)'!U14</f>
        <v>386260</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6950200</v>
      </c>
      <c r="P15" s="80">
        <f>'SAM(LEWIE Input)'!P15</f>
        <v>0</v>
      </c>
      <c r="Q15" s="80">
        <f>'SAM(LEWIE Input)'!Q15</f>
        <v>0</v>
      </c>
      <c r="R15" s="80">
        <f>'SAM(LEWIE Input)'!S15</f>
        <v>0</v>
      </c>
      <c r="S15" s="80">
        <f>'SAM(LEWIE Input)'!T15</f>
        <v>0</v>
      </c>
      <c r="T15" s="80">
        <f>'SAM(LEWIE Input)'!U15</f>
        <v>6950200</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9384864.4602199327</v>
      </c>
      <c r="T16" s="80">
        <f>'SAM(LEWIE Input)'!U16</f>
        <v>9384864.4602199327</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73316.806880675489</v>
      </c>
      <c r="C19" s="80">
        <f>'SAM(LEWIE Input)'!C20</f>
        <v>26930.066488888893</v>
      </c>
      <c r="D19" s="80">
        <f>'SAM(LEWIE Input)'!D20</f>
        <v>446886.76437417383</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4832.8851200000017</v>
      </c>
      <c r="N19" s="80">
        <f>'SAM(LEWIE Input)'!N20</f>
        <v>116161.96983734377</v>
      </c>
      <c r="O19" s="80">
        <f>'SAM(LEWIE Input)'!O20</f>
        <v>0</v>
      </c>
      <c r="P19" s="80">
        <f>'SAM(LEWIE Input)'!P20</f>
        <v>0</v>
      </c>
      <c r="Q19" s="80">
        <f>'SAM(LEWIE Input)'!Q20</f>
        <v>0</v>
      </c>
      <c r="R19" s="80">
        <f>'SAM(LEWIE Input)'!S20</f>
        <v>0</v>
      </c>
      <c r="S19" s="80">
        <f>'SAM(LEWIE Input)'!T20</f>
        <v>0</v>
      </c>
      <c r="T19" s="80">
        <f>'SAM(LEWIE Input)'!U20</f>
        <v>668128.49270108202</v>
      </c>
      <c r="U19" s="1"/>
      <c r="V19" s="1"/>
      <c r="W19" s="1"/>
      <c r="X19" s="1"/>
      <c r="Y19" s="1"/>
      <c r="Z19" s="1"/>
      <c r="AA19" s="1"/>
      <c r="AB19" s="1"/>
      <c r="AC19" s="1"/>
      <c r="AD19" s="1"/>
      <c r="AE19" s="1"/>
      <c r="AF19" s="1"/>
      <c r="AG19" s="1"/>
    </row>
    <row r="20" spans="1:33" ht="15" customHeight="1" x14ac:dyDescent="0.2">
      <c r="A20" s="59" t="str">
        <f>'SAM(LEWIE Input)'!A21</f>
        <v>ROW</v>
      </c>
      <c r="B20" s="80">
        <f>'SAM(LEWIE Input)'!B21</f>
        <v>879801.68256810599</v>
      </c>
      <c r="C20" s="80">
        <f>'SAM(LEWIE Input)'!C21</f>
        <v>477065.67630696308</v>
      </c>
      <c r="D20" s="80">
        <f>'SAM(LEWIE Input)'!D21</f>
        <v>3661033.8773730402</v>
      </c>
      <c r="E20" s="80">
        <f>'SAM(LEWIE Input)'!E21</f>
        <v>133171.8331620619</v>
      </c>
      <c r="F20" s="80">
        <f>'SAM(LEWIE Input)'!F21</f>
        <v>0</v>
      </c>
      <c r="G20" s="80">
        <f>'SAM(LEWIE Input)'!G21</f>
        <v>0</v>
      </c>
      <c r="H20" s="80">
        <f>'SAM(LEWIE Input)'!H21</f>
        <v>0</v>
      </c>
      <c r="I20" s="80">
        <f>'SAM(LEWIE Input)'!I21</f>
        <v>0</v>
      </c>
      <c r="J20" s="80">
        <f>'SAM(LEWIE Input)'!J21</f>
        <v>0</v>
      </c>
      <c r="K20" s="80">
        <f>'SAM(LEWIE Input)'!K21</f>
        <v>350237.65823851235</v>
      </c>
      <c r="L20" s="80">
        <f>'SAM(LEWIE Input)'!L21</f>
        <v>335644.4224785727</v>
      </c>
      <c r="M20" s="80">
        <f>'SAM(LEWIE Input)'!M21</f>
        <v>61619.285280000011</v>
      </c>
      <c r="N20" s="80">
        <f>'SAM(LEWIE Input)'!N21</f>
        <v>1921026.1757643651</v>
      </c>
      <c r="O20" s="80">
        <f>'SAM(LEWIE Input)'!O21</f>
        <v>0</v>
      </c>
      <c r="P20" s="80">
        <f>'SAM(LEWIE Input)'!P21</f>
        <v>18158.706794063371</v>
      </c>
      <c r="Q20" s="80">
        <f>'SAM(LEWIE Input)'!Q21</f>
        <v>0.61</v>
      </c>
      <c r="R20" s="80">
        <f>'SAM(LEWIE Input)'!S21</f>
        <v>499193.88634570665</v>
      </c>
      <c r="S20" s="80">
        <f>'SAM(LEWIE Input)'!T21</f>
        <v>0</v>
      </c>
      <c r="T20" s="80">
        <f>'SAM(LEWIE Input)'!U21</f>
        <v>8669425.8169243559</v>
      </c>
      <c r="U20" s="1"/>
      <c r="V20" s="1"/>
      <c r="W20" s="1"/>
      <c r="X20" s="1"/>
      <c r="Y20" s="1"/>
      <c r="Z20" s="1"/>
      <c r="AA20" s="1"/>
      <c r="AB20" s="1"/>
      <c r="AC20" s="1"/>
      <c r="AD20" s="1"/>
      <c r="AE20" s="1"/>
      <c r="AF20" s="1"/>
      <c r="AG20" s="1"/>
    </row>
    <row r="21" spans="1:33" ht="15" customHeight="1" x14ac:dyDescent="0.2">
      <c r="A21" s="59" t="str">
        <f>'SAM(LEWIE Input)'!A22</f>
        <v>Total</v>
      </c>
      <c r="B21" s="80">
        <f>'SAM(LEWIE Input)'!B22</f>
        <v>13872621.926334061</v>
      </c>
      <c r="C21" s="80">
        <f>'SAM(LEWIE Input)'!C22</f>
        <v>1523960.0000000002</v>
      </c>
      <c r="D21" s="80">
        <f>'SAM(LEWIE Input)'!D22</f>
        <v>15862548.429385552</v>
      </c>
      <c r="E21" s="80">
        <f>'SAM(LEWIE Input)'!E22</f>
        <v>3847570.6256432957</v>
      </c>
      <c r="F21" s="80">
        <f>'SAM(LEWIE Input)'!F22</f>
        <v>5318706.1536372807</v>
      </c>
      <c r="G21" s="80">
        <f>'SAM(LEWIE Input)'!G22</f>
        <v>1517925.1935263048</v>
      </c>
      <c r="H21" s="80">
        <f>'SAM(LEWIE Input)'!H22</f>
        <v>1137549.7847037409</v>
      </c>
      <c r="I21" s="80">
        <f>'SAM(LEWIE Input)'!I22</f>
        <v>2338995.0225309497</v>
      </c>
      <c r="J21" s="80">
        <f>'SAM(LEWIE Input)'!J22</f>
        <v>13896295.958215466</v>
      </c>
      <c r="K21" s="80">
        <f>'SAM(LEWIE Input)'!K22</f>
        <v>12468460.633291038</v>
      </c>
      <c r="L21" s="80">
        <f>'SAM(LEWIE Input)'!L22</f>
        <v>11613297.017758615</v>
      </c>
      <c r="M21" s="80">
        <f>'SAM(LEWIE Input)'!M22</f>
        <v>386260</v>
      </c>
      <c r="N21" s="80">
        <f>'SAM(LEWIE Input)'!N22</f>
        <v>6812435.1133491229</v>
      </c>
      <c r="O21" s="80">
        <f>'SAM(LEWIE Input)'!O22</f>
        <v>9384864.4602199327</v>
      </c>
      <c r="P21" s="80">
        <f>'SAM(LEWIE Input)'!P22</f>
        <v>380899.06657530862</v>
      </c>
      <c r="Q21" s="80">
        <f>'SAM(LEWIE Input)'!Q22</f>
        <v>11346.606158468783</v>
      </c>
      <c r="R21" s="80">
        <f>'SAM(LEWIE Input)'!S22</f>
        <v>668128.49270108202</v>
      </c>
      <c r="S21" s="80">
        <f>'SAM(LEWIE Input)'!T22</f>
        <v>11196013.910508389</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7.6254999999999989E-2</v>
      </c>
      <c r="C24" s="81">
        <f t="shared" si="2"/>
        <v>4.0391111111111105E-3</v>
      </c>
      <c r="D24" s="81">
        <f t="shared" si="2"/>
        <v>2.4921777777777779E-2</v>
      </c>
      <c r="E24" s="81">
        <f t="shared" si="2"/>
        <v>1.4009589451603237E-2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7.5854000000000005E-2</v>
      </c>
      <c r="N24" s="81">
        <f t="shared" si="2"/>
        <v>3.3450580780800453E-2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0.16238487049649797</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0.40845499999999996</v>
      </c>
      <c r="C26" s="81">
        <f t="shared" si="4"/>
        <v>0.29687466666666662</v>
      </c>
      <c r="D26" s="81">
        <f t="shared" si="4"/>
        <v>0.2188782222222222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0.42196531791907516</v>
      </c>
      <c r="M26" s="81">
        <f t="shared" si="4"/>
        <v>0.26509800000000006</v>
      </c>
      <c r="N26" s="81">
        <f t="shared" si="4"/>
        <v>0.22098040770415034</v>
      </c>
      <c r="O26" s="81">
        <f t="shared" si="4"/>
        <v>3.3296165472023992E-2</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4.0391111111111105E-3</v>
      </c>
      <c r="D27" s="81">
        <f t="shared" si="5"/>
        <v>0</v>
      </c>
      <c r="E27" s="81">
        <f t="shared" si="5"/>
        <v>0.12196583757866347</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5.7086000000000019E-2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0.16005999999999995</v>
      </c>
      <c r="C28" s="81">
        <f t="shared" si="6"/>
        <v>3.0629925925925918E-2</v>
      </c>
      <c r="D28" s="81">
        <f t="shared" si="6"/>
        <v>0.10185422222222219</v>
      </c>
      <c r="E28" s="81">
        <f t="shared" si="6"/>
        <v>0.27195085406053338</v>
      </c>
      <c r="F28" s="81">
        <f t="shared" si="6"/>
        <v>0</v>
      </c>
      <c r="G28" s="81">
        <f t="shared" si="6"/>
        <v>0</v>
      </c>
      <c r="H28" s="81">
        <f t="shared" si="6"/>
        <v>0</v>
      </c>
      <c r="I28" s="81">
        <f t="shared" si="6"/>
        <v>0</v>
      </c>
      <c r="J28" s="81">
        <f t="shared" si="6"/>
        <v>0</v>
      </c>
      <c r="K28" s="81">
        <f t="shared" si="6"/>
        <v>0</v>
      </c>
      <c r="L28" s="81">
        <f t="shared" si="6"/>
        <v>0</v>
      </c>
      <c r="M28" s="81">
        <f t="shared" si="6"/>
        <v>4.2228000000000009E-2</v>
      </c>
      <c r="N28" s="81">
        <f t="shared" si="6"/>
        <v>5.1492768662832852E-2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6.0399999999999985E-3</v>
      </c>
      <c r="C29" s="81">
        <f t="shared" si="7"/>
        <v>4.3353125925925919E-2</v>
      </c>
      <c r="D29" s="81">
        <f t="shared" si="7"/>
        <v>4.3342222222222213E-2</v>
      </c>
      <c r="E29" s="81">
        <f t="shared" si="7"/>
        <v>2.3074617920287682E-2</v>
      </c>
      <c r="F29" s="81">
        <f t="shared" si="7"/>
        <v>0</v>
      </c>
      <c r="G29" s="81">
        <f t="shared" si="7"/>
        <v>0</v>
      </c>
      <c r="H29" s="81">
        <f t="shared" si="7"/>
        <v>0</v>
      </c>
      <c r="I29" s="81">
        <f t="shared" si="7"/>
        <v>0</v>
      </c>
      <c r="J29" s="81">
        <f t="shared" si="7"/>
        <v>0</v>
      </c>
      <c r="K29" s="81">
        <f t="shared" si="7"/>
        <v>0</v>
      </c>
      <c r="L29" s="81">
        <f t="shared" si="7"/>
        <v>0</v>
      </c>
      <c r="M29" s="81">
        <f t="shared" si="7"/>
        <v>1.4858000000000003E-2</v>
      </c>
      <c r="N29" s="81">
        <f t="shared" si="7"/>
        <v>5.9357505259426541E-2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1.661E-2</v>
      </c>
      <c r="C30" s="81">
        <f t="shared" si="8"/>
        <v>3.5813451851851849E-2</v>
      </c>
      <c r="D30" s="81">
        <f t="shared" si="8"/>
        <v>1.9503999999999997E-2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0.11026200000000001</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7.5499999999999981E-4</v>
      </c>
      <c r="C31" s="81">
        <f t="shared" si="9"/>
        <v>1.083828148148148E-2</v>
      </c>
      <c r="D31" s="81">
        <f t="shared" si="9"/>
        <v>0.12027466666666667</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1.4076000000000003E-2</v>
      </c>
      <c r="N31" s="81">
        <f t="shared" si="9"/>
        <v>2.5808381128912102E-2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0.24499999999999994</v>
      </c>
      <c r="C32" s="81">
        <f t="shared" si="10"/>
        <v>0.21289955555555554</v>
      </c>
      <c r="D32" s="81">
        <f t="shared" si="10"/>
        <v>0.18733333333333332</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0.21799999999999997</v>
      </c>
      <c r="N32" s="81">
        <f t="shared" si="10"/>
        <v>0.17521855848873066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0.40123015305392767</v>
      </c>
      <c r="G33" s="81">
        <f t="shared" si="11"/>
        <v>0.53020189729110434</v>
      </c>
      <c r="H33" s="81">
        <f t="shared" si="11"/>
        <v>0.49414304819296639</v>
      </c>
      <c r="I33" s="81">
        <f t="shared" si="11"/>
        <v>0.45051194539249262</v>
      </c>
      <c r="J33" s="81">
        <f t="shared" si="11"/>
        <v>0.64622030237581107</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0.11687912073084106</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0.59876984694607238</v>
      </c>
      <c r="G34" s="81">
        <f t="shared" si="12"/>
        <v>0.46979810270889572</v>
      </c>
      <c r="H34" s="81">
        <f t="shared" si="12"/>
        <v>0.50585695180703349</v>
      </c>
      <c r="I34" s="81">
        <f t="shared" si="12"/>
        <v>0.54948805460750738</v>
      </c>
      <c r="J34" s="81">
        <f t="shared" si="12"/>
        <v>0.35377969762418898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4.4888224751691935E-2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4.1157760097362987E-2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0.74057542647100982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0.83823265451746698</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2.2585777463105302E-2</v>
      </c>
      <c r="P38" s="81">
        <f t="shared" si="16"/>
        <v>0</v>
      </c>
      <c r="Q38" s="81">
        <f t="shared" si="16"/>
        <v>0</v>
      </c>
      <c r="R38" s="81">
        <f t="shared" si="16"/>
        <v>0.25284748098739745</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5.284999999999998E-3</v>
      </c>
      <c r="C40" s="81">
        <f t="shared" si="18"/>
        <v>1.767111111111111E-2</v>
      </c>
      <c r="D40" s="81">
        <f t="shared" si="18"/>
        <v>2.8172444444444437E-2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1.2512000000000004E-2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6.341999999999999E-2</v>
      </c>
      <c r="C41" s="81">
        <f t="shared" si="19"/>
        <v>0.31304343703703708</v>
      </c>
      <c r="D41" s="81">
        <f t="shared" si="19"/>
        <v>0.23079733333333333</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2.8901734104046242E-2</v>
      </c>
      <c r="M41" s="81">
        <f t="shared" si="19"/>
        <v>0.15952800000000003</v>
      </c>
      <c r="N41" s="81">
        <f t="shared" si="19"/>
        <v>0.28198817952776833</v>
      </c>
      <c r="O41" s="81">
        <f t="shared" si="19"/>
        <v>0</v>
      </c>
      <c r="P41" s="81">
        <f t="shared" si="19"/>
        <v>4.7673277220996187E-2</v>
      </c>
      <c r="Q41" s="81">
        <f t="shared" si="19"/>
        <v>5.3760568709324012E-5</v>
      </c>
      <c r="R41" s="81">
        <f t="shared" si="19"/>
        <v>0.74715251901260249</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0.98187999999999986</v>
      </c>
      <c r="C42" s="81">
        <f t="shared" si="20"/>
        <v>0.96920177777777772</v>
      </c>
      <c r="D42" s="81">
        <f t="shared" si="20"/>
        <v>0.97507822222222218</v>
      </c>
      <c r="E42" s="81">
        <f t="shared" si="20"/>
        <v>0.99011087803416253</v>
      </c>
      <c r="F42" s="81">
        <f t="shared" si="20"/>
        <v>1</v>
      </c>
      <c r="G42" s="81">
        <f t="shared" si="20"/>
        <v>1</v>
      </c>
      <c r="H42" s="81">
        <f t="shared" si="20"/>
        <v>0.99999999999999989</v>
      </c>
      <c r="I42" s="81">
        <f t="shared" si="20"/>
        <v>1</v>
      </c>
      <c r="J42" s="81">
        <f t="shared" si="20"/>
        <v>1</v>
      </c>
      <c r="K42" s="81">
        <f t="shared" si="20"/>
        <v>1</v>
      </c>
      <c r="L42" s="81">
        <f t="shared" si="20"/>
        <v>1</v>
      </c>
      <c r="M42" s="81">
        <f t="shared" si="20"/>
        <v>0.96950199999999997</v>
      </c>
      <c r="N42" s="81">
        <f t="shared" si="20"/>
        <v>0.9464537019462268</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-4.0391111111111105E-3</v>
      </c>
      <c r="D63" s="81">
        <f t="shared" si="25"/>
        <v>-2.4921777777777779E-2</v>
      </c>
      <c r="E63" s="81">
        <f t="shared" si="25"/>
        <v>-1.4009589451603237E-2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-7.5854000000000005E-2</v>
      </c>
      <c r="N63" s="81">
        <f t="shared" si="25"/>
        <v>-3.3450580780800453E-2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-0.16238487049649797</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-0.40845499999999996</v>
      </c>
      <c r="C65" s="81">
        <f t="shared" si="27"/>
        <v>-0.29687466666666662</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-0.42196531791907516</v>
      </c>
      <c r="M65" s="81">
        <f t="shared" si="27"/>
        <v>-0.26509800000000006</v>
      </c>
      <c r="N65" s="81">
        <f t="shared" si="27"/>
        <v>-0.22098040770415034</v>
      </c>
      <c r="O65" s="81">
        <f t="shared" si="27"/>
        <v>-3.3296165472023992E-2</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-4.0391111111111105E-3</v>
      </c>
      <c r="D66" s="81">
        <f t="shared" si="28"/>
        <v>0</v>
      </c>
      <c r="E66" s="81">
        <f t="shared" si="28"/>
        <v>0.87803416242133658</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-5.7086000000000019E-2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-0.16005999999999995</v>
      </c>
      <c r="C67" s="81">
        <f t="shared" si="29"/>
        <v>-3.0629925925925918E-2</v>
      </c>
      <c r="D67" s="81">
        <f t="shared" si="29"/>
        <v>-0.10185422222222219</v>
      </c>
      <c r="E67" s="81">
        <f t="shared" si="29"/>
        <v>-0.27195085406053338</v>
      </c>
      <c r="F67" s="81">
        <f t="shared" si="29"/>
        <v>1</v>
      </c>
      <c r="G67" s="81">
        <f t="shared" si="29"/>
        <v>0</v>
      </c>
      <c r="H67" s="81">
        <f t="shared" si="29"/>
        <v>0</v>
      </c>
      <c r="I67" s="81">
        <f t="shared" si="29"/>
        <v>0</v>
      </c>
      <c r="J67" s="81">
        <f t="shared" si="29"/>
        <v>0</v>
      </c>
      <c r="K67" s="81">
        <f t="shared" si="29"/>
        <v>0</v>
      </c>
      <c r="L67" s="81">
        <f t="shared" si="29"/>
        <v>0</v>
      </c>
      <c r="M67" s="81">
        <f t="shared" si="29"/>
        <v>-4.2228000000000009E-2</v>
      </c>
      <c r="N67" s="81">
        <f t="shared" si="29"/>
        <v>-5.1492768662832852E-2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-6.0399999999999985E-3</v>
      </c>
      <c r="C68" s="81">
        <f t="shared" si="30"/>
        <v>-4.3353125925925919E-2</v>
      </c>
      <c r="D68" s="81">
        <f t="shared" si="30"/>
        <v>-4.3342222222222213E-2</v>
      </c>
      <c r="E68" s="81">
        <f t="shared" si="30"/>
        <v>-2.3074617920287682E-2</v>
      </c>
      <c r="F68" s="81">
        <f t="shared" si="30"/>
        <v>0</v>
      </c>
      <c r="G68" s="81">
        <f t="shared" si="30"/>
        <v>1</v>
      </c>
      <c r="H68" s="81">
        <f t="shared" si="30"/>
        <v>0</v>
      </c>
      <c r="I68" s="81">
        <f t="shared" si="30"/>
        <v>0</v>
      </c>
      <c r="J68" s="81">
        <f t="shared" si="30"/>
        <v>0</v>
      </c>
      <c r="K68" s="81">
        <f t="shared" si="30"/>
        <v>0</v>
      </c>
      <c r="L68" s="81">
        <f t="shared" si="30"/>
        <v>0</v>
      </c>
      <c r="M68" s="81">
        <f t="shared" si="30"/>
        <v>-1.4858000000000003E-2</v>
      </c>
      <c r="N68" s="81">
        <f t="shared" si="30"/>
        <v>-5.9357505259426541E-2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-1.661E-2</v>
      </c>
      <c r="C69" s="81">
        <f t="shared" si="31"/>
        <v>-3.5813451851851849E-2</v>
      </c>
      <c r="D69" s="81">
        <f t="shared" si="31"/>
        <v>-1.9503999999999997E-2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-0.11026200000000001</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-7.5499999999999981E-4</v>
      </c>
      <c r="C70" s="81">
        <f t="shared" si="32"/>
        <v>-1.083828148148148E-2</v>
      </c>
      <c r="D70" s="81">
        <f t="shared" si="32"/>
        <v>-0.12027466666666667</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-1.4076000000000003E-2</v>
      </c>
      <c r="N70" s="81">
        <f t="shared" si="32"/>
        <v>-2.5808381128912102E-2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-0.24499999999999994</v>
      </c>
      <c r="C71" s="81">
        <f t="shared" si="33"/>
        <v>-0.21289955555555554</v>
      </c>
      <c r="D71" s="81">
        <f t="shared" si="33"/>
        <v>-0.18733333333333332</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-0.21799999999999997</v>
      </c>
      <c r="N71" s="81">
        <f t="shared" si="33"/>
        <v>-0.17521855848873066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-0.40123015305392767</v>
      </c>
      <c r="G72" s="81">
        <f t="shared" si="34"/>
        <v>-0.53020189729110434</v>
      </c>
      <c r="H72" s="81">
        <f t="shared" si="34"/>
        <v>-0.49414304819296639</v>
      </c>
      <c r="I72" s="81">
        <f t="shared" si="34"/>
        <v>-0.45051194539249262</v>
      </c>
      <c r="J72" s="81">
        <f t="shared" si="34"/>
        <v>-0.64622030237581107</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-0.59876984694607238</v>
      </c>
      <c r="G73" s="81">
        <f t="shared" si="35"/>
        <v>-0.46979810270889572</v>
      </c>
      <c r="H73" s="81">
        <f t="shared" si="35"/>
        <v>-0.50585695180703349</v>
      </c>
      <c r="I73" s="81">
        <f t="shared" si="35"/>
        <v>-0.54948805460750738</v>
      </c>
      <c r="J73" s="81">
        <f t="shared" si="35"/>
        <v>-0.35377969762418898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-4.1157760097362987E-2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-0.74057542647100982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-2.2585777463105302E-2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2.046997255063387</v>
      </c>
      <c r="C81" s="81">
        <v>0.68994619788498823</v>
      </c>
      <c r="D81" s="81">
        <v>0.83823020805008641</v>
      </c>
      <c r="E81" s="81">
        <v>1.1373556275759646</v>
      </c>
      <c r="F81" s="81">
        <v>1.2663547670284501</v>
      </c>
      <c r="G81" s="81">
        <v>1.2786260373990841</v>
      </c>
      <c r="H81" s="81">
        <v>1.2751951472521428</v>
      </c>
      <c r="I81" s="81">
        <v>1.2710437801275041</v>
      </c>
      <c r="J81" s="81">
        <v>1.2896648368290282</v>
      </c>
      <c r="K81" s="81">
        <v>1.3233259022574682</v>
      </c>
      <c r="L81" s="81">
        <v>1.2281789346544896</v>
      </c>
      <c r="M81" s="81">
        <v>0.95453033360491324</v>
      </c>
      <c r="N81" s="81">
        <v>0.75573112341139703</v>
      </c>
      <c r="O81" s="81">
        <v>0.75972998883416742</v>
      </c>
      <c r="P81" s="81">
        <v>0.92186703203872722</v>
      </c>
      <c r="Q81" s="1">
        <v>0.88275451477045375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0.16238487049649797</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2.5574353473722864</v>
      </c>
      <c r="C83" s="81">
        <v>1.7966240126726667</v>
      </c>
      <c r="D83" s="81">
        <v>2.9789381822566638</v>
      </c>
      <c r="E83" s="81">
        <v>2.5985256744935632</v>
      </c>
      <c r="F83" s="81">
        <v>2.6782933190955291</v>
      </c>
      <c r="G83" s="81">
        <v>2.6743671770483677</v>
      </c>
      <c r="H83" s="81">
        <v>2.6754648761176765</v>
      </c>
      <c r="I83" s="81">
        <v>2.6767930888070706</v>
      </c>
      <c r="J83" s="81">
        <v>2.6708353589657179</v>
      </c>
      <c r="K83" s="81">
        <v>2.6600656407263474</v>
      </c>
      <c r="L83" s="81">
        <v>2.6905075182894023</v>
      </c>
      <c r="M83" s="81">
        <v>2.1997991654720073</v>
      </c>
      <c r="N83" s="81">
        <v>1.7938354547071045</v>
      </c>
      <c r="O83" s="81">
        <v>1.8720762622307996</v>
      </c>
      <c r="P83" s="81">
        <v>2.7510774359126726</v>
      </c>
      <c r="Q83" s="1">
        <v>2.9477326694402155</v>
      </c>
      <c r="R83" s="1"/>
      <c r="S83" s="1"/>
      <c r="T83" s="1"/>
      <c r="U83" s="1"/>
      <c r="V83" s="1"/>
      <c r="W83" s="1"/>
      <c r="X83" s="1"/>
      <c r="Y83" s="1"/>
      <c r="Z83" s="1"/>
      <c r="AA83" s="1"/>
      <c r="AB83" s="1"/>
      <c r="AC83" s="1"/>
      <c r="AD83" s="1"/>
      <c r="AE83" s="1"/>
      <c r="AF83" s="1"/>
      <c r="AG83" s="1"/>
    </row>
    <row r="84" spans="1:33" x14ac:dyDescent="0.2">
      <c r="A84" s="59" t="str">
        <f t="shared" si="42"/>
        <v>NatRes</v>
      </c>
      <c r="B84" s="81">
        <v>0.34682513373235752</v>
      </c>
      <c r="C84" s="81">
        <v>0.25136351891567515</v>
      </c>
      <c r="D84" s="81">
        <v>0.29351766206012481</v>
      </c>
      <c r="E84" s="81">
        <v>1.5455788991917352</v>
      </c>
      <c r="F84" s="81">
        <v>0.46220044502059399</v>
      </c>
      <c r="G84" s="81">
        <v>0.46727089031025842</v>
      </c>
      <c r="H84" s="81">
        <v>0.46585325869922772</v>
      </c>
      <c r="I84" s="81">
        <v>0.46413792856249114</v>
      </c>
      <c r="J84" s="81">
        <v>0.4718320829889765</v>
      </c>
      <c r="K84" s="81">
        <v>0.48574071555037412</v>
      </c>
      <c r="L84" s="81">
        <v>0.44642632680845018</v>
      </c>
      <c r="M84" s="81">
        <v>0.37956895877550489</v>
      </c>
      <c r="N84" s="81">
        <v>0.27047195747850078</v>
      </c>
      <c r="O84" s="81">
        <v>0.27393200338946966</v>
      </c>
      <c r="P84" s="81">
        <v>0.32827140381693931</v>
      </c>
      <c r="Q84" s="1">
        <v>0.3110750882117661</v>
      </c>
      <c r="R84" s="1"/>
      <c r="S84" s="1"/>
      <c r="T84" s="1"/>
      <c r="U84" s="1"/>
      <c r="V84" s="1"/>
      <c r="W84" s="1"/>
      <c r="X84" s="1"/>
      <c r="Y84" s="1"/>
      <c r="Z84" s="1"/>
      <c r="AA84" s="1"/>
      <c r="AB84" s="1"/>
      <c r="AC84" s="1"/>
      <c r="AD84" s="1"/>
      <c r="AE84" s="1"/>
      <c r="AF84" s="1"/>
      <c r="AG84" s="1"/>
    </row>
    <row r="85" spans="1:33" x14ac:dyDescent="0.2">
      <c r="A85" s="59" t="str">
        <f t="shared" si="42"/>
        <v>L-MUSK</v>
      </c>
      <c r="B85" s="81">
        <v>0.68244736016384178</v>
      </c>
      <c r="C85" s="81">
        <v>0.39241497944471831</v>
      </c>
      <c r="D85" s="81">
        <v>0.51740693758143153</v>
      </c>
      <c r="E85" s="81">
        <v>0.86703745490295747</v>
      </c>
      <c r="F85" s="81">
        <v>1.6011840326805318</v>
      </c>
      <c r="G85" s="81">
        <v>0.60412718999849935</v>
      </c>
      <c r="H85" s="81">
        <v>0.60330432087915553</v>
      </c>
      <c r="I85" s="81">
        <v>0.60230865163192848</v>
      </c>
      <c r="J85" s="81">
        <v>0.60677474989592961</v>
      </c>
      <c r="K85" s="81">
        <v>0.61484806325746844</v>
      </c>
      <c r="L85" s="81">
        <v>0.5920278917898707</v>
      </c>
      <c r="M85" s="81">
        <v>0.522293060754913</v>
      </c>
      <c r="N85" s="81">
        <v>0.428719887145602</v>
      </c>
      <c r="O85" s="81">
        <v>0.43166765130358131</v>
      </c>
      <c r="P85" s="81">
        <v>0.51899488251413617</v>
      </c>
      <c r="Q85" s="1">
        <v>0.55176948908007706</v>
      </c>
      <c r="R85" s="1"/>
      <c r="S85" s="1"/>
      <c r="T85" s="1"/>
      <c r="U85" s="1"/>
      <c r="V85" s="1"/>
      <c r="W85" s="1"/>
      <c r="X85" s="1"/>
      <c r="Y85" s="1"/>
      <c r="Z85" s="1"/>
      <c r="AA85" s="1"/>
      <c r="AB85" s="1"/>
      <c r="AC85" s="1"/>
      <c r="AD85" s="1"/>
      <c r="AE85" s="1"/>
      <c r="AF85" s="1"/>
      <c r="AG85" s="1"/>
    </row>
    <row r="86" spans="1:33" x14ac:dyDescent="0.2">
      <c r="A86" s="59" t="str">
        <f t="shared" si="42"/>
        <v>L-MSK</v>
      </c>
      <c r="B86" s="81">
        <v>0.1312116520113854</v>
      </c>
      <c r="C86" s="81">
        <v>0.13119019532626874</v>
      </c>
      <c r="D86" s="81">
        <v>0.14094951904314706</v>
      </c>
      <c r="E86" s="81">
        <v>0.15515914778911685</v>
      </c>
      <c r="F86" s="81">
        <v>0.13439706567682053</v>
      </c>
      <c r="G86" s="81">
        <v>1.1344180150165197</v>
      </c>
      <c r="H86" s="81">
        <v>0.13441215784925115</v>
      </c>
      <c r="I86" s="81">
        <v>0.13440507069384805</v>
      </c>
      <c r="J86" s="81">
        <v>0.13443686029921223</v>
      </c>
      <c r="K86" s="81">
        <v>0.13449432599534641</v>
      </c>
      <c r="L86" s="81">
        <v>0.13433189243423446</v>
      </c>
      <c r="M86" s="81">
        <v>0.12472595618726659</v>
      </c>
      <c r="N86" s="81">
        <v>0.14791197322981642</v>
      </c>
      <c r="O86" s="81">
        <v>0.14722975797866544</v>
      </c>
      <c r="P86" s="81">
        <v>0.29044663014777888</v>
      </c>
      <c r="Q86" s="1">
        <v>0.16591070764970683</v>
      </c>
      <c r="R86" s="1"/>
      <c r="S86" s="1"/>
      <c r="T86" s="1"/>
      <c r="U86" s="1"/>
      <c r="V86" s="1"/>
      <c r="W86" s="1"/>
      <c r="X86" s="1"/>
      <c r="Y86" s="1"/>
      <c r="Z86" s="1"/>
      <c r="AA86" s="1"/>
      <c r="AB86" s="1"/>
      <c r="AC86" s="1"/>
      <c r="AD86" s="1"/>
      <c r="AE86" s="1"/>
      <c r="AF86" s="1"/>
      <c r="AG86" s="1"/>
    </row>
    <row r="87" spans="1:33" x14ac:dyDescent="0.2">
      <c r="A87" s="59" t="str">
        <f t="shared" si="42"/>
        <v>L-FUSK</v>
      </c>
      <c r="B87" s="81">
        <v>8.3880843421751922E-2</v>
      </c>
      <c r="C87" s="81">
        <v>8.2314812941889193E-2</v>
      </c>
      <c r="D87" s="81">
        <v>7.2024214062445899E-2</v>
      </c>
      <c r="E87" s="81">
        <v>6.9573121729359227E-2</v>
      </c>
      <c r="F87" s="81">
        <v>7.3271585575981749E-2</v>
      </c>
      <c r="G87" s="81">
        <v>7.3398835902350149E-2</v>
      </c>
      <c r="H87" s="81">
        <v>1.0733632583396573</v>
      </c>
      <c r="I87" s="81">
        <v>7.3320209592010938E-2</v>
      </c>
      <c r="J87" s="81">
        <v>7.3513305780997518E-2</v>
      </c>
      <c r="K87" s="81">
        <v>7.3862363493223226E-2</v>
      </c>
      <c r="L87" s="81">
        <v>7.2875710741327565E-2</v>
      </c>
      <c r="M87" s="81">
        <v>0.16902163176454363</v>
      </c>
      <c r="N87" s="81">
        <v>0.11934966553917051</v>
      </c>
      <c r="O87" s="81">
        <v>0.11271074502340146</v>
      </c>
      <c r="P87" s="81">
        <v>7.0927529938564104E-2</v>
      </c>
      <c r="Q87" s="1">
        <v>9.7794777640004077E-2</v>
      </c>
      <c r="R87" s="1"/>
      <c r="S87" s="1"/>
      <c r="T87" s="1"/>
      <c r="U87" s="1"/>
      <c r="V87" s="1"/>
      <c r="W87" s="1"/>
      <c r="X87" s="1"/>
      <c r="Y87" s="1"/>
      <c r="Z87" s="1"/>
      <c r="AA87" s="1"/>
      <c r="AB87" s="1"/>
      <c r="AC87" s="1"/>
      <c r="AD87" s="1"/>
      <c r="AE87" s="1"/>
      <c r="AF87" s="1"/>
      <c r="AG87" s="1"/>
    </row>
    <row r="88" spans="1:33" x14ac:dyDescent="0.2">
      <c r="A88" s="59" t="str">
        <f t="shared" si="42"/>
        <v>L-FSK</v>
      </c>
      <c r="B88" s="81">
        <v>0.30914016685432544</v>
      </c>
      <c r="C88" s="81">
        <v>0.22744754511041873</v>
      </c>
      <c r="D88" s="81">
        <v>0.35892366069860399</v>
      </c>
      <c r="E88" s="81">
        <v>0.31339551282330835</v>
      </c>
      <c r="F88" s="81">
        <v>0.32308693403888156</v>
      </c>
      <c r="G88" s="81">
        <v>0.32262398342200299</v>
      </c>
      <c r="H88" s="81">
        <v>0.32275341848960359</v>
      </c>
      <c r="I88" s="81">
        <v>1.3229100345459037</v>
      </c>
      <c r="J88" s="81">
        <v>0.32220752947295461</v>
      </c>
      <c r="K88" s="81">
        <v>0.32093761930601888</v>
      </c>
      <c r="L88" s="81">
        <v>0.32452717002208253</v>
      </c>
      <c r="M88" s="81">
        <v>0.27937678176262887</v>
      </c>
      <c r="N88" s="81">
        <v>0.2421319194968331</v>
      </c>
      <c r="O88" s="81">
        <v>0.24991828722445197</v>
      </c>
      <c r="P88" s="81">
        <v>0.45240830788426117</v>
      </c>
      <c r="Q88" s="1">
        <v>0.38084369106292199</v>
      </c>
      <c r="R88" s="1"/>
      <c r="S88" s="1"/>
      <c r="T88" s="1"/>
      <c r="U88" s="1"/>
      <c r="V88" s="1"/>
      <c r="W88" s="1"/>
      <c r="X88" s="1"/>
      <c r="Y88" s="1"/>
      <c r="Z88" s="1"/>
      <c r="AA88" s="1"/>
      <c r="AB88" s="1"/>
      <c r="AC88" s="1"/>
      <c r="AD88" s="1"/>
      <c r="AE88" s="1"/>
      <c r="AF88" s="1"/>
      <c r="AG88" s="1"/>
    </row>
    <row r="89" spans="1:33" x14ac:dyDescent="0.2">
      <c r="A89" s="59" t="str">
        <f t="shared" si="42"/>
        <v>K</v>
      </c>
      <c r="B89" s="81">
        <v>1.6334096111493541</v>
      </c>
      <c r="C89" s="81">
        <v>1.1828220502849824</v>
      </c>
      <c r="D89" s="81">
        <v>1.3169074663260636</v>
      </c>
      <c r="E89" s="81">
        <v>1.9258398597123021</v>
      </c>
      <c r="F89" s="81">
        <v>1.7001634339103791</v>
      </c>
      <c r="G89" s="81">
        <v>1.6949865340355739</v>
      </c>
      <c r="H89" s="81">
        <v>1.6964339289861954</v>
      </c>
      <c r="I89" s="81">
        <v>1.6981852726774929</v>
      </c>
      <c r="J89" s="81">
        <v>2.6903295785891657</v>
      </c>
      <c r="K89" s="81">
        <v>1.676128932678917</v>
      </c>
      <c r="L89" s="81">
        <v>1.7162687315583127</v>
      </c>
      <c r="M89" s="81">
        <v>1.4773749957021567</v>
      </c>
      <c r="N89" s="81">
        <v>1.1887518832141748</v>
      </c>
      <c r="O89" s="81">
        <v>1.2078355414911861</v>
      </c>
      <c r="P89" s="81">
        <v>1.3614447697824441</v>
      </c>
      <c r="Q89" s="1">
        <v>1.35586378332996</v>
      </c>
      <c r="R89" s="1"/>
      <c r="S89" s="1"/>
      <c r="T89" s="1"/>
      <c r="U89" s="1"/>
      <c r="V89" s="1"/>
      <c r="W89" s="1"/>
      <c r="X89" s="1"/>
      <c r="Y89" s="1"/>
      <c r="Z89" s="1"/>
      <c r="AA89" s="1"/>
      <c r="AB89" s="1"/>
      <c r="AC89" s="1"/>
      <c r="AD89" s="1"/>
      <c r="AE89" s="1"/>
      <c r="AF89" s="1"/>
      <c r="AG89" s="1"/>
    </row>
    <row r="90" spans="1:33" x14ac:dyDescent="0.2">
      <c r="A90" s="59" t="str">
        <f t="shared" si="42"/>
        <v>Poor</v>
      </c>
      <c r="B90" s="81">
        <v>1.5796500520553387</v>
      </c>
      <c r="C90" s="81">
        <v>1.134512764324155</v>
      </c>
      <c r="D90" s="81">
        <v>1.3306329695753416</v>
      </c>
      <c r="E90" s="81">
        <v>1.8502315583476878</v>
      </c>
      <c r="F90" s="81">
        <v>1.9941421898891845</v>
      </c>
      <c r="G90" s="81">
        <v>2.1208148222458254</v>
      </c>
      <c r="H90" s="81">
        <v>2.0853987754052694</v>
      </c>
      <c r="I90" s="81">
        <v>2.0425454614716734</v>
      </c>
      <c r="J90" s="81">
        <v>2.2347650278573163</v>
      </c>
      <c r="K90" s="81">
        <v>2.5822380797064088</v>
      </c>
      <c r="L90" s="81">
        <v>1.6000645570804592</v>
      </c>
      <c r="M90" s="81">
        <v>1.4397828215428008</v>
      </c>
      <c r="N90" s="81">
        <v>1.1866932858201644</v>
      </c>
      <c r="O90" s="81">
        <v>1.2000738285382611</v>
      </c>
      <c r="P90" s="81">
        <v>1.4808886940495938</v>
      </c>
      <c r="Q90" s="1">
        <v>1.4054386742463683</v>
      </c>
      <c r="R90" s="1"/>
      <c r="S90" s="1"/>
      <c r="T90" s="1"/>
      <c r="U90" s="1"/>
      <c r="V90" s="1"/>
      <c r="W90" s="1"/>
      <c r="X90" s="1"/>
      <c r="Y90" s="1"/>
      <c r="Z90" s="1"/>
      <c r="AA90" s="1"/>
      <c r="AB90" s="1"/>
      <c r="AC90" s="1"/>
      <c r="AD90" s="1"/>
      <c r="AE90" s="1"/>
      <c r="AF90" s="1"/>
      <c r="AG90" s="1"/>
    </row>
    <row r="91" spans="1:33" x14ac:dyDescent="0.2">
      <c r="A91" s="59" t="str">
        <f t="shared" si="42"/>
        <v>Nonpoor</v>
      </c>
      <c r="B91" s="81">
        <v>1.26043958154532</v>
      </c>
      <c r="C91" s="81">
        <v>0.88167681878412241</v>
      </c>
      <c r="D91" s="81">
        <v>1.0755788281363503</v>
      </c>
      <c r="E91" s="81">
        <v>1.4807735386093561</v>
      </c>
      <c r="F91" s="81">
        <v>1.8379608619934102</v>
      </c>
      <c r="G91" s="81">
        <v>1.7087397361291208</v>
      </c>
      <c r="H91" s="81">
        <v>1.7448683091385933</v>
      </c>
      <c r="I91" s="81">
        <v>1.7885837776695106</v>
      </c>
      <c r="J91" s="81">
        <v>1.5924969961809432</v>
      </c>
      <c r="K91" s="81">
        <v>1.2380332250245649</v>
      </c>
      <c r="L91" s="81">
        <v>2.2399668394653687</v>
      </c>
      <c r="M91" s="81">
        <v>1.1330096046287081</v>
      </c>
      <c r="N91" s="81">
        <v>0.94017204280543232</v>
      </c>
      <c r="O91" s="81">
        <v>0.94928815448302517</v>
      </c>
      <c r="P91" s="81">
        <v>1.2133334262175908</v>
      </c>
      <c r="Q91" s="1">
        <v>1.1467437745163016</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4.1157760097362987E-2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0.74057542647100982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2.2585777463105302E-2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1.7250558549872959E-3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0.75972998883416742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0.16238487049649797</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1.8720762622307996</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0.27393200338946966</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4.1157760097362987E-2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0.74057542647100982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3.8498563115193076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0.94152644153010023</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0.43166765130358131</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0.14722975797866544</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0.11271074502340146</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0.24991828722445197</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1.2078355414911861</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1.2000738285382611</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0.94928815448302517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2.1493619830212864</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650.69260924530022</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363.30742655125147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287.38518269404875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302.73756323290104</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2023-12-28T18:29:32Z</dcterms:modified>
</cp:coreProperties>
</file>