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Uganda-QueenElizabeth/"/>
    </mc:Choice>
  </mc:AlternateContent>
  <xr:revisionPtr revIDLastSave="0" documentId="13_ncr:1_{C02D74E6-3867-844D-B125-C624D2D12D28}" xr6:coauthVersionLast="47" xr6:coauthVersionMax="47" xr10:uidLastSave="{00000000-0000-0000-0000-000000000000}"/>
  <bookViews>
    <workbookView xWindow="1400" yWindow="500" windowWidth="25060" windowHeight="18100" activeTab="1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1" i="2" l="1"/>
  <c r="C43" i="10" l="1"/>
  <c r="C42" i="7"/>
  <c r="C41" i="6"/>
  <c r="D15" i="5"/>
  <c r="D16" i="5"/>
  <c r="C41" i="5" l="1"/>
  <c r="C41" i="4"/>
  <c r="C42" i="3"/>
  <c r="C5" i="10"/>
  <c r="C21" i="8"/>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34" i="10" l="1"/>
  <c r="C29" i="10"/>
  <c r="C28" i="10"/>
  <c r="C26" i="10"/>
  <c r="F11" i="10"/>
  <c r="F12" i="10"/>
  <c r="F13" i="10"/>
  <c r="F14" i="10"/>
  <c r="F15" i="10"/>
  <c r="F16" i="10"/>
  <c r="F17" i="10"/>
  <c r="F18" i="10"/>
  <c r="F19" i="10"/>
  <c r="F10"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3" i="3" l="1"/>
  <c r="C32" i="3"/>
  <c r="C10" i="11" s="1"/>
  <c r="C10" i="12" s="1"/>
  <c r="C31" i="3"/>
  <c r="C30" i="3"/>
  <c r="C8" i="11" s="1"/>
  <c r="C8" i="12" s="1"/>
  <c r="C29" i="3"/>
  <c r="C7" i="11" s="1"/>
  <c r="C7" i="12" s="1"/>
  <c r="C33" i="7"/>
  <c r="N10" i="11" s="1"/>
  <c r="N10" i="12" s="1"/>
  <c r="C32" i="7"/>
  <c r="N9" i="11" s="1"/>
  <c r="N9" i="12" s="1"/>
  <c r="C34" i="7"/>
  <c r="C31" i="7"/>
  <c r="N8" i="11" s="1"/>
  <c r="N8" i="12" s="1"/>
  <c r="C30" i="7"/>
  <c r="N7" i="11" s="1"/>
  <c r="N7" i="12" s="1"/>
  <c r="C27" i="3"/>
  <c r="C5" i="11" s="1"/>
  <c r="C5" i="12" s="1"/>
  <c r="C25" i="3"/>
  <c r="G38" i="2" s="1"/>
  <c r="C28" i="3"/>
  <c r="C6" i="11" s="1"/>
  <c r="C6" i="12" s="1"/>
  <c r="C20" i="11"/>
  <c r="C20" i="12" s="1"/>
  <c r="C9" i="11"/>
  <c r="C9" i="12" s="1"/>
  <c r="C41" i="3"/>
  <c r="C19" i="11" s="1"/>
  <c r="C19" i="12" s="1"/>
  <c r="C26" i="7"/>
  <c r="G35" i="2" s="1"/>
  <c r="C28" i="7"/>
  <c r="N20" i="11"/>
  <c r="N20" i="12" s="1"/>
  <c r="C29" i="7"/>
  <c r="N6" i="11" s="1"/>
  <c r="N6" i="12" s="1"/>
  <c r="C41" i="7"/>
  <c r="N19" i="11" s="1"/>
  <c r="N19" i="12" s="1"/>
  <c r="H9" i="9"/>
  <c r="C43" i="6"/>
  <c r="I9" i="9"/>
  <c r="K9" i="9"/>
  <c r="J9" i="9"/>
  <c r="G36" i="2"/>
  <c r="O21" i="11"/>
  <c r="O21" i="12" s="1"/>
  <c r="G16" i="9"/>
  <c r="N5" i="11"/>
  <c r="N5" i="12" s="1"/>
  <c r="H16" i="9"/>
  <c r="B27" i="13"/>
  <c r="C45" i="1"/>
  <c r="C46" i="1" s="1"/>
  <c r="C45" i="10"/>
  <c r="D45" i="9"/>
  <c r="D47" i="9" s="1"/>
  <c r="D48" i="9" s="1"/>
  <c r="L3" i="11"/>
  <c r="T15" i="12"/>
  <c r="T14" i="11"/>
  <c r="T4" i="11"/>
  <c r="P3" i="12"/>
  <c r="C45" i="9"/>
  <c r="C47" i="9" s="1"/>
  <c r="C48" i="9" s="1"/>
  <c r="K3" i="11"/>
  <c r="S12" i="12"/>
  <c r="C40" i="6" l="1"/>
  <c r="C33" i="6"/>
  <c r="C31" i="6"/>
  <c r="M9" i="11" s="1"/>
  <c r="M9" i="12" s="1"/>
  <c r="C30" i="6"/>
  <c r="M8" i="11" s="1"/>
  <c r="M8" i="12" s="1"/>
  <c r="C32" i="6"/>
  <c r="M10" i="11" s="1"/>
  <c r="M10" i="12" s="1"/>
  <c r="C29" i="6"/>
  <c r="M7" i="11" s="1"/>
  <c r="M7" i="12" s="1"/>
  <c r="O25" i="12"/>
  <c r="O64" i="12" s="1"/>
  <c r="O24" i="12"/>
  <c r="O63" i="12" s="1"/>
  <c r="S16" i="11"/>
  <c r="S21" i="11" s="1"/>
  <c r="S21" i="12" s="1"/>
  <c r="S34" i="12" s="1"/>
  <c r="C68" i="10"/>
  <c r="C42" i="10"/>
  <c r="P19" i="11" s="1"/>
  <c r="P19" i="12" s="1"/>
  <c r="C27" i="6"/>
  <c r="C43" i="4" s="1"/>
  <c r="M20" i="1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24" i="13" l="1"/>
  <c r="B12" i="13"/>
  <c r="B10" i="13"/>
  <c r="B21" i="13"/>
</calcChain>
</file>

<file path=xl/sharedStrings.xml><?xml version="1.0" encoding="utf-8"?>
<sst xmlns="http://schemas.openxmlformats.org/spreadsheetml/2006/main" count="1192" uniqueCount="547">
  <si>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</si>
  <si>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</si>
  <si>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</si>
  <si>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</si>
  <si>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</si>
  <si>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</si>
  <si>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</si>
  <si>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</si>
  <si>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</si>
  <si>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</si>
  <si>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</si>
  <si>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</si>
  <si>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</si>
  <si>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</si>
  <si>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</si>
  <si>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</si>
  <si>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</si>
  <si>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</si>
  <si>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</si>
  <si>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</si>
  <si>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</si>
  <si>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</si>
  <si>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</si>
  <si>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</si>
  <si>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</si>
  <si>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</si>
  <si>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</si>
  <si>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</si>
  <si>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</si>
  <si>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</si>
  <si>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</si>
  <si>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</si>
  <si>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</si>
  <si>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</si>
  <si>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</si>
  <si>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</si>
  <si>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</si>
  <si>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</si>
  <si>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</si>
  <si>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</si>
  <si>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</si>
  <si>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</si>
  <si>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</si>
  <si>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</si>
  <si>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</si>
  <si>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</si>
  <si>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</si>
  <si>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</si>
  <si>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</si>
  <si>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</si>
  <si>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</si>
  <si>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</si>
  <si>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</si>
  <si>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</si>
  <si>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</si>
  <si>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</si>
  <si>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</si>
  <si>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</si>
  <si>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</si>
  <si>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</si>
  <si>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</si>
  <si>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</si>
  <si>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</si>
  <si>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</si>
  <si>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</si>
  <si>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</si>
  <si>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</si>
  <si>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</si>
  <si>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</si>
  <si>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</si>
  <si>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</si>
  <si>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</si>
  <si>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</si>
  <si>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</si>
  <si>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</si>
  <si>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</si>
  <si>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</si>
  <si>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</si>
  <si>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</si>
  <si>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</si>
  <si>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</si>
  <si>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</si>
  <si>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</si>
  <si>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</si>
  <si>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</si>
  <si>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</si>
  <si>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</si>
  <si>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</si>
  <si>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</si>
  <si>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</si>
  <si>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</si>
  <si>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</si>
  <si>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</si>
  <si>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</si>
  <si>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</si>
  <si>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</si>
  <si>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</si>
  <si>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</si>
  <si>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</si>
  <si>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</si>
  <si>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</si>
  <si>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</si>
  <si>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</si>
  <si>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</si>
  <si>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</si>
  <si>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</si>
  <si>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</si>
  <si>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</si>
  <si>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</si>
  <si>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</si>
  <si>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</si>
  <si>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</si>
  <si>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</si>
  <si>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</si>
  <si>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</si>
  <si>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</si>
  <si>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</si>
  <si>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</si>
  <si>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</si>
  <si>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</si>
  <si>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</si>
  <si>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</si>
  <si>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</si>
  <si>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</si>
  <si>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</si>
  <si>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</si>
  <si>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</si>
  <si>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</si>
  <si>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</si>
  <si>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</si>
  <si>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</si>
  <si>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</si>
  <si>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</si>
  <si>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</si>
  <si>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</si>
  <si>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</si>
  <si>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</si>
  <si>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</si>
  <si>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</si>
  <si>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</si>
  <si>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</si>
  <si>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</si>
  <si>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</si>
  <si>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</si>
  <si>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</si>
  <si>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</si>
  <si>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</si>
  <si>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</si>
  <si>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</si>
  <si>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</si>
  <si>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</si>
  <si>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</si>
  <si>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</si>
  <si>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</si>
  <si>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</si>
  <si>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</si>
  <si>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</si>
  <si>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</si>
  <si>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</si>
  <si>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</si>
  <si>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</si>
  <si>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</si>
  <si>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</si>
  <si>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</si>
  <si>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</si>
  <si>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</si>
  <si>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</si>
  <si>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</si>
  <si>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</si>
  <si>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</si>
  <si>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</si>
  <si>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</si>
  <si>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</si>
  <si>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</si>
  <si>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</si>
  <si>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</si>
  <si>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</si>
  <si>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</si>
  <si>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</si>
  <si>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</si>
  <si>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</si>
  <si>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</si>
  <si>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</si>
  <si>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</si>
  <si>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</si>
  <si>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</si>
  <si>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</si>
  <si>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</si>
  <si>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</si>
  <si>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</si>
  <si>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</si>
  <si>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</si>
  <si>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</si>
  <si>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</si>
  <si>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</si>
  <si>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</si>
  <si>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</si>
  <si>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</si>
  <si>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</si>
  <si>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</si>
  <si>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</si>
  <si>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</si>
  <si>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</si>
  <si>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</si>
  <si>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</si>
  <si>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</si>
  <si>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</si>
  <si>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</si>
  <si>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</si>
  <si>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</si>
  <si>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</si>
  <si>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</si>
  <si>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</si>
  <si>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</si>
  <si>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</si>
  <si>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</si>
  <si>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</si>
  <si>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</si>
  <si>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</si>
  <si>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</si>
  <si>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</si>
  <si>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</si>
  <si>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</si>
  <si>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</si>
  <si>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</si>
  <si>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</si>
  <si>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</si>
  <si>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</si>
  <si>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</si>
  <si>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</si>
  <si>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</si>
  <si>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</si>
  <si>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</si>
  <si>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</si>
  <si>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</si>
  <si>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</si>
  <si>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</si>
  <si>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</si>
  <si>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</si>
  <si>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</si>
  <si>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</si>
  <si>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</si>
  <si>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</si>
  <si>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</si>
  <si>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</si>
  <si>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</si>
  <si>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</si>
  <si>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</si>
  <si>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</si>
  <si>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</si>
  <si>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</si>
  <si>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</si>
  <si>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</si>
  <si>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</si>
  <si>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</si>
  <si>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</si>
  <si>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</si>
  <si>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</si>
  <si>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</si>
  <si>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</si>
  <si>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</si>
  <si>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</si>
  <si>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</si>
  <si>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</si>
  <si>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</si>
  <si>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</si>
  <si>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</si>
  <si>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</si>
  <si>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</si>
  <si>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</si>
  <si>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</si>
  <si>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</si>
  <si>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</si>
  <si>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</si>
  <si>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</si>
  <si>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</si>
  <si>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</si>
  <si>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</si>
  <si>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</si>
  <si>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</si>
  <si>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</si>
  <si>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</si>
  <si>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</si>
  <si>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</si>
  <si>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</si>
  <si>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</si>
  <si>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</si>
  <si>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</si>
  <si>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</si>
  <si>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</si>
  <si>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</si>
  <si>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</si>
  <si>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</si>
  <si>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</si>
  <si>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</si>
  <si>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</si>
  <si>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</si>
  <si>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</si>
  <si>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</si>
  <si>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</si>
  <si>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</si>
  <si>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</si>
  <si>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</si>
  <si>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</si>
  <si>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</si>
  <si>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</si>
  <si>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</si>
  <si>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</si>
  <si>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</si>
  <si>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</si>
  <si>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</si>
  <si>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</si>
  <si>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</si>
  <si>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</si>
  <si>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</si>
  <si>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</si>
  <si>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</si>
  <si>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</si>
  <si>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</si>
  <si>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</si>
  <si>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</si>
  <si>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</si>
  <si>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</si>
  <si>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</si>
  <si>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</si>
  <si>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</si>
  <si>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</si>
  <si>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</si>
  <si>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</si>
  <si>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</si>
  <si>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</si>
  <si>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</si>
  <si>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</si>
  <si>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</si>
  <si>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</si>
  <si>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</si>
  <si>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</si>
  <si>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</si>
  <si>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</si>
  <si>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</si>
  <si>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</si>
  <si>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</si>
  <si>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</si>
  <si>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</si>
  <si>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</si>
  <si>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</si>
  <si>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</si>
  <si>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</si>
  <si>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</si>
  <si>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</si>
  <si>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</si>
  <si>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</si>
  <si>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</si>
  <si>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</si>
  <si>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</si>
  <si>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</si>
  <si>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</si>
  <si>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</si>
  <si>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</si>
  <si>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</si>
  <si>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</si>
  <si>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</si>
  <si>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</si>
  <si>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</si>
  <si>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</si>
  <si>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</si>
  <si>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</si>
  <si>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</si>
  <si>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</si>
  <si>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</si>
  <si>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</si>
  <si>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</si>
  <si>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</si>
  <si>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</si>
  <si>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</si>
  <si>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</si>
  <si>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</si>
  <si>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</si>
  <si>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</si>
  <si>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</si>
  <si>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</si>
  <si>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</si>
  <si>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</si>
  <si>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</si>
  <si>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</si>
  <si>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</si>
  <si>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</si>
  <si>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</si>
  <si>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</si>
  <si>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</si>
  <si>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</si>
  <si>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</si>
  <si>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</si>
  <si>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</si>
  <si>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</si>
  <si>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</si>
  <si>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</si>
  <si>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</si>
  <si>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</si>
  <si>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</si>
  <si>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</si>
  <si>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</si>
  <si>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</si>
  <si>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</si>
  <si>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</si>
  <si>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</si>
  <si>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</si>
  <si>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</si>
  <si>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</si>
  <si>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</si>
  <si>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</si>
  <si>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</si>
  <si>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</si>
  <si>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</si>
  <si>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</si>
  <si>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</si>
  <si>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</si>
  <si>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</si>
  <si>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</si>
  <si>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</si>
  <si>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</si>
  <si>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</si>
  <si>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</si>
  <si>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</si>
  <si>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</si>
  <si>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</si>
  <si>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</si>
  <si>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</si>
  <si>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</si>
  <si>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</si>
  <si>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</si>
  <si>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</si>
  <si>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</si>
  <si>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</si>
  <si>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</si>
  <si>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</si>
  <si>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</si>
  <si>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</si>
  <si>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</si>
  <si>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</si>
  <si>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</si>
  <si>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</si>
  <si>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</si>
  <si>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</si>
  <si>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</si>
  <si>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</si>
  <si>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</si>
  <si>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</si>
  <si>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</si>
  <si>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</si>
  <si>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</si>
  <si>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</si>
  <si>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</si>
  <si>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</si>
  <si>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</si>
  <si>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</si>
  <si>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</si>
  <si>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</si>
  <si>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</si>
  <si>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</si>
  <si>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</si>
  <si>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</si>
  <si>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</si>
  <si>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</si>
  <si>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</si>
  <si>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</si>
  <si>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</si>
  <si>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</si>
  <si>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</si>
  <si>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</si>
  <si>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</si>
  <si>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</si>
  <si>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</si>
  <si>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</si>
  <si>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</si>
  <si>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</si>
  <si>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</si>
  <si>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</si>
  <si>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</si>
  <si>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</si>
  <si>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</si>
  <si>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</si>
  <si>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</si>
  <si>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</si>
  <si>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</si>
  <si>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</si>
  <si>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</si>
  <si>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</si>
  <si>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</si>
  <si>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</si>
  <si>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</si>
  <si>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</si>
  <si>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</si>
  <si>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</si>
  <si>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</si>
  <si>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</si>
  <si>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</si>
  <si>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</si>
  <si>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</si>
  <si>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</si>
  <si>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</si>
  <si>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</si>
  <si>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</si>
  <si>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</si>
  <si>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</si>
  <si>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</si>
  <si>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</si>
  <si>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</si>
  <si>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</si>
  <si>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</si>
  <si>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</si>
  <si>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</si>
  <si>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</si>
  <si>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</si>
  <si>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</si>
  <si>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</si>
  <si>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</si>
  <si>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</si>
  <si>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</si>
  <si>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</si>
  <si>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</si>
  <si>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</si>
  <si>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</si>
  <si>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</si>
  <si>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</si>
  <si>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</si>
  <si>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</si>
  <si>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</si>
  <si>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</si>
  <si>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</si>
  <si>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</si>
  <si>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</si>
  <si>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</si>
  <si>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</si>
  <si>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</si>
  <si>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</si>
  <si>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</si>
  <si>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</si>
  <si>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</si>
  <si>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</si>
  <si>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</si>
  <si>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</si>
  <si>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</si>
  <si>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</si>
  <si>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</si>
  <si>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DO NOT USE THIS (formerly Park entry, but not used anymore. Park fees come from PA tab)</t>
  </si>
  <si>
    <t>32.8 but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</si>
</sst>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6">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166" fontId="3" fillId="8" borderId="5" xfId="0" applyNumberFormat="1" applyFont="1" applyFill="1" applyBorder="1" applyAlignment="1">
      <alignment vertical="center"/>
    </xf>
    <xf numFmtId="9" fontId="4" fillId="4" borderId="47" xfId="2" applyFont="1" applyFill="1" applyBorder="1" applyAlignment="1">
      <alignment vertical="center"/>
    </xf>
    <xf numFmtId="0" fontId="19" fillId="6" borderId="5" xfId="0" applyFont="1" applyFill="1" applyBorder="1" applyAlignment="1">
      <alignment horizontal="right"/>
    </xf>
    <xf numFmtId="4" fontId="19" fillId="9" borderId="34" xfId="0" applyNumberFormat="1" applyFont="1" applyFill="1" applyBorder="1"/>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xf numFmtId="175" fontId="2" fillId="13" borderId="57" xfId="1" applyNumberFormat="1" applyFont="1" applyFill="1" applyBorder="1" applyAlignment="1">
      <alignment vertical="center"/>
    </xf>
    <xf numFmtId="175" fontId="2" fillId="13" borderId="58" xfId="1" applyNumberFormat="1" applyFont="1" applyFill="1" applyBorder="1"/>
    <xf numFmtId="175" fontId="2" fillId="13" borderId="58" xfId="1" applyNumberFormat="1" applyFont="1" applyFill="1" applyBorder="1" applyAlignment="1">
      <alignment vertical="center"/>
    </xf>
    <xf numFmtId="175" fontId="9" fillId="13" borderId="58" xfId="1" applyNumberFormat="1" applyFont="1" applyFill="1" applyBorder="1"/>
    <xf numFmtId="1" fontId="2" fillId="13" borderId="18" xfId="0" applyNumberFormat="1" applyFont="1" applyFill="1" applyBorder="1" applyAlignment="1">
      <alignment vertical="center"/>
    </xf>
    <xf numFmtId="165" fontId="2" fillId="13" borderId="6" xfId="1" applyNumberFormat="1" applyFont="1" applyFill="1" applyBorder="1"/>
    <xf numFmtId="165" fontId="2" fillId="13" borderId="6" xfId="1" applyNumberFormat="1"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1.0373500536743778</c:v>
                </c:pt>
                <c:pt idx="1">
                  <c:v>0.21851138423662883</c:v>
                </c:pt>
                <c:pt idx="2">
                  <c:v>1.5105627266804935</c:v>
                </c:pt>
                <c:pt idx="3">
                  <c:v>8.2745756633265041E-2</c:v>
                </c:pt>
                <c:pt idx="4">
                  <c:v>5.417737393374928E-2</c:v>
                </c:pt>
                <c:pt idx="5">
                  <c:v>0.62009902258782146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0.20166729239776532</c:v>
                </c:pt>
                <c:pt idx="1">
                  <c:v>0.2087246629744729</c:v>
                </c:pt>
                <c:pt idx="2">
                  <c:v>4.7878728307426024E-2</c:v>
                </c:pt>
                <c:pt idx="3">
                  <c:v>1.5279142347255515E-2</c:v>
                </c:pt>
                <c:pt idx="4">
                  <c:v>0.66638547310503349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3.2391262567191631E-2</c:v>
                </c:pt>
                <c:pt idx="1">
                  <c:v>1.1075440365647615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16.404210339254572</c:v>
                </c:pt>
                <c:pt idx="1">
                  <c:v>560.90389493485645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9" customFormat="1" ht="16" x14ac:dyDescent="0.2"/>
    <row r="2" spans="1:2" s="139" customFormat="1" ht="16" x14ac:dyDescent="0.2">
      <c r="A2" s="139" t="s">
        <v>487</v>
      </c>
    </row>
    <row r="3" spans="1:2" s="139" customFormat="1" ht="16" x14ac:dyDescent="0.2">
      <c r="B3" s="138" t="s">
        <v>488</v>
      </c>
    </row>
    <row r="4" spans="1:2" s="139" customFormat="1" ht="16" x14ac:dyDescent="0.2">
      <c r="B4" s="139" t="s">
        <v>489</v>
      </c>
    </row>
    <row r="5" spans="1:2" s="139" customFormat="1" ht="16" x14ac:dyDescent="0.2"/>
    <row r="6" spans="1:2" s="139" customFormat="1" ht="16" x14ac:dyDescent="0.2">
      <c r="B6" s="138" t="s">
        <v>490</v>
      </c>
    </row>
    <row r="7" spans="1:2" s="139" customFormat="1" ht="16" x14ac:dyDescent="0.2">
      <c r="B7" s="139" t="s">
        <v>491</v>
      </c>
    </row>
    <row r="8" spans="1:2" s="139" customFormat="1" ht="16" x14ac:dyDescent="0.2"/>
    <row r="9" spans="1:2" s="139" customFormat="1" ht="16" x14ac:dyDescent="0.2">
      <c r="B9" s="139" t="s">
        <v>492</v>
      </c>
    </row>
    <row r="10" spans="1:2" s="139" customFormat="1" ht="16" x14ac:dyDescent="0.2"/>
    <row r="11" spans="1:2" s="139" customFormat="1" ht="16" x14ac:dyDescent="0.2"/>
    <row r="12" spans="1:2" s="139" customFormat="1" ht="16" x14ac:dyDescent="0.2"/>
    <row r="13" spans="1:2" s="139" customFormat="1" ht="16" x14ac:dyDescent="0.2"/>
    <row r="14" spans="1:2" s="139" customFormat="1" ht="16" x14ac:dyDescent="0.2"/>
    <row r="15" spans="1:2" s="139" customFormat="1" ht="16" x14ac:dyDescent="0.2"/>
    <row r="16" spans="1:2" s="139" customFormat="1" ht="16" x14ac:dyDescent="0.2"/>
    <row r="17" s="139" customFormat="1" ht="16" x14ac:dyDescent="0.2"/>
    <row r="18" s="139" customFormat="1" ht="16" x14ac:dyDescent="0.2"/>
    <row r="19" s="139" customFormat="1" ht="16" x14ac:dyDescent="0.2"/>
    <row r="20" s="139" customFormat="1" ht="16" x14ac:dyDescent="0.2"/>
    <row r="21" s="139" customFormat="1" ht="16" x14ac:dyDescent="0.2"/>
    <row r="22" s="139" customFormat="1" ht="16" x14ac:dyDescent="0.2"/>
    <row r="23" s="139" customFormat="1" ht="16" x14ac:dyDescent="0.2"/>
    <row r="24" s="139" customFormat="1" ht="16" x14ac:dyDescent="0.2"/>
    <row r="25"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opLeftCell="A10" zoomScale="117" workbookViewId="0">
      <selection activeCell="C16" sqref="C16"/>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477</v>
      </c>
      <c r="C1" s="129" t="s">
        <v>536</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493</v>
      </c>
      <c r="C3" s="133">
        <v>95359</v>
      </c>
      <c r="D3" s="183" t="s">
        <v>7</v>
      </c>
      <c r="E3" s="130">
        <v>95359</v>
      </c>
      <c r="F3" s="130">
        <v>95359</v>
      </c>
      <c r="G3" s="130">
        <v>1</v>
      </c>
      <c r="H3" s="197" t="s">
        <v>485</v>
      </c>
    </row>
    <row r="4" spans="1:8" ht="14.25" customHeight="1" x14ac:dyDescent="0.2">
      <c r="A4" s="103"/>
      <c r="B4" s="189" t="s">
        <v>9</v>
      </c>
      <c r="C4" s="134">
        <v>2.2446808510638299</v>
      </c>
      <c r="D4" s="183" t="s">
        <v>10</v>
      </c>
      <c r="E4" s="130">
        <v>1</v>
      </c>
      <c r="F4" s="130">
        <v>10</v>
      </c>
      <c r="G4" s="130">
        <v>1</v>
      </c>
      <c r="H4" s="198"/>
    </row>
    <row r="5" spans="1:8" ht="14.25" customHeight="1" x14ac:dyDescent="0.2">
      <c r="A5" s="103"/>
      <c r="B5" s="189" t="s">
        <v>11</v>
      </c>
      <c r="C5" s="134">
        <v>1.91489361702128</v>
      </c>
      <c r="D5" s="183" t="s">
        <v>12</v>
      </c>
      <c r="E5" s="130">
        <v>0</v>
      </c>
      <c r="F5" s="130">
        <v>11</v>
      </c>
      <c r="G5" s="130">
        <v>1</v>
      </c>
      <c r="H5" s="198"/>
    </row>
    <row r="6" spans="1:8" ht="14.25" customHeight="1" x14ac:dyDescent="0.2">
      <c r="A6" s="103"/>
      <c r="B6" s="189" t="s">
        <v>13</v>
      </c>
      <c r="C6" s="134">
        <v>164</v>
      </c>
      <c r="D6" s="183" t="s">
        <v>14</v>
      </c>
      <c r="E6" s="130">
        <v>0</v>
      </c>
      <c r="F6" s="130">
        <v>300</v>
      </c>
      <c r="G6" s="130">
        <v>1</v>
      </c>
      <c r="H6" s="198"/>
    </row>
    <row r="7" spans="1:8" ht="14.25" customHeight="1" x14ac:dyDescent="0.2">
      <c r="A7" s="103"/>
      <c r="B7" s="190" t="s">
        <v>15</v>
      </c>
      <c r="C7" s="195">
        <v>0</v>
      </c>
      <c r="D7" s="187" t="s">
        <v>16</v>
      </c>
      <c r="E7" s="130">
        <v>0</v>
      </c>
      <c r="F7" s="130">
        <v>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536</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454" t="s">
        <v>545</v>
      </c>
      <c r="C12" s="455" t="s">
        <v>546</v>
      </c>
      <c r="D12" s="183" t="s">
        <v>18</v>
      </c>
      <c r="E12" s="130">
        <v>0</v>
      </c>
      <c r="F12" s="130">
        <v>489</v>
      </c>
      <c r="G12" s="130">
        <v>0.1</v>
      </c>
      <c r="H12" s="1" t="s">
        <v>19</v>
      </c>
    </row>
    <row r="13" spans="1:8" ht="14.25" customHeight="1" x14ac:dyDescent="0.2">
      <c r="A13" s="103"/>
      <c r="B13" s="192" t="s">
        <v>20</v>
      </c>
      <c r="C13" s="136">
        <v>6.7</v>
      </c>
      <c r="D13" s="183" t="s">
        <v>21</v>
      </c>
      <c r="E13" s="130">
        <v>0</v>
      </c>
      <c r="F13" s="130">
        <v>269</v>
      </c>
      <c r="G13" s="130">
        <v>0.1</v>
      </c>
      <c r="H13" s="8" t="s">
        <v>22</v>
      </c>
    </row>
    <row r="14" spans="1:8" ht="14.25" customHeight="1" x14ac:dyDescent="0.2">
      <c r="A14" s="103"/>
      <c r="B14" s="192" t="s">
        <v>23</v>
      </c>
      <c r="C14" s="136">
        <v>37</v>
      </c>
      <c r="D14" s="183" t="s">
        <v>24</v>
      </c>
      <c r="E14" s="130">
        <v>0</v>
      </c>
      <c r="F14" s="130">
        <v>356</v>
      </c>
      <c r="G14" s="130">
        <v>0.1</v>
      </c>
      <c r="H14" s="8"/>
    </row>
    <row r="15" spans="1:8" ht="14.25" customHeight="1" x14ac:dyDescent="0.2">
      <c r="A15" s="103"/>
      <c r="B15" s="192" t="s">
        <v>25</v>
      </c>
      <c r="C15" s="136">
        <v>12.3</v>
      </c>
      <c r="D15" s="183" t="s">
        <v>26</v>
      </c>
      <c r="E15" s="130">
        <v>0</v>
      </c>
      <c r="F15" s="130">
        <v>323</v>
      </c>
      <c r="G15" s="130">
        <v>0.1</v>
      </c>
      <c r="H15" s="8"/>
    </row>
    <row r="16" spans="1:8" ht="14.25" customHeight="1" x14ac:dyDescent="0.2">
      <c r="A16" s="103"/>
      <c r="B16" s="192" t="s">
        <v>27</v>
      </c>
      <c r="C16" s="136">
        <v>6.7</v>
      </c>
      <c r="D16" s="183" t="s">
        <v>28</v>
      </c>
      <c r="E16" s="130">
        <v>0</v>
      </c>
      <c r="F16" s="130">
        <v>101</v>
      </c>
      <c r="G16" s="130">
        <v>0.1</v>
      </c>
      <c r="H16" s="8"/>
    </row>
    <row r="17" spans="1:8" ht="14.25" customHeight="1" x14ac:dyDescent="0.2">
      <c r="A17" s="103"/>
      <c r="B17" s="193" t="s">
        <v>29</v>
      </c>
      <c r="C17" s="136">
        <v>8.4</v>
      </c>
      <c r="D17" s="191" t="s">
        <v>30</v>
      </c>
      <c r="E17" s="130">
        <v>0</v>
      </c>
      <c r="F17" s="130">
        <v>810</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486</v>
      </c>
      <c r="C23" s="13"/>
      <c r="D23" s="1"/>
    </row>
    <row r="24" spans="1:8" ht="14.25" customHeight="1" x14ac:dyDescent="0.2">
      <c r="B24" s="403" t="s">
        <v>31</v>
      </c>
      <c r="C24" s="404" t="s">
        <v>32</v>
      </c>
      <c r="D24" s="405"/>
      <c r="E24" s="406"/>
      <c r="F24" s="406"/>
      <c r="G24" s="406"/>
      <c r="H24" s="407"/>
    </row>
    <row r="25" spans="1:8" ht="14.25" customHeight="1" x14ac:dyDescent="0.2">
      <c r="B25" s="408" t="s">
        <v>33</v>
      </c>
      <c r="C25" s="409">
        <v>0</v>
      </c>
      <c r="D25" s="410" t="s">
        <v>34</v>
      </c>
      <c r="E25" s="411"/>
      <c r="F25" s="411"/>
      <c r="G25" s="411"/>
      <c r="H25" s="412"/>
    </row>
    <row r="26" spans="1:8" ht="14.25" customHeight="1" x14ac:dyDescent="0.2">
      <c r="B26" s="408" t="s">
        <v>35</v>
      </c>
      <c r="C26" s="413">
        <f>($C$7+$C$4*$C$3)*SUM($C$14:$C$15)</f>
        <v>10552690.69893617</v>
      </c>
      <c r="D26" s="414" t="s">
        <v>36</v>
      </c>
      <c r="E26" s="411"/>
      <c r="F26" s="411"/>
      <c r="G26" s="411"/>
      <c r="H26" s="412"/>
    </row>
    <row r="27" spans="1:8" ht="14.25" customHeight="1" x14ac:dyDescent="0.2">
      <c r="B27" s="408" t="s">
        <v>37</v>
      </c>
      <c r="C27" s="413">
        <f>($C$7+$C$4*$C$3)*SUM($C$16:$C$17)</f>
        <v>3232162.8712765961</v>
      </c>
      <c r="D27" s="410" t="s">
        <v>38</v>
      </c>
      <c r="E27" s="411"/>
      <c r="F27" s="411"/>
      <c r="G27" s="411"/>
      <c r="H27" s="412"/>
    </row>
    <row r="28" spans="1:8" ht="14.25" customHeight="1" x14ac:dyDescent="0.2">
      <c r="B28" s="408" t="s">
        <v>39</v>
      </c>
      <c r="C28" s="413">
        <v>0</v>
      </c>
      <c r="D28" s="414" t="s">
        <v>40</v>
      </c>
      <c r="E28" s="411"/>
      <c r="F28" s="411"/>
      <c r="G28" s="411"/>
      <c r="H28" s="412"/>
    </row>
    <row r="29" spans="1:8" ht="14.25" customHeight="1" x14ac:dyDescent="0.2">
      <c r="B29" s="408" t="s">
        <v>41</v>
      </c>
      <c r="C29" s="413">
        <v>0</v>
      </c>
      <c r="D29" s="410" t="s">
        <v>42</v>
      </c>
      <c r="E29" s="411"/>
      <c r="F29" s="411"/>
      <c r="G29" s="411"/>
      <c r="H29" s="412"/>
    </row>
    <row r="30" spans="1:8" ht="15.75" customHeight="1" x14ac:dyDescent="0.2">
      <c r="B30" s="408" t="s">
        <v>43</v>
      </c>
      <c r="C30" s="413">
        <v>0</v>
      </c>
      <c r="D30" s="410" t="s">
        <v>42</v>
      </c>
      <c r="E30" s="411"/>
      <c r="F30" s="411"/>
      <c r="G30" s="411"/>
      <c r="H30" s="412"/>
    </row>
    <row r="31" spans="1:8" ht="15.75" customHeight="1" x14ac:dyDescent="0.2">
      <c r="B31" s="408" t="s">
        <v>44</v>
      </c>
      <c r="C31" s="413">
        <v>0</v>
      </c>
      <c r="D31" s="410" t="s">
        <v>42</v>
      </c>
      <c r="E31" s="411"/>
      <c r="F31" s="411"/>
      <c r="G31" s="411"/>
      <c r="H31" s="412"/>
    </row>
    <row r="32" spans="1:8" ht="15.75" customHeight="1" x14ac:dyDescent="0.2">
      <c r="B32" s="408" t="s">
        <v>45</v>
      </c>
      <c r="C32" s="413">
        <v>0</v>
      </c>
      <c r="D32" s="410" t="s">
        <v>42</v>
      </c>
      <c r="E32" s="411"/>
      <c r="F32" s="411"/>
      <c r="G32" s="411"/>
      <c r="H32" s="412"/>
    </row>
    <row r="33" spans="2:8" ht="15.75" customHeight="1" x14ac:dyDescent="0.2">
      <c r="B33" s="408" t="s">
        <v>46</v>
      </c>
      <c r="C33" s="413">
        <v>0</v>
      </c>
      <c r="D33" s="414" t="s">
        <v>47</v>
      </c>
      <c r="E33" s="411"/>
      <c r="F33" s="411"/>
      <c r="G33" s="411"/>
      <c r="H33" s="412"/>
    </row>
    <row r="34" spans="2:8" ht="14.25" customHeight="1" x14ac:dyDescent="0.2">
      <c r="B34" s="408" t="s">
        <v>48</v>
      </c>
      <c r="C34" s="413">
        <v>0</v>
      </c>
      <c r="D34" s="414" t="s">
        <v>49</v>
      </c>
      <c r="E34" s="411"/>
      <c r="F34" s="411"/>
      <c r="G34" s="411"/>
      <c r="H34" s="412"/>
    </row>
    <row r="35" spans="2:8" ht="14.25" customHeight="1" x14ac:dyDescent="0.2">
      <c r="B35" s="408" t="s">
        <v>50</v>
      </c>
      <c r="C35" s="413">
        <v>0</v>
      </c>
      <c r="D35" s="414" t="s">
        <v>49</v>
      </c>
      <c r="E35" s="411"/>
      <c r="F35" s="411"/>
      <c r="G35" s="411"/>
      <c r="H35" s="412"/>
    </row>
    <row r="36" spans="2:8" ht="14.25" customHeight="1" x14ac:dyDescent="0.2">
      <c r="B36" s="408" t="s">
        <v>51</v>
      </c>
      <c r="C36" s="413">
        <f>(C7+C4*C3)*$C$13</f>
        <v>1434138.4925531915</v>
      </c>
      <c r="D36" s="414" t="s">
        <v>52</v>
      </c>
      <c r="E36" s="411"/>
      <c r="F36" s="411"/>
      <c r="G36" s="411"/>
      <c r="H36" s="412"/>
    </row>
    <row r="37" spans="2:8" ht="14.25" customHeight="1" x14ac:dyDescent="0.2">
      <c r="B37" s="408" t="s">
        <v>53</v>
      </c>
      <c r="C37" s="413">
        <f>C5*C3*$C$6</f>
        <v>29946783.829787288</v>
      </c>
      <c r="D37" s="414" t="s">
        <v>54</v>
      </c>
      <c r="E37" s="411"/>
      <c r="F37" s="411"/>
      <c r="G37" s="411"/>
      <c r="H37" s="412"/>
    </row>
    <row r="38" spans="2:8" ht="14.25" customHeight="1" x14ac:dyDescent="0.2">
      <c r="B38" s="408" t="s">
        <v>55</v>
      </c>
      <c r="C38" s="413">
        <v>0</v>
      </c>
      <c r="D38" s="414" t="s">
        <v>56</v>
      </c>
      <c r="E38" s="411"/>
      <c r="F38" s="411"/>
      <c r="G38" s="411"/>
      <c r="H38" s="412"/>
    </row>
    <row r="39" spans="2:8" ht="14.25" customHeight="1" x14ac:dyDescent="0.2">
      <c r="B39" s="408" t="s">
        <v>57</v>
      </c>
      <c r="C39" s="413">
        <f>NatParkPA!C5</f>
        <v>3127775.1999999997</v>
      </c>
      <c r="D39" s="414" t="s">
        <v>495</v>
      </c>
      <c r="E39" s="411"/>
      <c r="F39" s="411"/>
      <c r="G39" s="411"/>
      <c r="H39" s="412"/>
    </row>
    <row r="40" spans="2:8" ht="14.25" customHeight="1" x14ac:dyDescent="0.2">
      <c r="B40" s="408" t="s">
        <v>58</v>
      </c>
      <c r="C40" s="413">
        <v>0</v>
      </c>
      <c r="D40" s="414" t="s">
        <v>59</v>
      </c>
      <c r="E40" s="411"/>
      <c r="F40" s="411"/>
      <c r="G40" s="411"/>
      <c r="H40" s="412"/>
    </row>
    <row r="41" spans="2:8" ht="14.25" customHeight="1" x14ac:dyDescent="0.2">
      <c r="B41" s="408" t="s">
        <v>60</v>
      </c>
      <c r="C41" s="413"/>
      <c r="D41" s="414" t="s">
        <v>61</v>
      </c>
      <c r="E41" s="411"/>
      <c r="F41" s="411"/>
      <c r="G41" s="411"/>
      <c r="H41" s="412"/>
    </row>
    <row r="42" spans="2:8" ht="14.25" customHeight="1" x14ac:dyDescent="0.2">
      <c r="B42" s="415" t="s">
        <v>62</v>
      </c>
      <c r="C42" s="416"/>
      <c r="D42" s="414" t="s">
        <v>63</v>
      </c>
      <c r="E42" s="411"/>
      <c r="F42" s="411"/>
      <c r="G42" s="411"/>
      <c r="H42" s="412"/>
    </row>
    <row r="43" spans="2:8" ht="14.25" customHeight="1" x14ac:dyDescent="0.2">
      <c r="B43" s="408" t="s">
        <v>64</v>
      </c>
      <c r="C43" s="416">
        <f>SUM(C25:C42)</f>
        <v>48293551.09255325</v>
      </c>
      <c r="D43" s="414" t="s">
        <v>65</v>
      </c>
      <c r="E43" s="411"/>
      <c r="F43" s="411"/>
      <c r="G43" s="411"/>
      <c r="H43" s="412"/>
    </row>
    <row r="44" spans="2:8" ht="14.25" customHeight="1" x14ac:dyDescent="0.2">
      <c r="B44" s="408" t="s">
        <v>66</v>
      </c>
      <c r="C44" s="413" t="e">
        <f>$C$3*($C$12+$C$4*SUM($C$13:$C$17)+$C$5*$C$6)+$C$7*($C$12+SUM($C$13:$C$17))</f>
        <v>#VALUE!</v>
      </c>
      <c r="D44" s="414" t="s">
        <v>67</v>
      </c>
      <c r="E44" s="411"/>
      <c r="F44" s="411"/>
      <c r="G44" s="411"/>
      <c r="H44" s="412"/>
    </row>
    <row r="45" spans="2:8" ht="14.25" customHeight="1" x14ac:dyDescent="0.2">
      <c r="B45" s="408" t="s">
        <v>68</v>
      </c>
      <c r="C45" s="413" t="e">
        <f>C44-C43</f>
        <v>#VALUE!</v>
      </c>
      <c r="D45" s="414" t="s">
        <v>69</v>
      </c>
      <c r="E45" s="411"/>
      <c r="F45" s="411"/>
      <c r="G45" s="411"/>
      <c r="H45" s="412"/>
    </row>
    <row r="46" spans="2:8" ht="14.25" customHeight="1" thickBot="1" x14ac:dyDescent="0.25">
      <c r="B46" s="417" t="s">
        <v>70</v>
      </c>
      <c r="C46" s="418" t="e">
        <f>C45/C44</f>
        <v>#VALUE!</v>
      </c>
      <c r="D46" s="419" t="s">
        <v>71</v>
      </c>
      <c r="E46" s="420"/>
      <c r="F46" s="420"/>
      <c r="G46" s="420"/>
      <c r="H46" s="421"/>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topLeftCell="A18" zoomScale="112" workbookViewId="0">
      <selection activeCell="C41" sqref="C4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72</v>
      </c>
      <c r="C1" s="129" t="s">
        <v>536</v>
      </c>
      <c r="D1" s="43"/>
      <c r="H1" s="8"/>
    </row>
    <row r="2" spans="1:8" ht="54" customHeight="1" x14ac:dyDescent="0.2">
      <c r="A2" s="227"/>
      <c r="B2" s="263" t="s">
        <v>479</v>
      </c>
      <c r="C2" s="264"/>
      <c r="D2" s="265"/>
      <c r="F2" s="117"/>
      <c r="G2" s="117"/>
      <c r="H2" s="126"/>
    </row>
    <row r="3" spans="1:8" ht="14.25" customHeight="1" x14ac:dyDescent="0.2">
      <c r="A3" s="260"/>
      <c r="B3" s="266" t="s">
        <v>0</v>
      </c>
      <c r="C3" s="267" t="s">
        <v>483</v>
      </c>
      <c r="D3" s="268" t="s">
        <v>528</v>
      </c>
      <c r="E3" s="43" t="s">
        <v>480</v>
      </c>
      <c r="F3" s="127"/>
      <c r="G3" s="127"/>
      <c r="H3" s="127"/>
    </row>
    <row r="4" spans="1:8" ht="33.75" customHeight="1" x14ac:dyDescent="0.2">
      <c r="A4" s="456" t="s">
        <v>529</v>
      </c>
      <c r="B4" s="119" t="s">
        <v>74</v>
      </c>
      <c r="C4" s="121">
        <v>0.192</v>
      </c>
      <c r="D4" s="125">
        <f t="shared" ref="D4:D14" si="0">C4/$C$19*(1-$C$17)</f>
        <v>0.13315719947159846</v>
      </c>
      <c r="E4" s="38" t="s">
        <v>75</v>
      </c>
      <c r="F4" s="103"/>
      <c r="G4" s="103"/>
      <c r="H4" s="117"/>
    </row>
    <row r="5" spans="1:8" ht="33.75" customHeight="1" x14ac:dyDescent="0.2">
      <c r="A5" s="457"/>
      <c r="B5" s="119" t="s">
        <v>76</v>
      </c>
      <c r="C5" s="121">
        <v>0.20799999999999999</v>
      </c>
      <c r="D5" s="125">
        <f t="shared" si="0"/>
        <v>0.14425363276089834</v>
      </c>
      <c r="F5" s="103"/>
      <c r="G5" s="103"/>
      <c r="H5" s="128"/>
    </row>
    <row r="6" spans="1:8" ht="33.75" customHeight="1" x14ac:dyDescent="0.2">
      <c r="A6" s="457"/>
      <c r="B6" s="119" t="s">
        <v>77</v>
      </c>
      <c r="C6" s="121">
        <v>0</v>
      </c>
      <c r="D6" s="125">
        <f t="shared" si="0"/>
        <v>0</v>
      </c>
      <c r="F6" s="103"/>
      <c r="G6" s="103"/>
      <c r="H6" s="128"/>
    </row>
    <row r="7" spans="1:8" ht="33.75" customHeight="1" x14ac:dyDescent="0.2">
      <c r="A7" s="457"/>
      <c r="B7" s="119" t="s">
        <v>78</v>
      </c>
      <c r="C7" s="121">
        <v>0</v>
      </c>
      <c r="D7" s="125">
        <f t="shared" si="0"/>
        <v>0</v>
      </c>
      <c r="F7" s="103"/>
      <c r="G7" s="103"/>
      <c r="H7" s="128"/>
    </row>
    <row r="8" spans="1:8" ht="33.75" customHeight="1" x14ac:dyDescent="0.2">
      <c r="A8" s="457"/>
      <c r="B8" s="119" t="s">
        <v>79</v>
      </c>
      <c r="C8" s="121">
        <v>0.185</v>
      </c>
      <c r="D8" s="163">
        <f t="shared" si="0"/>
        <v>0.12830250990752975</v>
      </c>
      <c r="F8" s="103"/>
      <c r="G8" s="103"/>
      <c r="H8" s="128"/>
    </row>
    <row r="9" spans="1:8" ht="33.75" customHeight="1" x14ac:dyDescent="0.2">
      <c r="A9" s="457"/>
      <c r="B9" s="119" t="s">
        <v>517</v>
      </c>
      <c r="C9" s="121">
        <v>0</v>
      </c>
      <c r="D9" s="163">
        <f t="shared" si="0"/>
        <v>0</v>
      </c>
      <c r="F9" s="103"/>
      <c r="G9" s="103"/>
      <c r="H9" s="128"/>
    </row>
    <row r="10" spans="1:8" ht="33.75" customHeight="1" x14ac:dyDescent="0.2">
      <c r="A10" s="457"/>
      <c r="B10" s="120" t="s">
        <v>80</v>
      </c>
      <c r="C10" s="122">
        <v>1.5000000000000003E-2</v>
      </c>
      <c r="D10" s="163">
        <f t="shared" si="0"/>
        <v>1.0402906208718631E-2</v>
      </c>
      <c r="F10" s="103"/>
      <c r="G10" s="103"/>
      <c r="H10" s="128"/>
    </row>
    <row r="11" spans="1:8" ht="33.75" customHeight="1" x14ac:dyDescent="0.2">
      <c r="A11" s="457"/>
      <c r="B11" s="119" t="s">
        <v>81</v>
      </c>
      <c r="C11" s="121">
        <v>0.14599999999999999</v>
      </c>
      <c r="D11" s="163">
        <f t="shared" si="0"/>
        <v>0.10125495376486131</v>
      </c>
      <c r="E11" s="38" t="s">
        <v>82</v>
      </c>
      <c r="F11" s="103"/>
      <c r="G11" s="103"/>
      <c r="H11" s="117"/>
    </row>
    <row r="12" spans="1:8" ht="33.75" customHeight="1" x14ac:dyDescent="0.2">
      <c r="A12" s="457"/>
      <c r="B12" s="119" t="s">
        <v>83</v>
      </c>
      <c r="C12" s="121">
        <v>0.11</v>
      </c>
      <c r="D12" s="163">
        <f t="shared" si="0"/>
        <v>7.6287978863936609E-2</v>
      </c>
      <c r="F12" s="103"/>
      <c r="G12" s="103"/>
      <c r="H12" s="128"/>
    </row>
    <row r="13" spans="1:8" ht="33.75" customHeight="1" x14ac:dyDescent="0.2">
      <c r="A13" s="457"/>
      <c r="B13" s="119" t="s">
        <v>84</v>
      </c>
      <c r="C13" s="121">
        <v>0.14333333333333301</v>
      </c>
      <c r="D13" s="125">
        <f t="shared" si="0"/>
        <v>9.9405548216644449E-2</v>
      </c>
      <c r="F13" s="103"/>
      <c r="G13" s="103"/>
      <c r="H13" s="128"/>
    </row>
    <row r="14" spans="1:8" ht="18" customHeight="1" x14ac:dyDescent="0.2">
      <c r="A14" s="458"/>
      <c r="B14" s="119" t="s">
        <v>85</v>
      </c>
      <c r="C14" s="121">
        <v>9.9999999999999985E-3</v>
      </c>
      <c r="D14" s="125">
        <f t="shared" si="0"/>
        <v>6.935270805812418E-3</v>
      </c>
      <c r="F14" s="103"/>
      <c r="G14" s="103"/>
      <c r="H14" s="128"/>
    </row>
    <row r="15" spans="1:8" ht="18" customHeight="1" x14ac:dyDescent="0.2">
      <c r="A15" s="232"/>
      <c r="B15" s="293" t="s">
        <v>86</v>
      </c>
      <c r="C15" s="123">
        <v>1</v>
      </c>
      <c r="D15" s="230">
        <f>C15</f>
        <v>1</v>
      </c>
      <c r="F15" s="103"/>
      <c r="G15" s="103"/>
      <c r="H15" s="128"/>
    </row>
    <row r="16" spans="1:8" ht="18" customHeight="1" x14ac:dyDescent="0.2">
      <c r="A16" s="233"/>
      <c r="B16" s="293" t="s">
        <v>87</v>
      </c>
      <c r="C16" s="123">
        <v>1</v>
      </c>
      <c r="D16" s="230">
        <f>C16</f>
        <v>1</v>
      </c>
      <c r="F16" s="103"/>
      <c r="G16" s="103"/>
      <c r="H16" s="128"/>
    </row>
    <row r="17" spans="1:8" ht="18" customHeight="1" x14ac:dyDescent="0.2">
      <c r="A17" s="234"/>
      <c r="B17" s="294" t="s">
        <v>401</v>
      </c>
      <c r="C17" s="124">
        <v>0.3</v>
      </c>
      <c r="D17" s="231">
        <f>C17</f>
        <v>0.3</v>
      </c>
      <c r="F17" s="117"/>
      <c r="G17" s="117"/>
      <c r="H17" s="126"/>
    </row>
    <row r="18" spans="1:8" ht="18" customHeight="1" x14ac:dyDescent="0.2">
      <c r="A18" s="20"/>
      <c r="B18" s="12"/>
      <c r="C18" s="13"/>
      <c r="D18" s="8"/>
    </row>
    <row r="19" spans="1:8" ht="18" customHeight="1" x14ac:dyDescent="0.2">
      <c r="A19" s="20"/>
      <c r="B19" s="12" t="s">
        <v>478</v>
      </c>
      <c r="C19" s="164">
        <f>SUM(C4:C14)</f>
        <v>1.009333333333333</v>
      </c>
      <c r="D19" s="114">
        <f>SUM(D4:D14)</f>
        <v>0.7</v>
      </c>
    </row>
    <row r="20" spans="1:8" ht="18" customHeight="1" x14ac:dyDescent="0.2">
      <c r="A20" s="20"/>
      <c r="B20" s="12" t="s">
        <v>484</v>
      </c>
      <c r="C20" s="114">
        <f>C19+C17</f>
        <v>1.309333333333333</v>
      </c>
      <c r="D20" s="114">
        <f>D19+D17</f>
        <v>1</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539</v>
      </c>
      <c r="C23" s="13"/>
      <c r="D23" s="8"/>
    </row>
    <row r="24" spans="1:8" ht="33.75" customHeight="1" x14ac:dyDescent="0.2">
      <c r="A24" s="20"/>
      <c r="B24" s="395" t="s">
        <v>31</v>
      </c>
      <c r="C24" s="396" t="s">
        <v>33</v>
      </c>
      <c r="D24" s="351"/>
    </row>
    <row r="25" spans="1:8" ht="16.5" customHeight="1" x14ac:dyDescent="0.2">
      <c r="A25" s="20"/>
      <c r="B25" s="397" t="s">
        <v>33</v>
      </c>
      <c r="C25" s="469">
        <f>C43*$D$8</f>
        <v>28212835.67984999</v>
      </c>
      <c r="D25" s="364" t="s">
        <v>88</v>
      </c>
    </row>
    <row r="26" spans="1:8" ht="14.25" customHeight="1" x14ac:dyDescent="0.2">
      <c r="B26" s="365" t="s">
        <v>35</v>
      </c>
      <c r="C26" s="470">
        <v>0</v>
      </c>
      <c r="D26" s="367" t="s">
        <v>89</v>
      </c>
    </row>
    <row r="27" spans="1:8" ht="16.5" customHeight="1" x14ac:dyDescent="0.2">
      <c r="A27" s="20"/>
      <c r="B27" s="365" t="s">
        <v>37</v>
      </c>
      <c r="C27" s="471">
        <f>SUM($D$11:$D$12)*C43</f>
        <v>39040464.50833296</v>
      </c>
      <c r="D27" s="364" t="s">
        <v>90</v>
      </c>
    </row>
    <row r="28" spans="1:8" ht="16.5" customHeight="1" x14ac:dyDescent="0.2">
      <c r="A28" s="20"/>
      <c r="B28" s="365" t="s">
        <v>39</v>
      </c>
      <c r="C28" s="471">
        <f>$D$10*$C$43</f>
        <v>2287527.2172851348</v>
      </c>
      <c r="D28" s="364" t="s">
        <v>91</v>
      </c>
    </row>
    <row r="29" spans="1:8" ht="16.5" customHeight="1" x14ac:dyDescent="0.2">
      <c r="A29" s="20"/>
      <c r="B29" s="365" t="s">
        <v>41</v>
      </c>
      <c r="C29" s="470">
        <f>$D4*$C$43*C16</f>
        <v>29280348.381249722</v>
      </c>
      <c r="D29" s="369" t="s">
        <v>92</v>
      </c>
    </row>
    <row r="30" spans="1:8" ht="16.5" customHeight="1" x14ac:dyDescent="0.2">
      <c r="A30" s="20"/>
      <c r="B30" s="365" t="s">
        <v>43</v>
      </c>
      <c r="C30" s="470">
        <f>$D5*$C$43*C16</f>
        <v>31720377.413020536</v>
      </c>
      <c r="D30" s="369" t="s">
        <v>93</v>
      </c>
    </row>
    <row r="31" spans="1:8" ht="16.5" customHeight="1" x14ac:dyDescent="0.2">
      <c r="A31" s="20"/>
      <c r="B31" s="365" t="s">
        <v>44</v>
      </c>
      <c r="C31" s="470">
        <f>$D6*$C$43*C16</f>
        <v>0</v>
      </c>
      <c r="D31" s="369" t="s">
        <v>94</v>
      </c>
    </row>
    <row r="32" spans="1:8" ht="16.5" customHeight="1" x14ac:dyDescent="0.2">
      <c r="A32" s="20"/>
      <c r="B32" s="365" t="s">
        <v>45</v>
      </c>
      <c r="C32" s="470">
        <f>$D7*$C$43*C16</f>
        <v>0</v>
      </c>
      <c r="D32" s="369" t="s">
        <v>95</v>
      </c>
    </row>
    <row r="33" spans="1:8" ht="16.5" customHeight="1" x14ac:dyDescent="0.2">
      <c r="A33" s="20"/>
      <c r="B33" s="365" t="s">
        <v>46</v>
      </c>
      <c r="C33" s="470">
        <f>D17*C$43*C15</f>
        <v>65967927.751803666</v>
      </c>
      <c r="D33" s="369" t="s">
        <v>96</v>
      </c>
    </row>
    <row r="34" spans="1:8" ht="16.5" customHeight="1" x14ac:dyDescent="0.2">
      <c r="A34" s="20"/>
      <c r="B34" s="365" t="s">
        <v>48</v>
      </c>
      <c r="C34" s="470">
        <v>0</v>
      </c>
      <c r="D34" s="369" t="s">
        <v>97</v>
      </c>
      <c r="G34" s="111">
        <f>Restaurants!C25</f>
        <v>3138610.4099803576</v>
      </c>
    </row>
    <row r="35" spans="1:8" ht="16.5" customHeight="1" x14ac:dyDescent="0.2">
      <c r="A35" s="20"/>
      <c r="B35" s="365" t="s">
        <v>50</v>
      </c>
      <c r="C35" s="470">
        <v>0</v>
      </c>
      <c r="D35" s="369" t="s">
        <v>97</v>
      </c>
      <c r="G35" s="112">
        <f>+Lodges!C26</f>
        <v>3266631.9330242681</v>
      </c>
    </row>
    <row r="36" spans="1:8" ht="16.5" customHeight="1" x14ac:dyDescent="0.2">
      <c r="A36" s="20"/>
      <c r="B36" s="365" t="s">
        <v>51</v>
      </c>
      <c r="C36" s="470">
        <v>0</v>
      </c>
      <c r="D36" s="369" t="s">
        <v>98</v>
      </c>
      <c r="G36" s="112">
        <f>+SUM(Households!C28:D28)</f>
        <v>142913164.49895397</v>
      </c>
    </row>
    <row r="37" spans="1:8" ht="16.5" customHeight="1" x14ac:dyDescent="0.2">
      <c r="A37" s="20"/>
      <c r="B37" s="365" t="s">
        <v>53</v>
      </c>
      <c r="C37" s="470">
        <v>0</v>
      </c>
      <c r="D37" s="369" t="s">
        <v>99</v>
      </c>
      <c r="G37" s="112">
        <f>+NatParkPA!C26</f>
        <v>87226.126944000018</v>
      </c>
    </row>
    <row r="38" spans="1:8" ht="16.5" customHeight="1" x14ac:dyDescent="0.2">
      <c r="A38" s="20"/>
      <c r="B38" s="365" t="s">
        <v>55</v>
      </c>
      <c r="C38" s="470">
        <v>0</v>
      </c>
      <c r="D38" s="369" t="s">
        <v>100</v>
      </c>
      <c r="G38" s="112">
        <f>+ Tourism!C25</f>
        <v>936194.04698087974</v>
      </c>
    </row>
    <row r="39" spans="1:8" ht="16.5" customHeight="1" x14ac:dyDescent="0.2">
      <c r="A39" s="20"/>
      <c r="B39" s="365" t="s">
        <v>57</v>
      </c>
      <c r="C39" s="470">
        <v>0</v>
      </c>
      <c r="D39" s="369" t="s">
        <v>101</v>
      </c>
    </row>
    <row r="40" spans="1:8" ht="16.5" customHeight="1" x14ac:dyDescent="0.2">
      <c r="A40" s="20"/>
      <c r="B40" s="365" t="s">
        <v>60</v>
      </c>
      <c r="C40" s="471">
        <f>$C$43*$D$14</f>
        <v>1525018.1448567561</v>
      </c>
      <c r="D40" s="369" t="s">
        <v>102</v>
      </c>
    </row>
    <row r="41" spans="1:8" ht="16.5" customHeight="1" x14ac:dyDescent="0.2">
      <c r="A41" s="20"/>
      <c r="B41" s="399" t="s">
        <v>62</v>
      </c>
      <c r="C41" s="471">
        <f>$C$43*$D$13+C43*SUM(D4:D7)*(1-C16)+C43*C17*(1-C15)</f>
        <v>21858593.409613457</v>
      </c>
      <c r="D41" s="369" t="s">
        <v>103</v>
      </c>
      <c r="G41" s="110">
        <f>(Restaurants!C25+Lodges!C26+SUM(Households!C28:D28)+NatParkPA!C26+ Tourism!C25 + Tourists!C25 + ComRevSh!C25 )/(1-0)</f>
        <v>150352265.10054415</v>
      </c>
    </row>
    <row r="42" spans="1:8" ht="16.5" customHeight="1" x14ac:dyDescent="0.2">
      <c r="A42" s="20"/>
      <c r="B42" s="365" t="s">
        <v>64</v>
      </c>
      <c r="C42" s="471">
        <f>SUM(C25:C41)</f>
        <v>219893092.50601223</v>
      </c>
      <c r="D42" s="369" t="s">
        <v>104</v>
      </c>
    </row>
    <row r="43" spans="1:8" ht="16.5" customHeight="1" x14ac:dyDescent="0.2">
      <c r="A43" s="20"/>
      <c r="B43" s="365" t="s">
        <v>66</v>
      </c>
      <c r="C43" s="472">
        <f>(Restaurants!C25+Lodges!C26+SUM(Households!C28:D28)+NatParkPA!C26+Tourism!C25+Tourists!C25+ComRevSh!C25)/(1-SUM(D8:D12))</f>
        <v>219893092.50601223</v>
      </c>
      <c r="D43" s="369" t="s">
        <v>105</v>
      </c>
      <c r="F43" s="129" t="s">
        <v>481</v>
      </c>
      <c r="G43" s="129"/>
      <c r="H43" s="129"/>
    </row>
    <row r="44" spans="1:8" ht="16.5" customHeight="1" x14ac:dyDescent="0.2">
      <c r="A44" s="20"/>
      <c r="B44" s="365" t="s">
        <v>68</v>
      </c>
      <c r="C44" s="398">
        <f>C43-C42</f>
        <v>0</v>
      </c>
      <c r="D44" s="369" t="s">
        <v>106</v>
      </c>
      <c r="F44" s="129"/>
      <c r="G44" s="162">
        <f>(1-SUM(D8:D12))</f>
        <v>0.68375165125495374</v>
      </c>
    </row>
    <row r="45" spans="1:8" ht="16.5" customHeight="1" x14ac:dyDescent="0.2">
      <c r="A45" s="20"/>
      <c r="B45" s="365" t="s">
        <v>70</v>
      </c>
      <c r="C45" s="400">
        <f>C44/C43</f>
        <v>0</v>
      </c>
      <c r="D45" s="369" t="s">
        <v>107</v>
      </c>
      <c r="G45" s="110">
        <f>(Restaurants!C25+Lodges!C26+SUM(Households!C28:D28)+NatParkPA!C26+ Tourism!C25 + Tourists!C25 + ComRevSh!C25 )/0.6605</f>
        <v>227634012.26426065</v>
      </c>
    </row>
    <row r="46" spans="1:8" ht="33.75" customHeight="1" x14ac:dyDescent="0.2">
      <c r="A46" s="20"/>
      <c r="B46" s="401" t="s">
        <v>108</v>
      </c>
      <c r="C46" s="402">
        <f>C33/C43</f>
        <v>0.3</v>
      </c>
      <c r="D46" s="380"/>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482</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74</v>
      </c>
      <c r="C52" s="178">
        <f>C4*100</f>
        <v>19.2</v>
      </c>
      <c r="D52" s="179" t="s">
        <v>411</v>
      </c>
      <c r="E52" s="180">
        <v>0</v>
      </c>
      <c r="F52" s="180">
        <v>100</v>
      </c>
      <c r="G52" s="181">
        <v>0.01</v>
      </c>
      <c r="H52" s="8"/>
    </row>
    <row r="53" spans="1:8" ht="28" customHeight="1" x14ac:dyDescent="0.2">
      <c r="A53" s="20"/>
      <c r="B53" s="177" t="s">
        <v>76</v>
      </c>
      <c r="C53" s="178">
        <f t="shared" ref="C53:C62" si="1">C5*100</f>
        <v>20.8</v>
      </c>
      <c r="D53" s="182" t="s">
        <v>412</v>
      </c>
      <c r="E53" s="183">
        <v>0</v>
      </c>
      <c r="F53" s="183">
        <v>100</v>
      </c>
      <c r="G53" s="184">
        <v>0.01</v>
      </c>
      <c r="H53" s="8"/>
    </row>
    <row r="54" spans="1:8" ht="20" customHeight="1" x14ac:dyDescent="0.2">
      <c r="A54" s="20"/>
      <c r="B54" s="177" t="s">
        <v>77</v>
      </c>
      <c r="C54" s="178">
        <f t="shared" si="1"/>
        <v>0</v>
      </c>
      <c r="D54" s="182" t="s">
        <v>413</v>
      </c>
      <c r="E54" s="183">
        <v>0</v>
      </c>
      <c r="F54" s="183">
        <v>100</v>
      </c>
      <c r="G54" s="184">
        <v>0.01</v>
      </c>
      <c r="H54" s="8"/>
    </row>
    <row r="55" spans="1:8" ht="20" customHeight="1" x14ac:dyDescent="0.2">
      <c r="A55" s="20"/>
      <c r="B55" s="177" t="s">
        <v>78</v>
      </c>
      <c r="C55" s="178">
        <f t="shared" si="1"/>
        <v>0</v>
      </c>
      <c r="D55" s="182" t="s">
        <v>414</v>
      </c>
      <c r="E55" s="183">
        <v>0</v>
      </c>
      <c r="F55" s="183">
        <v>100</v>
      </c>
      <c r="G55" s="184">
        <v>0.01</v>
      </c>
      <c r="H55" s="8"/>
    </row>
    <row r="56" spans="1:8" ht="20" customHeight="1" x14ac:dyDescent="0.2">
      <c r="A56" s="20"/>
      <c r="B56" s="177" t="s">
        <v>112</v>
      </c>
      <c r="C56" s="178">
        <f t="shared" si="1"/>
        <v>18.5</v>
      </c>
      <c r="D56" s="182" t="s">
        <v>440</v>
      </c>
      <c r="E56" s="183">
        <v>0</v>
      </c>
      <c r="F56" s="183">
        <v>100</v>
      </c>
      <c r="G56" s="184">
        <v>0.01</v>
      </c>
      <c r="H56" s="8"/>
    </row>
    <row r="57" spans="1:8" ht="20" customHeight="1" x14ac:dyDescent="0.2">
      <c r="A57" s="20"/>
      <c r="B57" s="185" t="s">
        <v>514</v>
      </c>
      <c r="C57" s="178">
        <f t="shared" si="1"/>
        <v>0</v>
      </c>
      <c r="D57" s="182" t="s">
        <v>415</v>
      </c>
      <c r="E57" s="183">
        <v>0</v>
      </c>
      <c r="F57" s="183">
        <v>100</v>
      </c>
      <c r="G57" s="184">
        <v>0.01</v>
      </c>
      <c r="H57" s="8"/>
    </row>
    <row r="58" spans="1:8" ht="20" customHeight="1" x14ac:dyDescent="0.2">
      <c r="A58" s="20"/>
      <c r="B58" s="185" t="s">
        <v>113</v>
      </c>
      <c r="C58" s="178">
        <f t="shared" si="1"/>
        <v>1.5000000000000002</v>
      </c>
      <c r="D58" s="182" t="s">
        <v>416</v>
      </c>
      <c r="E58" s="183">
        <v>0</v>
      </c>
      <c r="F58" s="183">
        <v>100</v>
      </c>
      <c r="G58" s="184">
        <v>0.01</v>
      </c>
      <c r="H58" s="8"/>
    </row>
    <row r="59" spans="1:8" ht="20" customHeight="1" x14ac:dyDescent="0.2">
      <c r="A59" s="20"/>
      <c r="B59" s="177" t="s">
        <v>81</v>
      </c>
      <c r="C59" s="178">
        <f t="shared" si="1"/>
        <v>14.6</v>
      </c>
      <c r="D59" s="182" t="s">
        <v>417</v>
      </c>
      <c r="E59" s="183">
        <v>0</v>
      </c>
      <c r="F59" s="183">
        <v>100</v>
      </c>
      <c r="G59" s="184">
        <v>0.01</v>
      </c>
      <c r="H59" s="8"/>
    </row>
    <row r="60" spans="1:8" ht="20" customHeight="1" x14ac:dyDescent="0.2">
      <c r="A60" s="20"/>
      <c r="B60" s="177" t="s">
        <v>114</v>
      </c>
      <c r="C60" s="178">
        <f t="shared" si="1"/>
        <v>11</v>
      </c>
      <c r="D60" s="182" t="s">
        <v>418</v>
      </c>
      <c r="E60" s="183">
        <v>0</v>
      </c>
      <c r="F60" s="183">
        <v>100</v>
      </c>
      <c r="G60" s="184">
        <v>0.01</v>
      </c>
      <c r="H60" s="8"/>
    </row>
    <row r="61" spans="1:8" ht="28" customHeight="1" x14ac:dyDescent="0.2">
      <c r="A61" s="20"/>
      <c r="B61" s="177" t="s">
        <v>115</v>
      </c>
      <c r="C61" s="178">
        <f t="shared" si="1"/>
        <v>14.3333333333333</v>
      </c>
      <c r="D61" s="182" t="s">
        <v>419</v>
      </c>
      <c r="E61" s="183">
        <v>0</v>
      </c>
      <c r="F61" s="183">
        <v>100</v>
      </c>
      <c r="G61" s="184">
        <v>0.01</v>
      </c>
      <c r="H61" s="8"/>
    </row>
    <row r="62" spans="1:8" ht="20" customHeight="1" x14ac:dyDescent="0.2">
      <c r="A62" s="20"/>
      <c r="B62" s="177" t="s">
        <v>85</v>
      </c>
      <c r="C62" s="178">
        <f t="shared" si="1"/>
        <v>0.99999999999999989</v>
      </c>
      <c r="D62" s="182" t="s">
        <v>471</v>
      </c>
      <c r="E62" s="183">
        <v>0</v>
      </c>
      <c r="F62" s="183">
        <v>100</v>
      </c>
      <c r="G62" s="184">
        <v>0.01</v>
      </c>
      <c r="H62" s="8"/>
    </row>
    <row r="63" spans="1:8" ht="20" customHeight="1" x14ac:dyDescent="0.2">
      <c r="A63" s="20"/>
      <c r="B63" s="177" t="s">
        <v>86</v>
      </c>
      <c r="C63" s="178">
        <f t="shared" ref="C63:C64" si="2">D15*100</f>
        <v>100</v>
      </c>
      <c r="D63" s="182" t="s">
        <v>109</v>
      </c>
      <c r="E63" s="183">
        <v>0</v>
      </c>
      <c r="F63" s="183">
        <v>100</v>
      </c>
      <c r="G63" s="184">
        <v>0.01</v>
      </c>
      <c r="H63" s="8"/>
    </row>
    <row r="64" spans="1:8" ht="20" customHeight="1" x14ac:dyDescent="0.2">
      <c r="A64" s="20"/>
      <c r="B64" s="177" t="s">
        <v>87</v>
      </c>
      <c r="C64" s="178">
        <f t="shared" si="2"/>
        <v>100</v>
      </c>
      <c r="D64" s="182" t="s">
        <v>110</v>
      </c>
      <c r="E64" s="183">
        <v>0</v>
      </c>
      <c r="F64" s="183">
        <v>100</v>
      </c>
      <c r="G64" s="184">
        <v>0.01</v>
      </c>
      <c r="H64" s="8"/>
    </row>
    <row r="65" spans="1:8" ht="20" customHeight="1" x14ac:dyDescent="0.2">
      <c r="A65" s="20"/>
      <c r="B65" s="177" t="s">
        <v>401</v>
      </c>
      <c r="C65" s="178">
        <f>C17*100</f>
        <v>30</v>
      </c>
      <c r="D65" s="186" t="s">
        <v>404</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22" zoomScale="125" workbookViewId="0">
      <selection activeCell="C42" sqref="C4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111</v>
      </c>
      <c r="C1" s="29"/>
      <c r="H1" s="8"/>
    </row>
    <row r="2" spans="1:8" ht="63.75" customHeight="1" x14ac:dyDescent="0.2">
      <c r="A2" s="250"/>
      <c r="B2" s="251" t="s">
        <v>526</v>
      </c>
      <c r="C2" s="252" t="s">
        <v>527</v>
      </c>
      <c r="D2" s="253"/>
      <c r="H2" s="8"/>
    </row>
    <row r="3" spans="1:8" ht="14.25" customHeight="1" x14ac:dyDescent="0.2">
      <c r="A3" s="269"/>
      <c r="B3" s="261" t="s">
        <v>0</v>
      </c>
      <c r="C3" s="270" t="s">
        <v>1</v>
      </c>
      <c r="D3" s="268" t="s">
        <v>528</v>
      </c>
      <c r="E3" s="11"/>
      <c r="F3" s="11"/>
      <c r="G3" s="11"/>
      <c r="H3" s="11" t="s">
        <v>6</v>
      </c>
    </row>
    <row r="4" spans="1:8" ht="29.25" customHeight="1" x14ac:dyDescent="0.2">
      <c r="A4" s="456" t="s">
        <v>529</v>
      </c>
      <c r="B4" s="176" t="s">
        <v>74</v>
      </c>
      <c r="C4" s="169">
        <v>5.7333333333333299E-2</v>
      </c>
      <c r="D4" s="216">
        <f t="shared" ref="D4:D14" si="0">C4/$C$19*(1-$C$17)</f>
        <v>3.8938888888888884E-2</v>
      </c>
      <c r="E4" s="30"/>
      <c r="F4" s="159"/>
      <c r="G4" s="31"/>
      <c r="H4" s="32" t="s">
        <v>75</v>
      </c>
    </row>
    <row r="5" spans="1:8" ht="36" customHeight="1" x14ac:dyDescent="0.2">
      <c r="A5" s="457"/>
      <c r="B5" s="173" t="s">
        <v>76</v>
      </c>
      <c r="C5" s="169">
        <v>5.7333333333333299E-2</v>
      </c>
      <c r="D5" s="216">
        <f t="shared" si="0"/>
        <v>3.8938888888888884E-2</v>
      </c>
      <c r="F5" s="159"/>
      <c r="G5" s="17"/>
      <c r="H5" s="12"/>
    </row>
    <row r="6" spans="1:8" ht="33.75" customHeight="1" x14ac:dyDescent="0.2">
      <c r="A6" s="457"/>
      <c r="B6" s="173" t="s">
        <v>77</v>
      </c>
      <c r="C6" s="169">
        <v>7.9333333333333297E-2</v>
      </c>
      <c r="D6" s="216">
        <f t="shared" si="0"/>
        <v>5.3880555555555563E-2</v>
      </c>
      <c r="F6" s="159"/>
      <c r="G6" s="17"/>
      <c r="H6" s="12"/>
    </row>
    <row r="7" spans="1:8" ht="33.75" customHeight="1" x14ac:dyDescent="0.2">
      <c r="A7" s="457"/>
      <c r="B7" s="173" t="s">
        <v>78</v>
      </c>
      <c r="C7" s="169">
        <v>1.6666666666666701E-2</v>
      </c>
      <c r="D7" s="216">
        <f t="shared" si="0"/>
        <v>1.1319444444444472E-2</v>
      </c>
      <c r="F7" s="159"/>
      <c r="G7" s="17"/>
      <c r="H7" s="12"/>
    </row>
    <row r="8" spans="1:8" ht="33.75" customHeight="1" x14ac:dyDescent="0.2">
      <c r="A8" s="457"/>
      <c r="B8" s="174" t="s">
        <v>112</v>
      </c>
      <c r="C8" s="169">
        <v>0.13062499999999969</v>
      </c>
      <c r="D8" s="216">
        <f t="shared" si="0"/>
        <v>8.8716145833333163E-2</v>
      </c>
      <c r="F8" s="159"/>
      <c r="G8" s="17"/>
      <c r="H8" s="12"/>
    </row>
    <row r="9" spans="1:8" ht="33.75" customHeight="1" x14ac:dyDescent="0.2">
      <c r="A9" s="457"/>
      <c r="B9" s="174" t="s">
        <v>516</v>
      </c>
      <c r="C9" s="169">
        <v>0</v>
      </c>
      <c r="D9" s="216">
        <f t="shared" si="0"/>
        <v>0</v>
      </c>
      <c r="F9" s="159"/>
      <c r="G9" s="17"/>
      <c r="H9" s="12"/>
    </row>
    <row r="10" spans="1:8" ht="18" customHeight="1" x14ac:dyDescent="0.2">
      <c r="A10" s="457"/>
      <c r="B10" s="174" t="s">
        <v>113</v>
      </c>
      <c r="C10" s="169">
        <v>8.7083333333333127E-3</v>
      </c>
      <c r="D10" s="216">
        <f t="shared" si="0"/>
        <v>5.9144097222222107E-3</v>
      </c>
      <c r="F10" s="159"/>
      <c r="G10" s="17"/>
      <c r="H10" s="12"/>
    </row>
    <row r="11" spans="1:8" ht="27" customHeight="1" x14ac:dyDescent="0.2">
      <c r="A11" s="457"/>
      <c r="B11" s="174" t="s">
        <v>81</v>
      </c>
      <c r="C11" s="169">
        <v>0.13333333333333369</v>
      </c>
      <c r="D11" s="216">
        <f t="shared" si="0"/>
        <v>9.0555555555555847E-2</v>
      </c>
      <c r="F11" s="159"/>
      <c r="G11" s="17"/>
      <c r="H11" s="12"/>
    </row>
    <row r="12" spans="1:8" ht="18" customHeight="1" x14ac:dyDescent="0.2">
      <c r="A12" s="457"/>
      <c r="B12" s="174" t="s">
        <v>114</v>
      </c>
      <c r="C12" s="169">
        <v>0.13600000000000001</v>
      </c>
      <c r="D12" s="216">
        <f t="shared" si="0"/>
        <v>9.2366666666666722E-2</v>
      </c>
      <c r="F12" s="159"/>
      <c r="G12" s="17"/>
      <c r="H12" s="12"/>
    </row>
    <row r="13" spans="1:8" ht="41.25" customHeight="1" x14ac:dyDescent="0.2">
      <c r="A13" s="457"/>
      <c r="B13" s="174" t="s">
        <v>115</v>
      </c>
      <c r="C13" s="169">
        <v>0.3526666666666663</v>
      </c>
      <c r="D13" s="216">
        <f t="shared" si="0"/>
        <v>0.23951944444444431</v>
      </c>
      <c r="F13" s="159"/>
      <c r="G13" s="17"/>
      <c r="H13" s="33"/>
    </row>
    <row r="14" spans="1:8" ht="16.5" customHeight="1" x14ac:dyDescent="0.2">
      <c r="A14" s="458"/>
      <c r="B14" s="174" t="s">
        <v>116</v>
      </c>
      <c r="C14" s="169">
        <v>2.8000000000000001E-2</v>
      </c>
      <c r="D14" s="216">
        <f t="shared" si="0"/>
        <v>1.9016666666666678E-2</v>
      </c>
      <c r="G14" s="17"/>
      <c r="H14" s="12"/>
    </row>
    <row r="15" spans="1:8" ht="16.5" customHeight="1" x14ac:dyDescent="0.2">
      <c r="A15" s="236"/>
      <c r="B15" s="167" t="s">
        <v>86</v>
      </c>
      <c r="C15" s="115">
        <v>0.706666666666667</v>
      </c>
      <c r="D15" s="237">
        <f>C15</f>
        <v>0.706666666666667</v>
      </c>
      <c r="G15" s="17"/>
      <c r="H15" s="12"/>
    </row>
    <row r="16" spans="1:8" ht="16.5" customHeight="1" x14ac:dyDescent="0.2">
      <c r="A16" s="236"/>
      <c r="B16" s="241" t="s">
        <v>87</v>
      </c>
      <c r="C16" s="115">
        <v>0.53400000000000003</v>
      </c>
      <c r="D16" s="238">
        <f>C16</f>
        <v>0.53400000000000003</v>
      </c>
      <c r="E16" s="6"/>
      <c r="F16" s="6"/>
      <c r="G16" s="18"/>
      <c r="H16" s="19"/>
    </row>
    <row r="17" spans="1:8" ht="27" customHeight="1" x14ac:dyDescent="0.2">
      <c r="A17" s="239"/>
      <c r="B17" s="229" t="s">
        <v>401</v>
      </c>
      <c r="C17" s="220">
        <v>0.32083333333333336</v>
      </c>
      <c r="D17" s="226">
        <f>C17</f>
        <v>0.32083333333333336</v>
      </c>
      <c r="H17" s="8"/>
    </row>
    <row r="18" spans="1:8" ht="16.5" customHeight="1" x14ac:dyDescent="0.2">
      <c r="A18" s="20"/>
      <c r="B18" s="12"/>
      <c r="C18" s="129" t="s">
        <v>536</v>
      </c>
      <c r="D18" s="8"/>
    </row>
    <row r="19" spans="1:8" ht="16.5" customHeight="1" x14ac:dyDescent="0.2">
      <c r="A19" s="20"/>
      <c r="B19" s="12" t="s">
        <v>403</v>
      </c>
      <c r="C19" s="114">
        <f>SUM(C4:C14)</f>
        <v>0.99999999999999956</v>
      </c>
      <c r="D19" s="160">
        <f>SUM(D4:D14)</f>
        <v>0.6791666666666667</v>
      </c>
    </row>
    <row r="20" spans="1:8" ht="16.5" customHeight="1" x14ac:dyDescent="0.2">
      <c r="A20" s="20"/>
      <c r="B20" s="12"/>
      <c r="C20" s="13"/>
      <c r="D20" s="160">
        <f>D19+D17</f>
        <v>1</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2" t="s">
        <v>117</v>
      </c>
      <c r="C24" s="393" t="s">
        <v>35</v>
      </c>
      <c r="D24" s="394"/>
    </row>
    <row r="25" spans="1:8" ht="16.5" customHeight="1" x14ac:dyDescent="0.2">
      <c r="A25" s="20"/>
      <c r="B25" s="333" t="s">
        <v>33</v>
      </c>
      <c r="C25" s="368">
        <f>$D$8*$C$44</f>
        <v>936194.04698087974</v>
      </c>
      <c r="D25" s="384" t="s">
        <v>118</v>
      </c>
    </row>
    <row r="26" spans="1:8" ht="16.5" customHeight="1" x14ac:dyDescent="0.2">
      <c r="A26" s="20"/>
      <c r="B26" s="333" t="s">
        <v>35</v>
      </c>
      <c r="C26" s="368">
        <v>0</v>
      </c>
      <c r="D26" s="385" t="s">
        <v>119</v>
      </c>
    </row>
    <row r="27" spans="1:8" ht="16.5" customHeight="1" x14ac:dyDescent="0.2">
      <c r="A27" s="20"/>
      <c r="B27" s="333" t="s">
        <v>37</v>
      </c>
      <c r="C27" s="368">
        <f>SUM($D$11:$D$12)*$C$44</f>
        <v>1930321.6330731832</v>
      </c>
      <c r="D27" s="384" t="s">
        <v>120</v>
      </c>
    </row>
    <row r="28" spans="1:8" ht="16.5" customHeight="1" x14ac:dyDescent="0.2">
      <c r="A28" s="20"/>
      <c r="B28" s="333" t="s">
        <v>39</v>
      </c>
      <c r="C28" s="368">
        <f>$D$10*$C$44</f>
        <v>62412.936465391977</v>
      </c>
      <c r="D28" s="384" t="s">
        <v>121</v>
      </c>
    </row>
    <row r="29" spans="1:8" ht="16.5" customHeight="1" x14ac:dyDescent="0.2">
      <c r="A29" s="20"/>
      <c r="B29" s="333" t="s">
        <v>41</v>
      </c>
      <c r="C29" s="368">
        <f>D4*$C$44*C16</f>
        <v>219425.96702290271</v>
      </c>
      <c r="D29" s="385" t="s">
        <v>92</v>
      </c>
    </row>
    <row r="30" spans="1:8" ht="16.5" customHeight="1" x14ac:dyDescent="0.2">
      <c r="A30" s="20"/>
      <c r="B30" s="333" t="s">
        <v>43</v>
      </c>
      <c r="C30" s="368">
        <f>D5*$C$44*C16</f>
        <v>219425.96702290271</v>
      </c>
      <c r="D30" s="385" t="s">
        <v>93</v>
      </c>
    </row>
    <row r="31" spans="1:8" ht="16.5" customHeight="1" x14ac:dyDescent="0.2">
      <c r="A31" s="20"/>
      <c r="B31" s="333" t="s">
        <v>44</v>
      </c>
      <c r="C31" s="368">
        <f>D6*$C$44*C16</f>
        <v>303624.30320610967</v>
      </c>
      <c r="D31" s="385" t="s">
        <v>94</v>
      </c>
    </row>
    <row r="32" spans="1:8" ht="16.5" customHeight="1" x14ac:dyDescent="0.2">
      <c r="A32" s="20"/>
      <c r="B32" s="333" t="s">
        <v>45</v>
      </c>
      <c r="C32" s="368">
        <f>D7*$C$44*C16</f>
        <v>63786.618320611415</v>
      </c>
      <c r="D32" s="385" t="s">
        <v>95</v>
      </c>
    </row>
    <row r="33" spans="1:8" ht="16.5" customHeight="1" x14ac:dyDescent="0.2">
      <c r="A33" s="20"/>
      <c r="B33" s="333" t="s">
        <v>46</v>
      </c>
      <c r="C33" s="368">
        <f>D17*$C$44*C15</f>
        <v>2392529.4856865853</v>
      </c>
      <c r="D33" s="385" t="s">
        <v>96</v>
      </c>
    </row>
    <row r="34" spans="1:8" ht="16.5" customHeight="1" x14ac:dyDescent="0.2">
      <c r="A34" s="20"/>
      <c r="B34" s="333" t="s">
        <v>48</v>
      </c>
      <c r="C34" s="368">
        <v>0</v>
      </c>
      <c r="D34" s="385" t="s">
        <v>122</v>
      </c>
    </row>
    <row r="35" spans="1:8" ht="16.5" customHeight="1" x14ac:dyDescent="0.2">
      <c r="A35" s="20"/>
      <c r="B35" s="333" t="s">
        <v>50</v>
      </c>
      <c r="C35" s="386">
        <v>0</v>
      </c>
      <c r="D35" s="385" t="s">
        <v>122</v>
      </c>
    </row>
    <row r="36" spans="1:8" ht="16.5" customHeight="1" x14ac:dyDescent="0.2">
      <c r="A36" s="20"/>
      <c r="B36" s="333" t="s">
        <v>51</v>
      </c>
      <c r="C36" s="386">
        <v>0</v>
      </c>
      <c r="D36" s="385" t="s">
        <v>123</v>
      </c>
    </row>
    <row r="37" spans="1:8" ht="16.5" customHeight="1" x14ac:dyDescent="0.2">
      <c r="A37" s="20"/>
      <c r="B37" s="333" t="s">
        <v>53</v>
      </c>
      <c r="C37" s="386">
        <v>0</v>
      </c>
      <c r="D37" s="385" t="s">
        <v>124</v>
      </c>
    </row>
    <row r="38" spans="1:8" ht="16.5" customHeight="1" x14ac:dyDescent="0.2">
      <c r="A38" s="20"/>
      <c r="B38" s="333" t="s">
        <v>55</v>
      </c>
      <c r="C38" s="386">
        <v>0</v>
      </c>
      <c r="D38" s="385" t="s">
        <v>125</v>
      </c>
    </row>
    <row r="39" spans="1:8" ht="16.5" customHeight="1" x14ac:dyDescent="0.2">
      <c r="A39" s="20"/>
      <c r="B39" s="333" t="s">
        <v>57</v>
      </c>
      <c r="C39" s="386">
        <v>0</v>
      </c>
      <c r="D39" s="385" t="s">
        <v>126</v>
      </c>
    </row>
    <row r="40" spans="1:8" ht="16.5" customHeight="1" x14ac:dyDescent="0.2">
      <c r="A40" s="20"/>
      <c r="B40" s="333" t="s">
        <v>58</v>
      </c>
      <c r="C40" s="368">
        <v>0</v>
      </c>
      <c r="D40" s="385" t="s">
        <v>127</v>
      </c>
    </row>
    <row r="41" spans="1:8" ht="16.5" customHeight="1" x14ac:dyDescent="0.2">
      <c r="A41" s="20"/>
      <c r="B41" s="333" t="s">
        <v>60</v>
      </c>
      <c r="C41" s="368">
        <f>$D$14*$C$44</f>
        <v>200677.00145810295</v>
      </c>
      <c r="D41" s="385" t="s">
        <v>128</v>
      </c>
    </row>
    <row r="42" spans="1:8" ht="16.5" customHeight="1" x14ac:dyDescent="0.2">
      <c r="A42" s="20"/>
      <c r="B42" s="387" t="s">
        <v>62</v>
      </c>
      <c r="C42" s="388">
        <f>$D$13*$C$44+ C44*SUM(D4:D7)*(1-C16) + C44*C17*(1-C15)</f>
        <v>4224292.7396995015</v>
      </c>
      <c r="D42" s="385" t="s">
        <v>129</v>
      </c>
    </row>
    <row r="43" spans="1:8" ht="16.5" customHeight="1" x14ac:dyDescent="0.2">
      <c r="A43" s="20"/>
      <c r="B43" s="333" t="s">
        <v>64</v>
      </c>
      <c r="C43" s="388">
        <f>SUM($C$25:$C$42)</f>
        <v>10552690.698936172</v>
      </c>
      <c r="D43" s="385" t="s">
        <v>65</v>
      </c>
    </row>
    <row r="44" spans="1:8" ht="33" customHeight="1" x14ac:dyDescent="0.2">
      <c r="A44" s="20"/>
      <c r="B44" s="333" t="s">
        <v>66</v>
      </c>
      <c r="C44" s="386">
        <f>SUM(Tourists!C26)</f>
        <v>10552690.69893617</v>
      </c>
      <c r="D44" s="385" t="s">
        <v>130</v>
      </c>
    </row>
    <row r="45" spans="1:8" ht="16.5" customHeight="1" x14ac:dyDescent="0.2">
      <c r="A45" s="20"/>
      <c r="B45" s="333" t="s">
        <v>68</v>
      </c>
      <c r="C45" s="386">
        <f>C44-C43</f>
        <v>0</v>
      </c>
      <c r="D45" s="385" t="s">
        <v>106</v>
      </c>
    </row>
    <row r="46" spans="1:8" ht="16.5" customHeight="1" x14ac:dyDescent="0.2">
      <c r="A46" s="20"/>
      <c r="B46" s="389" t="s">
        <v>70</v>
      </c>
      <c r="C46" s="390">
        <f>C45/C44</f>
        <v>0</v>
      </c>
      <c r="D46" s="391" t="s">
        <v>107</v>
      </c>
    </row>
    <row r="47" spans="1:8" ht="27" customHeight="1" x14ac:dyDescent="0.2">
      <c r="A47" s="20"/>
      <c r="B47" s="310" t="s">
        <v>108</v>
      </c>
      <c r="C47" s="311">
        <f>C33/C44</f>
        <v>0.22672222222222235</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5.7333333333333298</v>
      </c>
      <c r="D52" s="202" t="s">
        <v>420</v>
      </c>
      <c r="E52" s="202">
        <v>0</v>
      </c>
      <c r="F52" s="202">
        <v>100</v>
      </c>
      <c r="G52" s="203">
        <v>0.01</v>
      </c>
      <c r="H52" s="8"/>
    </row>
    <row r="53" spans="1:8" ht="27" customHeight="1" x14ac:dyDescent="0.2">
      <c r="A53" s="20"/>
      <c r="B53" s="200" t="s">
        <v>76</v>
      </c>
      <c r="C53" s="201">
        <f t="shared" ref="C53:C62" si="1">C5*100</f>
        <v>5.7333333333333298</v>
      </c>
      <c r="D53" s="183" t="s">
        <v>421</v>
      </c>
      <c r="E53" s="183">
        <v>0</v>
      </c>
      <c r="F53" s="183">
        <v>100</v>
      </c>
      <c r="G53" s="204">
        <v>0.01</v>
      </c>
      <c r="H53" s="8"/>
    </row>
    <row r="54" spans="1:8" ht="27" customHeight="1" x14ac:dyDescent="0.2">
      <c r="A54" s="20"/>
      <c r="B54" s="200" t="s">
        <v>77</v>
      </c>
      <c r="C54" s="201">
        <f t="shared" si="1"/>
        <v>7.93333333333333</v>
      </c>
      <c r="D54" s="202" t="s">
        <v>422</v>
      </c>
      <c r="E54" s="183">
        <v>0</v>
      </c>
      <c r="F54" s="183">
        <v>100</v>
      </c>
      <c r="G54" s="204">
        <v>0.01</v>
      </c>
      <c r="H54" s="8"/>
    </row>
    <row r="55" spans="1:8" ht="27" customHeight="1" x14ac:dyDescent="0.2">
      <c r="A55" s="20"/>
      <c r="B55" s="200" t="s">
        <v>78</v>
      </c>
      <c r="C55" s="201">
        <f t="shared" si="1"/>
        <v>1.6666666666666701</v>
      </c>
      <c r="D55" s="183" t="s">
        <v>423</v>
      </c>
      <c r="E55" s="183">
        <v>0</v>
      </c>
      <c r="F55" s="183">
        <v>100</v>
      </c>
      <c r="G55" s="204">
        <v>0.01</v>
      </c>
      <c r="H55" s="8"/>
    </row>
    <row r="56" spans="1:8" ht="27" customHeight="1" x14ac:dyDescent="0.2">
      <c r="A56" s="20"/>
      <c r="B56" s="200" t="s">
        <v>112</v>
      </c>
      <c r="C56" s="201">
        <f t="shared" si="1"/>
        <v>13.062499999999968</v>
      </c>
      <c r="D56" s="183" t="s">
        <v>424</v>
      </c>
      <c r="E56" s="183">
        <v>0</v>
      </c>
      <c r="F56" s="183">
        <v>100</v>
      </c>
      <c r="G56" s="205">
        <v>0.01</v>
      </c>
      <c r="H56" s="8"/>
    </row>
    <row r="57" spans="1:8" ht="27" customHeight="1" x14ac:dyDescent="0.2">
      <c r="A57" s="20"/>
      <c r="B57" s="206" t="s">
        <v>514</v>
      </c>
      <c r="C57" s="201">
        <f t="shared" si="1"/>
        <v>0</v>
      </c>
      <c r="D57" s="183" t="s">
        <v>425</v>
      </c>
      <c r="E57" s="183">
        <v>0</v>
      </c>
      <c r="F57" s="183">
        <v>100</v>
      </c>
      <c r="G57" s="183">
        <v>0.01</v>
      </c>
      <c r="H57" s="8"/>
    </row>
    <row r="58" spans="1:8" ht="27" customHeight="1" x14ac:dyDescent="0.2">
      <c r="A58" s="20"/>
      <c r="B58" s="200" t="s">
        <v>113</v>
      </c>
      <c r="C58" s="201">
        <f t="shared" si="1"/>
        <v>0.87083333333333124</v>
      </c>
      <c r="D58" s="183" t="s">
        <v>426</v>
      </c>
      <c r="E58" s="183">
        <v>0</v>
      </c>
      <c r="F58" s="183">
        <v>100</v>
      </c>
      <c r="G58" s="205">
        <v>0.01</v>
      </c>
      <c r="H58" s="8"/>
    </row>
    <row r="59" spans="1:8" ht="27" customHeight="1" x14ac:dyDescent="0.2">
      <c r="A59" s="20"/>
      <c r="B59" s="200" t="s">
        <v>81</v>
      </c>
      <c r="C59" s="201">
        <f t="shared" si="1"/>
        <v>13.333333333333369</v>
      </c>
      <c r="D59" s="183" t="s">
        <v>427</v>
      </c>
      <c r="E59" s="183">
        <v>0</v>
      </c>
      <c r="F59" s="183">
        <v>100</v>
      </c>
      <c r="G59" s="205">
        <v>0.01</v>
      </c>
      <c r="H59" s="8"/>
    </row>
    <row r="60" spans="1:8" ht="27" customHeight="1" x14ac:dyDescent="0.2">
      <c r="A60" s="20"/>
      <c r="B60" s="200" t="s">
        <v>114</v>
      </c>
      <c r="C60" s="201">
        <f t="shared" si="1"/>
        <v>13.600000000000001</v>
      </c>
      <c r="D60" s="183" t="s">
        <v>428</v>
      </c>
      <c r="E60" s="183">
        <v>0</v>
      </c>
      <c r="F60" s="183">
        <v>100</v>
      </c>
      <c r="G60" s="205">
        <v>0.01</v>
      </c>
      <c r="H60" s="8"/>
    </row>
    <row r="61" spans="1:8" ht="27" customHeight="1" x14ac:dyDescent="0.2">
      <c r="A61" s="20"/>
      <c r="B61" s="200" t="s">
        <v>115</v>
      </c>
      <c r="C61" s="201">
        <f t="shared" si="1"/>
        <v>35.26666666666663</v>
      </c>
      <c r="D61" s="183" t="s">
        <v>429</v>
      </c>
      <c r="E61" s="183">
        <v>0</v>
      </c>
      <c r="F61" s="183">
        <v>100</v>
      </c>
      <c r="G61" s="205">
        <v>0.01</v>
      </c>
      <c r="H61" s="8"/>
    </row>
    <row r="62" spans="1:8" ht="27" customHeight="1" x14ac:dyDescent="0.2">
      <c r="A62" s="20"/>
      <c r="B62" s="207" t="s">
        <v>131</v>
      </c>
      <c r="C62" s="201">
        <f t="shared" si="1"/>
        <v>2.8000000000000003</v>
      </c>
      <c r="D62" s="183" t="s">
        <v>472</v>
      </c>
      <c r="E62" s="183">
        <v>0</v>
      </c>
      <c r="F62" s="183">
        <v>100</v>
      </c>
      <c r="G62" s="205">
        <v>0.01</v>
      </c>
      <c r="H62" s="8"/>
    </row>
    <row r="63" spans="1:8" ht="27" customHeight="1" x14ac:dyDescent="0.2">
      <c r="A63" s="20"/>
      <c r="B63" s="207" t="s">
        <v>86</v>
      </c>
      <c r="C63" s="201">
        <f t="shared" ref="C63:C64" si="2">D15*100</f>
        <v>70.6666666666667</v>
      </c>
      <c r="D63" s="183" t="s">
        <v>519</v>
      </c>
      <c r="E63" s="183">
        <v>0</v>
      </c>
      <c r="F63" s="183">
        <v>100</v>
      </c>
      <c r="G63" s="205">
        <v>0.01</v>
      </c>
      <c r="H63" s="8"/>
    </row>
    <row r="64" spans="1:8" ht="27" customHeight="1" x14ac:dyDescent="0.2">
      <c r="A64" s="20"/>
      <c r="B64" s="207" t="s">
        <v>87</v>
      </c>
      <c r="C64" s="201">
        <f t="shared" si="2"/>
        <v>53.400000000000006</v>
      </c>
      <c r="D64" s="191" t="s">
        <v>394</v>
      </c>
      <c r="E64" s="191">
        <v>0</v>
      </c>
      <c r="F64" s="191">
        <v>100</v>
      </c>
      <c r="G64" s="208">
        <v>0.01</v>
      </c>
      <c r="H64" s="8"/>
    </row>
    <row r="65" spans="1:8" ht="27" customHeight="1" x14ac:dyDescent="0.2">
      <c r="A65" s="20"/>
      <c r="B65" s="209" t="s">
        <v>401</v>
      </c>
      <c r="C65" s="210">
        <f>C17*100</f>
        <v>32.083333333333336</v>
      </c>
      <c r="D65" s="183" t="s">
        <v>405</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19"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133</v>
      </c>
      <c r="C1" s="29"/>
      <c r="H1" s="8"/>
    </row>
    <row r="2" spans="1:8" ht="63.75" customHeight="1" x14ac:dyDescent="0.2">
      <c r="A2" s="228"/>
      <c r="B2" s="257" t="s">
        <v>525</v>
      </c>
      <c r="C2" s="258" t="s">
        <v>527</v>
      </c>
      <c r="D2" s="259"/>
      <c r="H2" s="8"/>
    </row>
    <row r="3" spans="1:8" ht="14.25" customHeight="1" x14ac:dyDescent="0.2">
      <c r="A3" s="260"/>
      <c r="B3" s="261" t="s">
        <v>0</v>
      </c>
      <c r="C3" s="262" t="s">
        <v>1</v>
      </c>
      <c r="D3" s="268" t="s">
        <v>528</v>
      </c>
      <c r="E3" s="11"/>
      <c r="F3" s="11"/>
      <c r="G3" s="11"/>
      <c r="H3" s="11" t="s">
        <v>6</v>
      </c>
    </row>
    <row r="4" spans="1:8" ht="29.25" customHeight="1" x14ac:dyDescent="0.2">
      <c r="A4" s="456" t="s">
        <v>529</v>
      </c>
      <c r="B4" s="215" t="s">
        <v>74</v>
      </c>
      <c r="C4" s="212">
        <v>7.3333333333333306E-2</v>
      </c>
      <c r="D4" s="216">
        <f t="shared" ref="D4:D14" si="0">C4/$C$19*(1-$C$17)</f>
        <v>6.5266666666666653E-2</v>
      </c>
      <c r="E4" s="30"/>
      <c r="F4" s="30"/>
      <c r="G4" s="31"/>
      <c r="H4" s="32" t="s">
        <v>75</v>
      </c>
    </row>
    <row r="5" spans="1:8" ht="36" customHeight="1" x14ac:dyDescent="0.2">
      <c r="A5" s="457"/>
      <c r="B5" s="217" t="s">
        <v>76</v>
      </c>
      <c r="C5" s="213">
        <v>5.4666666666666697E-2</v>
      </c>
      <c r="D5" s="216">
        <f t="shared" si="0"/>
        <v>4.8653333333333368E-2</v>
      </c>
      <c r="G5" s="17"/>
      <c r="H5" s="12"/>
    </row>
    <row r="6" spans="1:8" ht="33.75" customHeight="1" x14ac:dyDescent="0.2">
      <c r="A6" s="457"/>
      <c r="B6" s="217" t="s">
        <v>77</v>
      </c>
      <c r="C6" s="213">
        <v>4.3999999999999997E-2</v>
      </c>
      <c r="D6" s="216">
        <f t="shared" si="0"/>
        <v>3.9160000000000007E-2</v>
      </c>
      <c r="G6" s="17"/>
      <c r="H6" s="12"/>
    </row>
    <row r="7" spans="1:8" ht="33.75" customHeight="1" x14ac:dyDescent="0.2">
      <c r="A7" s="457"/>
      <c r="B7" s="217" t="s">
        <v>78</v>
      </c>
      <c r="C7" s="213">
        <v>0</v>
      </c>
      <c r="D7" s="216">
        <f t="shared" si="0"/>
        <v>0</v>
      </c>
      <c r="G7" s="17"/>
      <c r="H7" s="12"/>
    </row>
    <row r="8" spans="1:8" ht="33.75" customHeight="1" x14ac:dyDescent="0.2">
      <c r="A8" s="457"/>
      <c r="B8" s="218" t="s">
        <v>112</v>
      </c>
      <c r="C8" s="213">
        <v>0.26565833333333305</v>
      </c>
      <c r="D8" s="216">
        <f t="shared" si="0"/>
        <v>0.23643591666666647</v>
      </c>
      <c r="G8" s="17"/>
      <c r="H8" s="12"/>
    </row>
    <row r="9" spans="1:8" ht="33.75" customHeight="1" x14ac:dyDescent="0.2">
      <c r="A9" s="457"/>
      <c r="B9" s="218" t="s">
        <v>517</v>
      </c>
      <c r="C9" s="213">
        <v>0</v>
      </c>
      <c r="D9" s="216">
        <f t="shared" si="0"/>
        <v>0</v>
      </c>
      <c r="G9" s="17"/>
      <c r="H9" s="12"/>
    </row>
    <row r="10" spans="1:8" ht="18" customHeight="1" x14ac:dyDescent="0.2">
      <c r="A10" s="457"/>
      <c r="B10" s="218" t="s">
        <v>113</v>
      </c>
      <c r="C10" s="213">
        <v>3.3674999999999962E-2</v>
      </c>
      <c r="D10" s="216">
        <f t="shared" si="0"/>
        <v>2.9970749999999973E-2</v>
      </c>
      <c r="G10" s="17"/>
      <c r="H10" s="12"/>
    </row>
    <row r="11" spans="1:8" ht="27" customHeight="1" x14ac:dyDescent="0.2">
      <c r="A11" s="457"/>
      <c r="B11" s="218" t="s">
        <v>81</v>
      </c>
      <c r="C11" s="213">
        <v>0.14133333333333331</v>
      </c>
      <c r="D11" s="216">
        <f t="shared" si="0"/>
        <v>0.12578666666666669</v>
      </c>
      <c r="G11" s="17"/>
      <c r="H11" s="12"/>
    </row>
    <row r="12" spans="1:8" ht="18" customHeight="1" x14ac:dyDescent="0.2">
      <c r="A12" s="457"/>
      <c r="B12" s="218" t="s">
        <v>114</v>
      </c>
      <c r="C12" s="213">
        <v>0.204666666666667</v>
      </c>
      <c r="D12" s="216">
        <f t="shared" si="0"/>
        <v>0.18215333333333367</v>
      </c>
      <c r="G12" s="17"/>
      <c r="H12" s="12"/>
    </row>
    <row r="13" spans="1:8" ht="41.25" customHeight="1" x14ac:dyDescent="0.2">
      <c r="A13" s="457"/>
      <c r="B13" s="218" t="s">
        <v>115</v>
      </c>
      <c r="C13" s="213">
        <v>0.16333333333333327</v>
      </c>
      <c r="D13" s="216">
        <f t="shared" si="0"/>
        <v>0.14536666666666664</v>
      </c>
      <c r="G13" s="17"/>
      <c r="H13" s="33"/>
    </row>
    <row r="14" spans="1:8" ht="16.5" customHeight="1" x14ac:dyDescent="0.2">
      <c r="A14" s="458"/>
      <c r="B14" s="219" t="s">
        <v>131</v>
      </c>
      <c r="C14" s="213">
        <v>1.93333333333333E-2</v>
      </c>
      <c r="D14" s="216">
        <f t="shared" si="0"/>
        <v>1.7206666666666641E-2</v>
      </c>
      <c r="G14" s="17"/>
      <c r="H14" s="12"/>
    </row>
    <row r="15" spans="1:8" ht="16.5" customHeight="1" x14ac:dyDescent="0.2">
      <c r="A15" s="234"/>
      <c r="B15" s="222" t="s">
        <v>86</v>
      </c>
      <c r="C15" s="214">
        <v>0.9</v>
      </c>
      <c r="D15" s="224">
        <f>C15</f>
        <v>0.9</v>
      </c>
      <c r="G15" s="17"/>
      <c r="H15" s="12"/>
    </row>
    <row r="16" spans="1:8" ht="16.5" customHeight="1" x14ac:dyDescent="0.2">
      <c r="A16" s="234"/>
      <c r="B16" s="222" t="s">
        <v>87</v>
      </c>
      <c r="C16" s="221">
        <v>0.43</v>
      </c>
      <c r="D16" s="225">
        <f>C16</f>
        <v>0.43</v>
      </c>
      <c r="E16" s="6"/>
      <c r="F16" s="6"/>
      <c r="G16" s="18"/>
      <c r="H16" s="19"/>
    </row>
    <row r="17" spans="1:8" ht="27" customHeight="1" x14ac:dyDescent="0.2">
      <c r="A17" s="234"/>
      <c r="B17" s="223" t="s">
        <v>401</v>
      </c>
      <c r="C17" s="124">
        <v>0.11</v>
      </c>
      <c r="D17" s="226">
        <f>C17</f>
        <v>0.11</v>
      </c>
      <c r="H17" s="8"/>
    </row>
    <row r="18" spans="1:8" ht="16.5" customHeight="1" x14ac:dyDescent="0.2">
      <c r="A18" s="118"/>
      <c r="B18" s="128"/>
      <c r="C18" s="129" t="s">
        <v>536</v>
      </c>
      <c r="D18" s="8"/>
    </row>
    <row r="19" spans="1:8" ht="16.5" customHeight="1" x14ac:dyDescent="0.2">
      <c r="A19" s="20"/>
      <c r="B19" s="12" t="s">
        <v>403</v>
      </c>
      <c r="C19" s="114">
        <f>SUM(C4:C14)</f>
        <v>0.99999999999999989</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92" t="s">
        <v>117</v>
      </c>
      <c r="C24" s="393" t="s">
        <v>37</v>
      </c>
      <c r="D24" s="394"/>
    </row>
    <row r="25" spans="1:8" ht="16.5" customHeight="1" x14ac:dyDescent="0.2">
      <c r="A25" s="20"/>
      <c r="B25" s="333" t="s">
        <v>33</v>
      </c>
      <c r="C25" s="388">
        <f>$D$8*$C$43</f>
        <v>119644249.81972806</v>
      </c>
      <c r="D25" s="384" t="s">
        <v>134</v>
      </c>
    </row>
    <row r="26" spans="1:8" ht="14.25" customHeight="1" x14ac:dyDescent="0.2">
      <c r="B26" s="333" t="s">
        <v>35</v>
      </c>
      <c r="C26" s="386">
        <v>0</v>
      </c>
      <c r="D26" s="335" t="s">
        <v>135</v>
      </c>
    </row>
    <row r="27" spans="1:8" ht="16.5" customHeight="1" x14ac:dyDescent="0.2">
      <c r="A27" s="20"/>
      <c r="B27" s="333" t="s">
        <v>37</v>
      </c>
      <c r="C27" s="388">
        <f>SUM($D$11:$D$12)*$C$43</f>
        <v>155827637.3949973</v>
      </c>
      <c r="D27" s="384" t="s">
        <v>136</v>
      </c>
    </row>
    <row r="28" spans="1:8" ht="16.5" customHeight="1" x14ac:dyDescent="0.2">
      <c r="A28" s="20"/>
      <c r="B28" s="333" t="s">
        <v>39</v>
      </c>
      <c r="C28" s="388">
        <f>$D$10*$C$43</f>
        <v>15166172.512359895</v>
      </c>
      <c r="D28" s="384" t="s">
        <v>398</v>
      </c>
    </row>
    <row r="29" spans="1:8" ht="16.5" customHeight="1" x14ac:dyDescent="0.2">
      <c r="A29" s="20"/>
      <c r="B29" s="333" t="s">
        <v>41</v>
      </c>
      <c r="C29" s="388">
        <f>D4*$C$43*C16</f>
        <v>14201632.463937115</v>
      </c>
      <c r="D29" s="385" t="s">
        <v>92</v>
      </c>
    </row>
    <row r="30" spans="1:8" ht="16.5" customHeight="1" x14ac:dyDescent="0.2">
      <c r="A30" s="20"/>
      <c r="B30" s="333" t="s">
        <v>43</v>
      </c>
      <c r="C30" s="388">
        <f>D5*$C$43*C16</f>
        <v>10586671.473116767</v>
      </c>
      <c r="D30" s="385" t="s">
        <v>93</v>
      </c>
    </row>
    <row r="31" spans="1:8" ht="16.5" customHeight="1" x14ac:dyDescent="0.2">
      <c r="A31" s="20"/>
      <c r="B31" s="333" t="s">
        <v>44</v>
      </c>
      <c r="C31" s="388">
        <f>D6*$C$43*C16</f>
        <v>8520979.4783622734</v>
      </c>
      <c r="D31" s="385" t="s">
        <v>94</v>
      </c>
    </row>
    <row r="32" spans="1:8" ht="16.5" customHeight="1" x14ac:dyDescent="0.2">
      <c r="A32" s="20"/>
      <c r="B32" s="333" t="s">
        <v>45</v>
      </c>
      <c r="C32" s="388">
        <f>D7*$C$43*C16</f>
        <v>0</v>
      </c>
      <c r="D32" s="385" t="s">
        <v>95</v>
      </c>
    </row>
    <row r="33" spans="1:8" ht="16.5" customHeight="1" x14ac:dyDescent="0.2">
      <c r="A33" s="20"/>
      <c r="B33" s="333" t="s">
        <v>46</v>
      </c>
      <c r="C33" s="388">
        <f>$C$43*D17*C15</f>
        <v>50097214.074510343</v>
      </c>
      <c r="D33" s="385" t="s">
        <v>96</v>
      </c>
    </row>
    <row r="34" spans="1:8" ht="16.5" customHeight="1" x14ac:dyDescent="0.2">
      <c r="A34" s="20"/>
      <c r="B34" s="333" t="s">
        <v>48</v>
      </c>
      <c r="C34" s="388">
        <v>0</v>
      </c>
      <c r="D34" s="385" t="s">
        <v>137</v>
      </c>
    </row>
    <row r="35" spans="1:8" ht="16.5" customHeight="1" x14ac:dyDescent="0.2">
      <c r="A35" s="20"/>
      <c r="B35" s="333" t="s">
        <v>50</v>
      </c>
      <c r="C35" s="386">
        <v>0</v>
      </c>
      <c r="D35" s="385" t="s">
        <v>137</v>
      </c>
    </row>
    <row r="36" spans="1:8" ht="16.5" customHeight="1" x14ac:dyDescent="0.2">
      <c r="A36" s="20"/>
      <c r="B36" s="333" t="s">
        <v>51</v>
      </c>
      <c r="C36" s="386">
        <v>0</v>
      </c>
      <c r="D36" s="385" t="s">
        <v>138</v>
      </c>
    </row>
    <row r="37" spans="1:8" ht="16.5" customHeight="1" x14ac:dyDescent="0.2">
      <c r="A37" s="20"/>
      <c r="B37" s="333" t="s">
        <v>53</v>
      </c>
      <c r="C37" s="386">
        <v>0</v>
      </c>
      <c r="D37" s="385" t="s">
        <v>139</v>
      </c>
    </row>
    <row r="38" spans="1:8" ht="16.5" customHeight="1" x14ac:dyDescent="0.2">
      <c r="A38" s="20"/>
      <c r="B38" s="333" t="s">
        <v>55</v>
      </c>
      <c r="C38" s="386">
        <v>0</v>
      </c>
      <c r="D38" s="385" t="s">
        <v>140</v>
      </c>
    </row>
    <row r="39" spans="1:8" ht="16.5" customHeight="1" x14ac:dyDescent="0.2">
      <c r="A39" s="20"/>
      <c r="B39" s="333" t="s">
        <v>57</v>
      </c>
      <c r="C39" s="386">
        <v>0</v>
      </c>
      <c r="D39" s="385" t="s">
        <v>141</v>
      </c>
    </row>
    <row r="40" spans="1:8" ht="16.5" customHeight="1" x14ac:dyDescent="0.2">
      <c r="A40" s="20"/>
      <c r="B40" s="333" t="s">
        <v>60</v>
      </c>
      <c r="C40" s="388">
        <f>$D$14*$C$43</f>
        <v>8707131.9546337388</v>
      </c>
      <c r="D40" s="385" t="s">
        <v>142</v>
      </c>
    </row>
    <row r="41" spans="1:8" ht="16.5" customHeight="1" x14ac:dyDescent="0.2">
      <c r="A41" s="20"/>
      <c r="B41" s="387" t="s">
        <v>62</v>
      </c>
      <c r="C41" s="388">
        <f>$D$13*$C$43+ C43*SUM(D4:D7)*(1-C16) + C43*C17*(1-C15)</f>
        <v>123280776.22744894</v>
      </c>
      <c r="D41" s="385" t="s">
        <v>143</v>
      </c>
    </row>
    <row r="42" spans="1:8" ht="16.5" customHeight="1" x14ac:dyDescent="0.2">
      <c r="A42" s="20"/>
      <c r="B42" s="333" t="s">
        <v>64</v>
      </c>
      <c r="C42" s="388">
        <f>SUM($C$25:$C$41)</f>
        <v>506032465.3990944</v>
      </c>
      <c r="D42" s="385" t="s">
        <v>65</v>
      </c>
    </row>
    <row r="43" spans="1:8" ht="33" customHeight="1" x14ac:dyDescent="0.2">
      <c r="A43" s="20"/>
      <c r="B43" s="333" t="s">
        <v>66</v>
      </c>
      <c r="C43" s="386">
        <f>SUM(Tourists!C27, Tourism!C27, Lodges!C28,Restaurants!C27,SUM(Households!C30:D30) + NatParkPA!C28  + ComRevSh!C27)/(1-SUM(D8:D12))</f>
        <v>506032465.3990944</v>
      </c>
      <c r="D43" s="385" t="s">
        <v>144</v>
      </c>
      <c r="E43" s="129" t="s">
        <v>399</v>
      </c>
    </row>
    <row r="44" spans="1:8" ht="16.5" customHeight="1" x14ac:dyDescent="0.2">
      <c r="A44" s="20"/>
      <c r="B44" s="333" t="s">
        <v>68</v>
      </c>
      <c r="C44" s="386">
        <f>C43-C42</f>
        <v>0</v>
      </c>
      <c r="D44" s="385" t="s">
        <v>106</v>
      </c>
    </row>
    <row r="45" spans="1:8" ht="16.5" customHeight="1" x14ac:dyDescent="0.2">
      <c r="A45" s="20"/>
      <c r="B45" s="389" t="s">
        <v>70</v>
      </c>
      <c r="C45" s="390">
        <f>C44/C43</f>
        <v>0</v>
      </c>
      <c r="D45" s="391" t="s">
        <v>107</v>
      </c>
    </row>
    <row r="46" spans="1:8" ht="27" customHeight="1" x14ac:dyDescent="0.2">
      <c r="A46" s="20"/>
      <c r="B46" s="21" t="s">
        <v>108</v>
      </c>
      <c r="C46" s="22">
        <f>C33/C43</f>
        <v>9.8999999999999991E-2</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524</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7.3333333333333304</v>
      </c>
      <c r="D52" s="202" t="s">
        <v>430</v>
      </c>
      <c r="E52" s="202">
        <v>0</v>
      </c>
      <c r="F52" s="202">
        <v>100</v>
      </c>
      <c r="G52" s="203">
        <v>0.01</v>
      </c>
      <c r="H52" s="8"/>
    </row>
    <row r="53" spans="1:8" ht="27" customHeight="1" x14ac:dyDescent="0.2">
      <c r="A53" s="20"/>
      <c r="B53" s="200" t="s">
        <v>76</v>
      </c>
      <c r="C53" s="201">
        <f t="shared" ref="C53:C62" si="1">C5*100</f>
        <v>5.4666666666666694</v>
      </c>
      <c r="D53" s="183" t="s">
        <v>431</v>
      </c>
      <c r="E53" s="183">
        <v>0</v>
      </c>
      <c r="F53" s="183">
        <v>100</v>
      </c>
      <c r="G53" s="204">
        <v>0.01</v>
      </c>
      <c r="H53" s="8"/>
    </row>
    <row r="54" spans="1:8" ht="27" customHeight="1" x14ac:dyDescent="0.2">
      <c r="A54" s="20"/>
      <c r="B54" s="200" t="s">
        <v>77</v>
      </c>
      <c r="C54" s="201">
        <f t="shared" si="1"/>
        <v>4.3999999999999995</v>
      </c>
      <c r="D54" s="202" t="s">
        <v>432</v>
      </c>
      <c r="E54" s="183">
        <v>0</v>
      </c>
      <c r="F54" s="183">
        <v>100</v>
      </c>
      <c r="G54" s="204">
        <v>0.01</v>
      </c>
      <c r="H54" s="8"/>
    </row>
    <row r="55" spans="1:8" ht="27" customHeight="1" x14ac:dyDescent="0.2">
      <c r="A55" s="20"/>
      <c r="B55" s="200" t="s">
        <v>78</v>
      </c>
      <c r="C55" s="201">
        <f t="shared" si="1"/>
        <v>0</v>
      </c>
      <c r="D55" s="183" t="s">
        <v>433</v>
      </c>
      <c r="E55" s="183">
        <v>0</v>
      </c>
      <c r="F55" s="183">
        <v>100</v>
      </c>
      <c r="G55" s="204">
        <v>0.01</v>
      </c>
      <c r="H55" s="8"/>
    </row>
    <row r="56" spans="1:8" ht="27" customHeight="1" x14ac:dyDescent="0.2">
      <c r="A56" s="20"/>
      <c r="B56" s="200" t="s">
        <v>112</v>
      </c>
      <c r="C56" s="201">
        <f t="shared" si="1"/>
        <v>26.565833333333305</v>
      </c>
      <c r="D56" s="183" t="s">
        <v>434</v>
      </c>
      <c r="E56" s="183">
        <v>0</v>
      </c>
      <c r="F56" s="183">
        <v>100</v>
      </c>
      <c r="G56" s="205">
        <v>0.01</v>
      </c>
      <c r="H56" s="8"/>
    </row>
    <row r="57" spans="1:8" ht="27" customHeight="1" x14ac:dyDescent="0.2">
      <c r="A57" s="20"/>
      <c r="B57" s="206" t="s">
        <v>514</v>
      </c>
      <c r="C57" s="201">
        <f t="shared" si="1"/>
        <v>0</v>
      </c>
      <c r="D57" s="183" t="s">
        <v>435</v>
      </c>
      <c r="E57" s="183">
        <v>0</v>
      </c>
      <c r="F57" s="183">
        <v>100</v>
      </c>
      <c r="G57" s="183">
        <v>0.01</v>
      </c>
      <c r="H57" s="8"/>
    </row>
    <row r="58" spans="1:8" ht="27" customHeight="1" x14ac:dyDescent="0.2">
      <c r="A58" s="20"/>
      <c r="B58" s="200" t="s">
        <v>113</v>
      </c>
      <c r="C58" s="201">
        <f t="shared" si="1"/>
        <v>3.3674999999999962</v>
      </c>
      <c r="D58" s="183" t="s">
        <v>436</v>
      </c>
      <c r="E58" s="183">
        <v>0</v>
      </c>
      <c r="F58" s="183">
        <v>100</v>
      </c>
      <c r="G58" s="205">
        <v>0.01</v>
      </c>
      <c r="H58" s="8"/>
    </row>
    <row r="59" spans="1:8" ht="27" customHeight="1" x14ac:dyDescent="0.2">
      <c r="A59" s="20"/>
      <c r="B59" s="200" t="s">
        <v>81</v>
      </c>
      <c r="C59" s="201">
        <f t="shared" si="1"/>
        <v>14.133333333333331</v>
      </c>
      <c r="D59" s="183" t="s">
        <v>437</v>
      </c>
      <c r="E59" s="183">
        <v>0</v>
      </c>
      <c r="F59" s="183">
        <v>100</v>
      </c>
      <c r="G59" s="205">
        <v>0.01</v>
      </c>
      <c r="H59" s="8"/>
    </row>
    <row r="60" spans="1:8" ht="27" customHeight="1" x14ac:dyDescent="0.2">
      <c r="A60" s="20"/>
      <c r="B60" s="200" t="s">
        <v>114</v>
      </c>
      <c r="C60" s="201">
        <f t="shared" si="1"/>
        <v>20.466666666666701</v>
      </c>
      <c r="D60" s="183" t="s">
        <v>438</v>
      </c>
      <c r="E60" s="183">
        <v>0</v>
      </c>
      <c r="F60" s="183">
        <v>100</v>
      </c>
      <c r="G60" s="205">
        <v>0.01</v>
      </c>
      <c r="H60" s="8"/>
    </row>
    <row r="61" spans="1:8" ht="27" customHeight="1" x14ac:dyDescent="0.2">
      <c r="A61" s="20"/>
      <c r="B61" s="200" t="s">
        <v>115</v>
      </c>
      <c r="C61" s="201">
        <f t="shared" si="1"/>
        <v>16.333333333333329</v>
      </c>
      <c r="D61" s="183" t="s">
        <v>439</v>
      </c>
      <c r="E61" s="183">
        <v>0</v>
      </c>
      <c r="F61" s="183">
        <v>100</v>
      </c>
      <c r="G61" s="205">
        <v>0.01</v>
      </c>
      <c r="H61" s="8"/>
    </row>
    <row r="62" spans="1:8" ht="27" customHeight="1" x14ac:dyDescent="0.2">
      <c r="A62" s="20"/>
      <c r="B62" s="207" t="s">
        <v>131</v>
      </c>
      <c r="C62" s="201">
        <f t="shared" si="1"/>
        <v>1.93333333333333</v>
      </c>
      <c r="D62" s="183" t="s">
        <v>473</v>
      </c>
      <c r="E62" s="183">
        <v>0</v>
      </c>
      <c r="F62" s="183">
        <v>100</v>
      </c>
      <c r="G62" s="205">
        <v>0.01</v>
      </c>
      <c r="H62" s="8"/>
    </row>
    <row r="63" spans="1:8" ht="27" customHeight="1" x14ac:dyDescent="0.2">
      <c r="A63" s="20"/>
      <c r="B63" s="207" t="s">
        <v>86</v>
      </c>
      <c r="C63" s="201">
        <f t="shared" ref="C63:C64" si="2">D15*100</f>
        <v>90</v>
      </c>
      <c r="D63" s="183" t="s">
        <v>522</v>
      </c>
      <c r="E63" s="183">
        <v>0</v>
      </c>
      <c r="F63" s="183">
        <v>100</v>
      </c>
      <c r="G63" s="205">
        <v>0.01</v>
      </c>
      <c r="H63" s="8"/>
    </row>
    <row r="64" spans="1:8" ht="27" customHeight="1" x14ac:dyDescent="0.2">
      <c r="A64" s="20"/>
      <c r="B64" s="207" t="s">
        <v>87</v>
      </c>
      <c r="C64" s="201">
        <f t="shared" si="2"/>
        <v>43</v>
      </c>
      <c r="D64" s="191" t="s">
        <v>132</v>
      </c>
      <c r="E64" s="191">
        <v>0</v>
      </c>
      <c r="F64" s="191">
        <v>100</v>
      </c>
      <c r="G64" s="208">
        <v>0.01</v>
      </c>
      <c r="H64" s="8"/>
    </row>
    <row r="65" spans="1:8" ht="27" customHeight="1" x14ac:dyDescent="0.2">
      <c r="A65" s="20"/>
      <c r="B65" s="209" t="s">
        <v>401</v>
      </c>
      <c r="C65" s="210">
        <f>C17*100</f>
        <v>11</v>
      </c>
      <c r="D65" s="183" t="s">
        <v>408</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25"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145</v>
      </c>
      <c r="C1" s="29"/>
      <c r="H1" s="8"/>
    </row>
    <row r="2" spans="1:8" ht="63" customHeight="1" x14ac:dyDescent="0.2">
      <c r="A2" s="250"/>
      <c r="B2" s="251" t="s">
        <v>146</v>
      </c>
      <c r="C2" s="252" t="s">
        <v>527</v>
      </c>
      <c r="D2" s="253"/>
      <c r="H2" s="8"/>
    </row>
    <row r="3" spans="1:8" ht="18.75" customHeight="1" x14ac:dyDescent="0.2">
      <c r="A3" s="254"/>
      <c r="B3" s="255" t="s">
        <v>0</v>
      </c>
      <c r="C3" s="256" t="s">
        <v>1</v>
      </c>
      <c r="D3" s="268" t="s">
        <v>528</v>
      </c>
      <c r="E3" s="11"/>
      <c r="F3" s="11"/>
      <c r="G3" s="11"/>
      <c r="H3" s="11" t="s">
        <v>6</v>
      </c>
    </row>
    <row r="4" spans="1:8" ht="40.5" customHeight="1" x14ac:dyDescent="0.2">
      <c r="A4" s="456" t="s">
        <v>529</v>
      </c>
      <c r="B4" s="173" t="s">
        <v>74</v>
      </c>
      <c r="C4" s="244">
        <v>0.16200000000000001</v>
      </c>
      <c r="D4" s="216">
        <f t="shared" ref="D4:D14" si="0">IF($C$19&lt;&gt;0,C4/$C$19*(1-$C$17),0)</f>
        <v>0.12474</v>
      </c>
      <c r="H4" s="12" t="s">
        <v>75</v>
      </c>
    </row>
    <row r="5" spans="1:8" ht="32.25" customHeight="1" x14ac:dyDescent="0.2">
      <c r="A5" s="457"/>
      <c r="B5" s="173" t="s">
        <v>76</v>
      </c>
      <c r="C5" s="243">
        <v>1.2E-2</v>
      </c>
      <c r="D5" s="216">
        <f t="shared" si="0"/>
        <v>9.2399999999999999E-3</v>
      </c>
      <c r="H5" s="12"/>
    </row>
    <row r="6" spans="1:8" ht="33" customHeight="1" x14ac:dyDescent="0.2">
      <c r="A6" s="457"/>
      <c r="B6" s="173" t="s">
        <v>77</v>
      </c>
      <c r="C6" s="243">
        <v>2E-3</v>
      </c>
      <c r="D6" s="216">
        <f t="shared" si="0"/>
        <v>1.5400000000000001E-3</v>
      </c>
      <c r="H6" s="12"/>
    </row>
    <row r="7" spans="1:8" ht="33" customHeight="1" x14ac:dyDescent="0.2">
      <c r="A7" s="457"/>
      <c r="B7" s="173" t="s">
        <v>78</v>
      </c>
      <c r="C7" s="243">
        <v>0</v>
      </c>
      <c r="D7" s="216">
        <f t="shared" si="0"/>
        <v>0</v>
      </c>
      <c r="H7" s="12"/>
    </row>
    <row r="8" spans="1:8" ht="33" customHeight="1" x14ac:dyDescent="0.2">
      <c r="A8" s="457"/>
      <c r="B8" s="174" t="s">
        <v>147</v>
      </c>
      <c r="C8" s="243">
        <v>0.104</v>
      </c>
      <c r="D8" s="216">
        <f t="shared" si="0"/>
        <v>8.0079999999999998E-2</v>
      </c>
      <c r="H8" s="12"/>
    </row>
    <row r="9" spans="1:8" ht="33" customHeight="1" x14ac:dyDescent="0.2">
      <c r="A9" s="457"/>
      <c r="B9" s="174" t="s">
        <v>518</v>
      </c>
      <c r="C9" s="243">
        <v>0</v>
      </c>
      <c r="D9" s="216">
        <f t="shared" si="0"/>
        <v>0</v>
      </c>
      <c r="H9" s="12"/>
    </row>
    <row r="10" spans="1:8" ht="53.25" customHeight="1" x14ac:dyDescent="0.2">
      <c r="A10" s="457"/>
      <c r="B10" s="174" t="s">
        <v>148</v>
      </c>
      <c r="C10" s="243">
        <v>1.7000000000000001E-2</v>
      </c>
      <c r="D10" s="216">
        <f t="shared" si="0"/>
        <v>1.3090000000000001E-2</v>
      </c>
      <c r="H10" s="12"/>
    </row>
    <row r="11" spans="1:8" ht="30" customHeight="1" x14ac:dyDescent="0.2">
      <c r="A11" s="457"/>
      <c r="B11" s="174" t="s">
        <v>149</v>
      </c>
      <c r="C11" s="243">
        <v>0.224</v>
      </c>
      <c r="D11" s="216">
        <f t="shared" si="0"/>
        <v>0.17247999999999999</v>
      </c>
      <c r="H11" s="459"/>
    </row>
    <row r="12" spans="1:8" ht="30" customHeight="1" x14ac:dyDescent="0.2">
      <c r="A12" s="457"/>
      <c r="B12" s="174" t="s">
        <v>150</v>
      </c>
      <c r="C12" s="243">
        <v>8.3000000000000004E-2</v>
      </c>
      <c r="D12" s="216">
        <f t="shared" si="0"/>
        <v>6.3910000000000008E-2</v>
      </c>
      <c r="H12" s="460"/>
    </row>
    <row r="13" spans="1:8" ht="56.25" customHeight="1" x14ac:dyDescent="0.2">
      <c r="A13" s="457"/>
      <c r="B13" s="174" t="s">
        <v>151</v>
      </c>
      <c r="C13" s="243">
        <v>0.36299999999999999</v>
      </c>
      <c r="D13" s="216">
        <f t="shared" si="0"/>
        <v>0.27950999999999998</v>
      </c>
      <c r="E13" s="129" t="s">
        <v>511</v>
      </c>
      <c r="H13" s="158"/>
    </row>
    <row r="14" spans="1:8" ht="18.75" customHeight="1" x14ac:dyDescent="0.2">
      <c r="A14" s="458"/>
      <c r="B14" s="175" t="s">
        <v>152</v>
      </c>
      <c r="C14" s="243">
        <v>3.3000000000000002E-2</v>
      </c>
      <c r="D14" s="216">
        <f t="shared" si="0"/>
        <v>2.5410000000000002E-2</v>
      </c>
      <c r="F14" s="116"/>
      <c r="G14" s="116"/>
      <c r="H14" s="12"/>
    </row>
    <row r="15" spans="1:8" ht="18.75" customHeight="1" x14ac:dyDescent="0.2">
      <c r="A15" s="236"/>
      <c r="B15" s="167" t="s">
        <v>153</v>
      </c>
      <c r="C15" s="115">
        <v>1</v>
      </c>
      <c r="D15" s="245">
        <f>C15</f>
        <v>1</v>
      </c>
      <c r="E15" s="129" t="s">
        <v>512</v>
      </c>
      <c r="H15" s="12"/>
    </row>
    <row r="16" spans="1:8" ht="18.75" customHeight="1" x14ac:dyDescent="0.2">
      <c r="A16" s="236"/>
      <c r="B16" s="167" t="s">
        <v>154</v>
      </c>
      <c r="C16" s="115">
        <v>0.42599999999999999</v>
      </c>
      <c r="D16" s="245">
        <f>C16</f>
        <v>0.42599999999999999</v>
      </c>
      <c r="E16" s="129" t="s">
        <v>512</v>
      </c>
      <c r="H16" s="12"/>
    </row>
    <row r="17" spans="1:8" ht="27" customHeight="1" x14ac:dyDescent="0.2">
      <c r="A17" s="239"/>
      <c r="B17" s="240" t="s">
        <v>401</v>
      </c>
      <c r="C17" s="220">
        <v>0.23</v>
      </c>
      <c r="D17" s="226">
        <f>C17</f>
        <v>0.23</v>
      </c>
      <c r="H17" s="8"/>
    </row>
    <row r="18" spans="1:8" ht="16.5" customHeight="1" x14ac:dyDescent="0.2">
      <c r="A18" s="20"/>
      <c r="B18" s="12"/>
      <c r="C18" s="129" t="s">
        <v>536</v>
      </c>
      <c r="D18" s="8"/>
    </row>
    <row r="19" spans="1:8" ht="16.5" customHeight="1" x14ac:dyDescent="0.2">
      <c r="A19" s="20"/>
      <c r="B19" s="12" t="s">
        <v>403</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539</v>
      </c>
      <c r="C23" s="13"/>
      <c r="D23" s="8"/>
    </row>
    <row r="24" spans="1:8" ht="16.5" customHeight="1" x14ac:dyDescent="0.2">
      <c r="A24" s="20"/>
      <c r="B24" s="381" t="s">
        <v>117</v>
      </c>
      <c r="C24" s="382" t="s">
        <v>155</v>
      </c>
      <c r="D24" s="383"/>
    </row>
    <row r="25" spans="1:8" ht="16.5" customHeight="1" x14ac:dyDescent="0.2">
      <c r="A25" s="20"/>
      <c r="B25" s="333" t="s">
        <v>33</v>
      </c>
      <c r="C25" s="368">
        <f>$C$43*$D$8</f>
        <v>469611.21005852788</v>
      </c>
      <c r="D25" s="384" t="s">
        <v>156</v>
      </c>
    </row>
    <row r="26" spans="1:8" ht="14.25" customHeight="1" x14ac:dyDescent="0.2">
      <c r="B26" s="333" t="s">
        <v>35</v>
      </c>
      <c r="C26" s="366">
        <v>0</v>
      </c>
      <c r="D26" s="335" t="s">
        <v>157</v>
      </c>
    </row>
    <row r="27" spans="1:8" ht="16.5" customHeight="1" x14ac:dyDescent="0.2">
      <c r="A27" s="20"/>
      <c r="B27" s="333" t="s">
        <v>37</v>
      </c>
      <c r="C27" s="368">
        <f>$C$43*$D$12</f>
        <v>374785.86956594058</v>
      </c>
      <c r="D27" s="384" t="s">
        <v>158</v>
      </c>
    </row>
    <row r="28" spans="1:8" ht="16.5" customHeight="1" x14ac:dyDescent="0.2">
      <c r="A28" s="20"/>
      <c r="B28" s="333" t="s">
        <v>39</v>
      </c>
      <c r="C28" s="368">
        <f>$C$43*D10</f>
        <v>76763.370874951681</v>
      </c>
      <c r="D28" s="384" t="s">
        <v>159</v>
      </c>
    </row>
    <row r="29" spans="1:8" ht="16.5" customHeight="1" x14ac:dyDescent="0.2">
      <c r="A29" s="20"/>
      <c r="B29" s="333" t="s">
        <v>41</v>
      </c>
      <c r="C29" s="368">
        <f>D4*$C$43*C16</f>
        <v>311623.16181306855</v>
      </c>
      <c r="D29" s="385" t="s">
        <v>92</v>
      </c>
    </row>
    <row r="30" spans="1:8" ht="16.5" customHeight="1" x14ac:dyDescent="0.2">
      <c r="A30" s="20"/>
      <c r="B30" s="333" t="s">
        <v>43</v>
      </c>
      <c r="C30" s="368">
        <f>D5*$C$43*C16</f>
        <v>23083.197171338408</v>
      </c>
      <c r="D30" s="385" t="s">
        <v>93</v>
      </c>
    </row>
    <row r="31" spans="1:8" ht="16.5" customHeight="1" x14ac:dyDescent="0.2">
      <c r="A31" s="20"/>
      <c r="B31" s="333" t="s">
        <v>44</v>
      </c>
      <c r="C31" s="368">
        <f>D6*$C$43*C16</f>
        <v>3847.1995285564017</v>
      </c>
      <c r="D31" s="385" t="s">
        <v>94</v>
      </c>
    </row>
    <row r="32" spans="1:8" ht="16.5" customHeight="1" x14ac:dyDescent="0.2">
      <c r="A32" s="20"/>
      <c r="B32" s="333" t="s">
        <v>45</v>
      </c>
      <c r="C32" s="368">
        <f>D7*$C$43*C16</f>
        <v>0</v>
      </c>
      <c r="D32" s="385" t="s">
        <v>95</v>
      </c>
    </row>
    <row r="33" spans="1:8" ht="16.5" customHeight="1" x14ac:dyDescent="0.2">
      <c r="A33" s="20"/>
      <c r="B33" s="333" t="s">
        <v>46</v>
      </c>
      <c r="C33" s="368">
        <f>D17*C$43*C15</f>
        <v>1348783.4454727951</v>
      </c>
      <c r="D33" s="385" t="s">
        <v>96</v>
      </c>
      <c r="G33" s="112">
        <f>SUM(Lodges!C29,Restaurants!C28,SUM(Households!C31:D31),NatParkPA!C29,Tourism!C28,ComRevSh!C28)/(1-C10-C8-C11-C12)</f>
        <v>6873505.4209697507</v>
      </c>
    </row>
    <row r="34" spans="1:8" ht="16.5" customHeight="1" x14ac:dyDescent="0.2">
      <c r="A34" s="20"/>
      <c r="B34" s="333" t="s">
        <v>48</v>
      </c>
      <c r="C34" s="386">
        <v>0</v>
      </c>
      <c r="D34" s="385" t="s">
        <v>160</v>
      </c>
      <c r="G34" s="112">
        <f>SUM(Lodges!C29,Restaurants!C28,SUM(Households!C31:D31),NatParkPA!C29,Tourism!C28,ComRevSh!C28)</f>
        <v>3931645.1007946976</v>
      </c>
    </row>
    <row r="35" spans="1:8" ht="16.5" customHeight="1" x14ac:dyDescent="0.2">
      <c r="A35" s="20"/>
      <c r="B35" s="333" t="s">
        <v>50</v>
      </c>
      <c r="C35" s="386">
        <v>0</v>
      </c>
      <c r="D35" s="385" t="s">
        <v>160</v>
      </c>
      <c r="G35" s="112"/>
    </row>
    <row r="36" spans="1:8" ht="16.5" customHeight="1" x14ac:dyDescent="0.2">
      <c r="A36" s="20"/>
      <c r="B36" s="333" t="s">
        <v>51</v>
      </c>
      <c r="C36" s="386">
        <v>0</v>
      </c>
      <c r="D36" s="385" t="s">
        <v>161</v>
      </c>
      <c r="G36" s="112"/>
    </row>
    <row r="37" spans="1:8" ht="16.5" customHeight="1" x14ac:dyDescent="0.2">
      <c r="A37" s="20"/>
      <c r="B37" s="333" t="s">
        <v>53</v>
      </c>
      <c r="C37" s="386">
        <v>0</v>
      </c>
      <c r="D37" s="385" t="s">
        <v>162</v>
      </c>
      <c r="G37" s="112"/>
    </row>
    <row r="38" spans="1:8" ht="16.5" customHeight="1" x14ac:dyDescent="0.2">
      <c r="A38" s="20"/>
      <c r="B38" s="333" t="s">
        <v>55</v>
      </c>
      <c r="C38" s="386">
        <v>0</v>
      </c>
      <c r="D38" s="385" t="s">
        <v>163</v>
      </c>
      <c r="G38" s="112"/>
    </row>
    <row r="39" spans="1:8" ht="16.5" customHeight="1" x14ac:dyDescent="0.2">
      <c r="A39" s="20"/>
      <c r="B39" s="333" t="s">
        <v>57</v>
      </c>
      <c r="C39" s="368">
        <v>0</v>
      </c>
      <c r="D39" s="385" t="s">
        <v>164</v>
      </c>
      <c r="G39" s="112"/>
    </row>
    <row r="40" spans="1:8" ht="16.5" customHeight="1" x14ac:dyDescent="0.2">
      <c r="A40" s="20"/>
      <c r="B40" s="333" t="s">
        <v>60</v>
      </c>
      <c r="C40" s="368">
        <f>$C$43*$D$14</f>
        <v>149011.24934549443</v>
      </c>
      <c r="D40" s="385" t="s">
        <v>406</v>
      </c>
      <c r="G40" s="112"/>
    </row>
    <row r="41" spans="1:8" ht="16.5" customHeight="1" x14ac:dyDescent="0.2">
      <c r="A41" s="20"/>
      <c r="B41" s="387" t="s">
        <v>62</v>
      </c>
      <c r="C41" s="368">
        <f>$C$43*$D$13+ C43*SUM(D4:D7)*(1-D16) + C43*D17*(1-D15)</f>
        <v>2095296.8474634457</v>
      </c>
      <c r="D41" s="385" t="s">
        <v>165</v>
      </c>
      <c r="G41" s="112"/>
    </row>
    <row r="42" spans="1:8" ht="16.5" customHeight="1" x14ac:dyDescent="0.2">
      <c r="A42" s="20"/>
      <c r="B42" s="333" t="s">
        <v>64</v>
      </c>
      <c r="C42" s="388">
        <f>SUM(C25:C41)</f>
        <v>4852805.5512941182</v>
      </c>
      <c r="D42" s="385" t="s">
        <v>65</v>
      </c>
      <c r="G42" s="112"/>
    </row>
    <row r="43" spans="1:8" ht="47.25" customHeight="1" x14ac:dyDescent="0.2">
      <c r="A43" s="20"/>
      <c r="B43" s="333" t="s">
        <v>66</v>
      </c>
      <c r="C43" s="386">
        <f>SUM(Lodges!C29,Restaurants!C28,SUM(Households!C31:D31),NatParkPA!C29,Tourism!C28,ComRevSh!C28)/(1-SUM(D8:D12))</f>
        <v>5864275.849881717</v>
      </c>
      <c r="D43" s="385" t="s">
        <v>166</v>
      </c>
      <c r="F43" s="129" t="s">
        <v>399</v>
      </c>
    </row>
    <row r="44" spans="1:8" ht="16.5" customHeight="1" x14ac:dyDescent="0.2">
      <c r="A44" s="20"/>
      <c r="B44" s="333" t="s">
        <v>68</v>
      </c>
      <c r="C44" s="386">
        <f>C43-C42</f>
        <v>1011470.2985875988</v>
      </c>
      <c r="D44" s="385" t="s">
        <v>106</v>
      </c>
    </row>
    <row r="45" spans="1:8" ht="16.5" customHeight="1" x14ac:dyDescent="0.2">
      <c r="A45" s="20"/>
      <c r="B45" s="389" t="s">
        <v>70</v>
      </c>
      <c r="C45" s="390">
        <f>C44/C43</f>
        <v>0.17248000000000005</v>
      </c>
      <c r="D45" s="391" t="s">
        <v>107</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524</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74</v>
      </c>
      <c r="C52" s="201">
        <f>C4*100</f>
        <v>16.2</v>
      </c>
      <c r="D52" s="183" t="s">
        <v>441</v>
      </c>
      <c r="E52" s="183">
        <v>0</v>
      </c>
      <c r="F52" s="183">
        <v>100</v>
      </c>
      <c r="G52" s="183">
        <v>0.01</v>
      </c>
      <c r="H52" s="8"/>
    </row>
    <row r="53" spans="1:8" ht="15.75" customHeight="1" x14ac:dyDescent="0.2">
      <c r="A53" s="20"/>
      <c r="B53" s="200" t="s">
        <v>76</v>
      </c>
      <c r="C53" s="201">
        <f t="shared" ref="C53:C62" si="1">C5*100</f>
        <v>1.2</v>
      </c>
      <c r="D53" s="183" t="s">
        <v>442</v>
      </c>
      <c r="E53" s="183">
        <v>0</v>
      </c>
      <c r="F53" s="183">
        <v>100</v>
      </c>
      <c r="G53" s="183">
        <v>0.01</v>
      </c>
      <c r="H53" s="8"/>
    </row>
    <row r="54" spans="1:8" ht="15.75" customHeight="1" x14ac:dyDescent="0.2">
      <c r="A54" s="20"/>
      <c r="B54" s="200" t="s">
        <v>77</v>
      </c>
      <c r="C54" s="201">
        <f t="shared" si="1"/>
        <v>0.2</v>
      </c>
      <c r="D54" s="183" t="s">
        <v>443</v>
      </c>
      <c r="E54" s="183">
        <v>0</v>
      </c>
      <c r="F54" s="183">
        <v>100</v>
      </c>
      <c r="G54" s="183">
        <v>0.01</v>
      </c>
      <c r="H54" s="8"/>
    </row>
    <row r="55" spans="1:8" ht="15.75" customHeight="1" x14ac:dyDescent="0.2">
      <c r="A55" s="20"/>
      <c r="B55" s="200" t="s">
        <v>78</v>
      </c>
      <c r="C55" s="201">
        <f t="shared" si="1"/>
        <v>0</v>
      </c>
      <c r="D55" s="183" t="s">
        <v>444</v>
      </c>
      <c r="E55" s="183">
        <v>0</v>
      </c>
      <c r="F55" s="183">
        <v>100</v>
      </c>
      <c r="G55" s="183">
        <v>0.01</v>
      </c>
      <c r="H55" s="8"/>
    </row>
    <row r="56" spans="1:8" ht="15.75" customHeight="1" x14ac:dyDescent="0.2">
      <c r="A56" s="20"/>
      <c r="B56" s="200" t="s">
        <v>147</v>
      </c>
      <c r="C56" s="201">
        <f t="shared" si="1"/>
        <v>10.4</v>
      </c>
      <c r="D56" s="183" t="s">
        <v>445</v>
      </c>
      <c r="E56" s="183">
        <v>0</v>
      </c>
      <c r="F56" s="183">
        <v>100</v>
      </c>
      <c r="G56" s="183">
        <v>0.01</v>
      </c>
      <c r="H56" s="8"/>
    </row>
    <row r="57" spans="1:8" ht="15.75" customHeight="1" x14ac:dyDescent="0.2">
      <c r="A57" s="20"/>
      <c r="B57" s="206" t="s">
        <v>514</v>
      </c>
      <c r="C57" s="201">
        <f t="shared" si="1"/>
        <v>0</v>
      </c>
      <c r="D57" s="183" t="s">
        <v>446</v>
      </c>
      <c r="E57" s="183">
        <v>0</v>
      </c>
      <c r="F57" s="183">
        <v>100</v>
      </c>
      <c r="G57" s="183">
        <v>0.01</v>
      </c>
      <c r="H57" s="8"/>
    </row>
    <row r="58" spans="1:8" ht="15.75" customHeight="1" x14ac:dyDescent="0.2">
      <c r="A58" s="20"/>
      <c r="B58" s="200" t="s">
        <v>148</v>
      </c>
      <c r="C58" s="201">
        <f t="shared" si="1"/>
        <v>1.7000000000000002</v>
      </c>
      <c r="D58" s="183" t="s">
        <v>447</v>
      </c>
      <c r="E58" s="183">
        <v>0</v>
      </c>
      <c r="F58" s="183">
        <v>100</v>
      </c>
      <c r="G58" s="183">
        <v>0.01</v>
      </c>
      <c r="H58" s="8"/>
    </row>
    <row r="59" spans="1:8" ht="15.75" customHeight="1" x14ac:dyDescent="0.2">
      <c r="A59" s="20"/>
      <c r="B59" s="200" t="s">
        <v>149</v>
      </c>
      <c r="C59" s="201">
        <f t="shared" si="1"/>
        <v>22.400000000000002</v>
      </c>
      <c r="D59" s="183" t="s">
        <v>448</v>
      </c>
      <c r="E59" s="183">
        <v>0</v>
      </c>
      <c r="F59" s="183">
        <v>100</v>
      </c>
      <c r="G59" s="183">
        <v>0.01</v>
      </c>
      <c r="H59" s="8"/>
    </row>
    <row r="60" spans="1:8" ht="15.75" customHeight="1" x14ac:dyDescent="0.2">
      <c r="A60" s="20"/>
      <c r="B60" s="200" t="s">
        <v>150</v>
      </c>
      <c r="C60" s="201">
        <f t="shared" si="1"/>
        <v>8.3000000000000007</v>
      </c>
      <c r="D60" s="183" t="s">
        <v>449</v>
      </c>
      <c r="E60" s="183">
        <v>0</v>
      </c>
      <c r="F60" s="183">
        <v>100</v>
      </c>
      <c r="G60" s="183">
        <v>0.01</v>
      </c>
      <c r="H60" s="8"/>
    </row>
    <row r="61" spans="1:8" ht="15.75" customHeight="1" x14ac:dyDescent="0.2">
      <c r="A61" s="20"/>
      <c r="B61" s="200" t="s">
        <v>151</v>
      </c>
      <c r="C61" s="201">
        <f t="shared" si="1"/>
        <v>36.299999999999997</v>
      </c>
      <c r="D61" s="183" t="s">
        <v>450</v>
      </c>
      <c r="E61" s="183">
        <v>0</v>
      </c>
      <c r="F61" s="183">
        <v>100</v>
      </c>
      <c r="G61" s="183">
        <v>0.01</v>
      </c>
      <c r="H61" s="8"/>
    </row>
    <row r="62" spans="1:8" ht="15.75" customHeight="1" x14ac:dyDescent="0.2">
      <c r="A62" s="20"/>
      <c r="B62" s="207" t="s">
        <v>152</v>
      </c>
      <c r="C62" s="201">
        <f t="shared" si="1"/>
        <v>3.3000000000000003</v>
      </c>
      <c r="D62" s="183" t="s">
        <v>474</v>
      </c>
      <c r="E62" s="183">
        <v>0</v>
      </c>
      <c r="F62" s="183">
        <v>100</v>
      </c>
      <c r="G62" s="183">
        <v>0.01</v>
      </c>
      <c r="H62" s="8"/>
    </row>
    <row r="63" spans="1:8" ht="15.75" customHeight="1" x14ac:dyDescent="0.2">
      <c r="A63" s="20"/>
      <c r="B63" s="207" t="s">
        <v>153</v>
      </c>
      <c r="C63" s="201">
        <f t="shared" ref="C63:C64" si="2">D15*100</f>
        <v>100</v>
      </c>
      <c r="D63" s="183" t="s">
        <v>521</v>
      </c>
      <c r="E63" s="183">
        <v>0</v>
      </c>
      <c r="F63" s="183">
        <v>100</v>
      </c>
      <c r="G63" s="183">
        <v>0.01</v>
      </c>
      <c r="H63" s="8"/>
    </row>
    <row r="64" spans="1:8" ht="15.75" customHeight="1" x14ac:dyDescent="0.2">
      <c r="A64" s="20"/>
      <c r="B64" s="207" t="s">
        <v>154</v>
      </c>
      <c r="C64" s="201">
        <f t="shared" si="2"/>
        <v>42.6</v>
      </c>
      <c r="D64" s="183" t="s">
        <v>167</v>
      </c>
      <c r="E64" s="183">
        <v>0</v>
      </c>
      <c r="F64" s="183">
        <v>100</v>
      </c>
      <c r="G64" s="183">
        <v>0.01</v>
      </c>
      <c r="H64" s="8"/>
    </row>
    <row r="65" spans="1:8" ht="15.75" customHeight="1" x14ac:dyDescent="0.2">
      <c r="A65" s="20"/>
      <c r="B65" s="209" t="s">
        <v>401</v>
      </c>
      <c r="C65" s="210">
        <f>C17*100</f>
        <v>23</v>
      </c>
      <c r="D65" s="183" t="s">
        <v>407</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16"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168</v>
      </c>
    </row>
    <row r="2" spans="1:8" ht="47.25" customHeight="1" x14ac:dyDescent="0.2">
      <c r="A2" s="247"/>
      <c r="B2" s="272" t="s">
        <v>169</v>
      </c>
      <c r="C2" s="273" t="s">
        <v>73</v>
      </c>
      <c r="D2" s="253"/>
    </row>
    <row r="3" spans="1:8" ht="26.25" customHeight="1" x14ac:dyDescent="0.2">
      <c r="A3" s="271"/>
      <c r="B3" s="261" t="s">
        <v>0</v>
      </c>
      <c r="C3" s="256" t="s">
        <v>1</v>
      </c>
      <c r="D3" s="274" t="s">
        <v>528</v>
      </c>
      <c r="E3" s="11"/>
      <c r="F3" s="11"/>
      <c r="G3" s="11"/>
      <c r="H3" s="11" t="s">
        <v>6</v>
      </c>
    </row>
    <row r="4" spans="1:8" ht="30.75" customHeight="1" x14ac:dyDescent="0.2">
      <c r="A4" s="456" t="s">
        <v>529</v>
      </c>
      <c r="B4" s="176" t="s">
        <v>74</v>
      </c>
      <c r="C4" s="212">
        <v>3.2000000000000001E-2</v>
      </c>
      <c r="D4" s="246">
        <f t="shared" ref="D4:D14" si="0">C4/$C$19*(1-$C$17)</f>
        <v>2.4E-2</v>
      </c>
      <c r="E4" s="1"/>
      <c r="F4" s="1"/>
      <c r="G4" s="1"/>
      <c r="H4" s="38" t="s">
        <v>75</v>
      </c>
    </row>
    <row r="5" spans="1:8" ht="30.75" customHeight="1" x14ac:dyDescent="0.2">
      <c r="A5" s="457"/>
      <c r="B5" s="173" t="s">
        <v>76</v>
      </c>
      <c r="C5" s="213">
        <v>8.4000000000000005E-2</v>
      </c>
      <c r="D5" s="246">
        <f t="shared" si="0"/>
        <v>6.3E-2</v>
      </c>
      <c r="E5" s="1"/>
      <c r="F5" s="1"/>
      <c r="G5" s="1"/>
      <c r="H5" s="12"/>
    </row>
    <row r="6" spans="1:8" ht="30.75" customHeight="1" x14ac:dyDescent="0.2">
      <c r="A6" s="457"/>
      <c r="B6" s="173" t="s">
        <v>77</v>
      </c>
      <c r="C6" s="213">
        <v>2.5999999999999999E-2</v>
      </c>
      <c r="D6" s="246">
        <f t="shared" si="0"/>
        <v>1.95E-2</v>
      </c>
      <c r="E6" s="1"/>
      <c r="F6" s="1"/>
      <c r="G6" s="1"/>
      <c r="H6" s="12"/>
    </row>
    <row r="7" spans="1:8" ht="30.75" customHeight="1" x14ac:dyDescent="0.2">
      <c r="A7" s="457"/>
      <c r="B7" s="173" t="s">
        <v>78</v>
      </c>
      <c r="C7" s="213">
        <v>2.1999999999999999E-2</v>
      </c>
      <c r="D7" s="246">
        <f t="shared" si="0"/>
        <v>1.6500000000000001E-2</v>
      </c>
      <c r="E7" s="1"/>
      <c r="F7" s="1"/>
      <c r="G7" s="1"/>
      <c r="H7" s="12"/>
    </row>
    <row r="8" spans="1:8" ht="39" customHeight="1" x14ac:dyDescent="0.2">
      <c r="A8" s="457"/>
      <c r="B8" s="174" t="s">
        <v>170</v>
      </c>
      <c r="C8" s="213">
        <v>0.44440500000000005</v>
      </c>
      <c r="D8" s="246">
        <f t="shared" si="0"/>
        <v>0.33330375000000001</v>
      </c>
      <c r="E8" s="1"/>
      <c r="F8" s="1"/>
      <c r="G8" s="1"/>
      <c r="H8" s="38" t="s">
        <v>82</v>
      </c>
    </row>
    <row r="9" spans="1:8" ht="39" customHeight="1" x14ac:dyDescent="0.2">
      <c r="A9" s="457"/>
      <c r="B9" s="174" t="s">
        <v>518</v>
      </c>
      <c r="C9" s="213">
        <v>0</v>
      </c>
      <c r="D9" s="246">
        <f t="shared" si="0"/>
        <v>0</v>
      </c>
      <c r="E9" s="1"/>
      <c r="F9" s="1"/>
      <c r="G9" s="1"/>
      <c r="H9" s="38"/>
    </row>
    <row r="10" spans="1:8" ht="26.25" customHeight="1" x14ac:dyDescent="0.2">
      <c r="A10" s="457"/>
      <c r="B10" s="174" t="s">
        <v>113</v>
      </c>
      <c r="C10" s="213">
        <v>7.1594999999999992E-2</v>
      </c>
      <c r="D10" s="246">
        <f t="shared" si="0"/>
        <v>5.3696249999999994E-2</v>
      </c>
      <c r="E10" s="1"/>
      <c r="F10" s="1"/>
      <c r="G10" s="1"/>
      <c r="H10" s="12"/>
    </row>
    <row r="11" spans="1:8" ht="26.25" customHeight="1" x14ac:dyDescent="0.2">
      <c r="A11" s="457"/>
      <c r="B11" s="174" t="s">
        <v>171</v>
      </c>
      <c r="C11" s="213">
        <v>7.8E-2</v>
      </c>
      <c r="D11" s="246">
        <f t="shared" si="0"/>
        <v>5.8499999999999996E-2</v>
      </c>
      <c r="E11" s="1"/>
      <c r="F11" s="1"/>
      <c r="G11" s="1"/>
      <c r="H11" s="12"/>
    </row>
    <row r="12" spans="1:8" ht="26.25" customHeight="1" x14ac:dyDescent="0.2">
      <c r="A12" s="457"/>
      <c r="B12" s="174" t="s">
        <v>114</v>
      </c>
      <c r="C12" s="213">
        <v>0.13</v>
      </c>
      <c r="D12" s="246">
        <f t="shared" si="0"/>
        <v>9.7500000000000003E-2</v>
      </c>
      <c r="E12" s="1"/>
      <c r="F12" s="1"/>
      <c r="G12" s="1"/>
      <c r="H12" s="12"/>
    </row>
    <row r="13" spans="1:8" ht="26.25" customHeight="1" x14ac:dyDescent="0.2">
      <c r="A13" s="457"/>
      <c r="B13" s="174" t="s">
        <v>172</v>
      </c>
      <c r="C13" s="213">
        <v>0.09</v>
      </c>
      <c r="D13" s="246">
        <f t="shared" si="0"/>
        <v>6.7500000000000004E-2</v>
      </c>
      <c r="E13" s="1"/>
      <c r="F13" s="1"/>
      <c r="G13" s="1"/>
      <c r="H13" s="33">
        <f>SUM(C4:C14)</f>
        <v>1</v>
      </c>
    </row>
    <row r="14" spans="1:8" ht="26.25" customHeight="1" x14ac:dyDescent="0.2">
      <c r="A14" s="458"/>
      <c r="B14" s="174" t="s">
        <v>173</v>
      </c>
      <c r="C14" s="213">
        <v>2.1999999999999999E-2</v>
      </c>
      <c r="D14" s="246">
        <f t="shared" si="0"/>
        <v>1.6500000000000001E-2</v>
      </c>
      <c r="E14" s="1"/>
      <c r="F14" s="1"/>
      <c r="G14" s="1"/>
      <c r="H14" s="12"/>
    </row>
    <row r="15" spans="1:8" ht="26.25" customHeight="1" x14ac:dyDescent="0.2">
      <c r="A15" s="247"/>
      <c r="B15" s="167" t="s">
        <v>174</v>
      </c>
      <c r="C15" s="115">
        <v>0.9</v>
      </c>
      <c r="D15" s="242">
        <f>C15</f>
        <v>0.9</v>
      </c>
      <c r="E15" s="1"/>
      <c r="F15" s="1"/>
      <c r="G15" s="1"/>
      <c r="H15" s="12"/>
    </row>
    <row r="16" spans="1:8" ht="26.25" customHeight="1" x14ac:dyDescent="0.2">
      <c r="A16" s="275"/>
      <c r="B16" s="241" t="s">
        <v>87</v>
      </c>
      <c r="C16" s="115">
        <v>0.432</v>
      </c>
      <c r="D16" s="276">
        <f>C16</f>
        <v>0.432</v>
      </c>
      <c r="E16" s="1"/>
      <c r="F16" s="1"/>
      <c r="G16" s="1"/>
      <c r="H16" s="12"/>
    </row>
    <row r="17" spans="1:9" ht="26.25" customHeight="1" x14ac:dyDescent="0.2">
      <c r="A17" s="259"/>
      <c r="B17" s="229" t="s">
        <v>401</v>
      </c>
      <c r="C17" s="113">
        <v>0.25</v>
      </c>
      <c r="D17" s="277">
        <f>C17</f>
        <v>0.25</v>
      </c>
      <c r="I17" s="12"/>
    </row>
    <row r="18" spans="1:9" ht="15.75" customHeight="1" x14ac:dyDescent="0.2">
      <c r="B18" s="12"/>
      <c r="C18" s="129" t="s">
        <v>536</v>
      </c>
    </row>
    <row r="19" spans="1:9" ht="15.75" customHeight="1" x14ac:dyDescent="0.2">
      <c r="B19" s="12" t="s">
        <v>403</v>
      </c>
      <c r="C19" s="114">
        <f>SUM(C4:C14)</f>
        <v>1</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539</v>
      </c>
      <c r="C23" s="38"/>
    </row>
    <row r="24" spans="1:9" ht="15.75" customHeight="1" x14ac:dyDescent="0.2">
      <c r="B24" s="360" t="s">
        <v>175</v>
      </c>
      <c r="C24" s="361" t="s">
        <v>51</v>
      </c>
      <c r="D24" s="362"/>
    </row>
    <row r="25" spans="1:9" ht="15.75" customHeight="1" x14ac:dyDescent="0.2">
      <c r="B25" s="363" t="s">
        <v>33</v>
      </c>
      <c r="C25" s="339">
        <f>$D8*$C$43</f>
        <v>3138610.4099803576</v>
      </c>
      <c r="D25" s="364" t="s">
        <v>176</v>
      </c>
    </row>
    <row r="26" spans="1:9" ht="14.25" customHeight="1" x14ac:dyDescent="0.2">
      <c r="B26" s="365" t="s">
        <v>35</v>
      </c>
      <c r="C26" s="366">
        <v>0</v>
      </c>
      <c r="D26" s="367" t="s">
        <v>177</v>
      </c>
    </row>
    <row r="27" spans="1:9" ht="15.75" customHeight="1" x14ac:dyDescent="0.2">
      <c r="B27" s="363" t="s">
        <v>37</v>
      </c>
      <c r="C27" s="339">
        <f>($D11+$D$12)*$C$43</f>
        <v>1469000.0456248566</v>
      </c>
      <c r="D27" s="364" t="s">
        <v>178</v>
      </c>
    </row>
    <row r="28" spans="1:9" ht="15.75" customHeight="1" x14ac:dyDescent="0.2">
      <c r="B28" s="363" t="s">
        <v>39</v>
      </c>
      <c r="C28" s="339">
        <f>$D10*$C$43</f>
        <v>505639.70320438268</v>
      </c>
      <c r="D28" s="364" t="s">
        <v>179</v>
      </c>
    </row>
    <row r="29" spans="1:9" ht="15.75" customHeight="1" x14ac:dyDescent="0.2">
      <c r="B29" s="365" t="s">
        <v>41</v>
      </c>
      <c r="C29" s="368">
        <f>D4*$C$43*C16</f>
        <v>97632.003032298162</v>
      </c>
      <c r="D29" s="369" t="s">
        <v>92</v>
      </c>
    </row>
    <row r="30" spans="1:9" ht="15.75" customHeight="1" x14ac:dyDescent="0.2">
      <c r="B30" s="365" t="s">
        <v>43</v>
      </c>
      <c r="C30" s="368">
        <f>D5*$C$43*C16</f>
        <v>256284.00795978267</v>
      </c>
      <c r="D30" s="369" t="s">
        <v>93</v>
      </c>
    </row>
    <row r="31" spans="1:9" ht="15.75" customHeight="1" x14ac:dyDescent="0.2">
      <c r="B31" s="365" t="s">
        <v>44</v>
      </c>
      <c r="C31" s="368">
        <f>D6*$C$43*C16</f>
        <v>79326.002463742261</v>
      </c>
      <c r="D31" s="369" t="s">
        <v>94</v>
      </c>
    </row>
    <row r="32" spans="1:9" ht="15.75" customHeight="1" x14ac:dyDescent="0.2">
      <c r="B32" s="365" t="s">
        <v>45</v>
      </c>
      <c r="C32" s="368">
        <f>D7*$C$43*C16</f>
        <v>67122.002084704989</v>
      </c>
      <c r="D32" s="369" t="s">
        <v>95</v>
      </c>
    </row>
    <row r="33" spans="2:5" ht="15.75" customHeight="1" x14ac:dyDescent="0.2">
      <c r="B33" s="363" t="s">
        <v>46</v>
      </c>
      <c r="C33" s="339">
        <f>D17*C43*C15</f>
        <v>2118750.0658050817</v>
      </c>
      <c r="D33" s="369" t="s">
        <v>96</v>
      </c>
    </row>
    <row r="34" spans="2:5" ht="15.75" customHeight="1" x14ac:dyDescent="0.2">
      <c r="B34" s="363" t="s">
        <v>48</v>
      </c>
      <c r="C34" s="370">
        <v>0</v>
      </c>
      <c r="D34" s="369" t="s">
        <v>180</v>
      </c>
    </row>
    <row r="35" spans="2:5" ht="15.75" customHeight="1" x14ac:dyDescent="0.2">
      <c r="B35" s="363" t="s">
        <v>50</v>
      </c>
      <c r="C35" s="370">
        <v>0</v>
      </c>
      <c r="D35" s="369" t="s">
        <v>180</v>
      </c>
    </row>
    <row r="36" spans="2:5" ht="15.75" customHeight="1" x14ac:dyDescent="0.2">
      <c r="B36" s="363" t="s">
        <v>51</v>
      </c>
      <c r="C36" s="371">
        <v>0</v>
      </c>
      <c r="D36" s="369" t="s">
        <v>181</v>
      </c>
    </row>
    <row r="37" spans="2:5" ht="15.75" customHeight="1" x14ac:dyDescent="0.2">
      <c r="B37" s="363" t="s">
        <v>53</v>
      </c>
      <c r="C37" s="371">
        <v>0</v>
      </c>
      <c r="D37" s="369" t="s">
        <v>182</v>
      </c>
    </row>
    <row r="38" spans="2:5" ht="15.75" customHeight="1" x14ac:dyDescent="0.2">
      <c r="B38" s="363" t="s">
        <v>55</v>
      </c>
      <c r="C38" s="371">
        <v>0</v>
      </c>
      <c r="D38" s="369" t="s">
        <v>183</v>
      </c>
    </row>
    <row r="39" spans="2:5" ht="15.75" customHeight="1" x14ac:dyDescent="0.2">
      <c r="B39" s="363" t="s">
        <v>57</v>
      </c>
      <c r="C39" s="371">
        <v>0</v>
      </c>
      <c r="D39" s="369" t="s">
        <v>184</v>
      </c>
    </row>
    <row r="40" spans="2:5" ht="15.75" customHeight="1" x14ac:dyDescent="0.2">
      <c r="B40" s="363" t="s">
        <v>60</v>
      </c>
      <c r="C40" s="473">
        <f>D14*C43</f>
        <v>155375.00482570598</v>
      </c>
      <c r="D40" s="372" t="s">
        <v>185</v>
      </c>
    </row>
    <row r="41" spans="2:5" ht="15.75" customHeight="1" x14ac:dyDescent="0.2">
      <c r="B41" s="373" t="s">
        <v>62</v>
      </c>
      <c r="C41" s="473">
        <f>D13*C43 + C43*SUM(D4:D7)*(1-C16) + C43*C17*(1-C15)</f>
        <v>1528927.7141527834</v>
      </c>
      <c r="D41" s="374" t="s">
        <v>186</v>
      </c>
    </row>
    <row r="42" spans="2:5" ht="15.75" customHeight="1" x14ac:dyDescent="0.2">
      <c r="B42" s="363" t="s">
        <v>64</v>
      </c>
      <c r="C42" s="339">
        <f>SUM(C25:C41)</f>
        <v>9416666.9591336958</v>
      </c>
      <c r="D42" s="372" t="s">
        <v>187</v>
      </c>
    </row>
    <row r="43" spans="2:5" ht="15.75" customHeight="1" x14ac:dyDescent="0.2">
      <c r="B43" s="363" t="s">
        <v>66</v>
      </c>
      <c r="C43" s="339">
        <f>Tourists!$C$36+SUM(Households!C39:D39) + Ag!C36 + Tourism!C36 + Nonag!C36 + Fishing!C36 + Lodges!C37 + ComRevSh!C36 + NatParkPA!C37</f>
        <v>9416666.9591336958</v>
      </c>
      <c r="D43" s="372" t="s">
        <v>188</v>
      </c>
      <c r="E43" s="43" t="s">
        <v>400</v>
      </c>
    </row>
    <row r="44" spans="2:5" ht="15.75" customHeight="1" x14ac:dyDescent="0.2">
      <c r="B44" s="363" t="s">
        <v>68</v>
      </c>
      <c r="C44" s="370">
        <f>C43-C42</f>
        <v>0</v>
      </c>
      <c r="D44" s="375"/>
    </row>
    <row r="45" spans="2:5" ht="15.75" customHeight="1" x14ac:dyDescent="0.2">
      <c r="B45" s="363" t="s">
        <v>70</v>
      </c>
      <c r="C45" s="376">
        <f>C44/C43</f>
        <v>0</v>
      </c>
      <c r="D45" s="375"/>
    </row>
    <row r="46" spans="2:5" ht="15.75" customHeight="1" x14ac:dyDescent="0.2">
      <c r="B46" s="373" t="s">
        <v>62</v>
      </c>
      <c r="C46" s="377"/>
      <c r="D46" s="375"/>
    </row>
    <row r="47" spans="2:5" ht="15.75" customHeight="1" x14ac:dyDescent="0.2">
      <c r="B47" s="378" t="s">
        <v>189</v>
      </c>
      <c r="C47" s="379"/>
      <c r="D47" s="380"/>
    </row>
    <row r="48" spans="2:5" ht="15.75" customHeight="1" x14ac:dyDescent="0.2"/>
    <row r="49" spans="2:7" ht="15.75" customHeight="1" x14ac:dyDescent="0.2"/>
    <row r="50" spans="2:7" ht="15.75" customHeight="1" x14ac:dyDescent="0.2">
      <c r="B50" s="24" t="s">
        <v>524</v>
      </c>
    </row>
    <row r="51" spans="2:7" ht="15.75" customHeight="1" x14ac:dyDescent="0.2">
      <c r="B51" s="34" t="s">
        <v>0</v>
      </c>
      <c r="C51" s="35" t="s">
        <v>1</v>
      </c>
      <c r="D51" s="36" t="s">
        <v>2</v>
      </c>
      <c r="E51" s="36" t="s">
        <v>3</v>
      </c>
      <c r="F51" s="36" t="s">
        <v>4</v>
      </c>
      <c r="G51" s="36" t="s">
        <v>5</v>
      </c>
    </row>
    <row r="52" spans="2:7" ht="15" customHeight="1" x14ac:dyDescent="0.2">
      <c r="B52" s="200" t="s">
        <v>74</v>
      </c>
      <c r="C52" s="201">
        <f>C4*100</f>
        <v>3.2</v>
      </c>
      <c r="D52" s="183" t="s">
        <v>451</v>
      </c>
      <c r="E52" s="183">
        <v>0</v>
      </c>
      <c r="F52" s="183">
        <v>100</v>
      </c>
      <c r="G52" s="183">
        <v>0.01</v>
      </c>
    </row>
    <row r="53" spans="2:7" ht="15" customHeight="1" x14ac:dyDescent="0.2">
      <c r="B53" s="200" t="s">
        <v>76</v>
      </c>
      <c r="C53" s="201">
        <f t="shared" ref="C53:C62" si="1">C5*100</f>
        <v>8.4</v>
      </c>
      <c r="D53" s="183" t="s">
        <v>452</v>
      </c>
      <c r="E53" s="183">
        <v>0</v>
      </c>
      <c r="F53" s="183">
        <v>100</v>
      </c>
      <c r="G53" s="183">
        <v>0.01</v>
      </c>
    </row>
    <row r="54" spans="2:7" ht="15" customHeight="1" x14ac:dyDescent="0.2">
      <c r="B54" s="200" t="s">
        <v>77</v>
      </c>
      <c r="C54" s="201">
        <f t="shared" si="1"/>
        <v>2.6</v>
      </c>
      <c r="D54" s="183" t="s">
        <v>453</v>
      </c>
      <c r="E54" s="183">
        <v>0</v>
      </c>
      <c r="F54" s="183">
        <v>100</v>
      </c>
      <c r="G54" s="183">
        <v>0.01</v>
      </c>
    </row>
    <row r="55" spans="2:7" ht="15" customHeight="1" x14ac:dyDescent="0.2">
      <c r="B55" s="200" t="s">
        <v>78</v>
      </c>
      <c r="C55" s="201">
        <f t="shared" si="1"/>
        <v>2.1999999999999997</v>
      </c>
      <c r="D55" s="183" t="s">
        <v>454</v>
      </c>
      <c r="E55" s="183">
        <v>0</v>
      </c>
      <c r="F55" s="183">
        <v>100</v>
      </c>
      <c r="G55" s="183">
        <v>0.01</v>
      </c>
    </row>
    <row r="56" spans="2:7" ht="15" customHeight="1" x14ac:dyDescent="0.2">
      <c r="B56" s="200" t="s">
        <v>170</v>
      </c>
      <c r="C56" s="201">
        <f t="shared" si="1"/>
        <v>44.440500000000007</v>
      </c>
      <c r="D56" s="183" t="s">
        <v>455</v>
      </c>
      <c r="E56" s="183">
        <v>0</v>
      </c>
      <c r="F56" s="183">
        <v>100</v>
      </c>
      <c r="G56" s="183">
        <v>0.01</v>
      </c>
    </row>
    <row r="57" spans="2:7" ht="15" customHeight="1" x14ac:dyDescent="0.2">
      <c r="B57" s="200" t="s">
        <v>514</v>
      </c>
      <c r="C57" s="201">
        <f t="shared" si="1"/>
        <v>0</v>
      </c>
      <c r="D57" s="183" t="s">
        <v>456</v>
      </c>
      <c r="E57" s="183">
        <v>0</v>
      </c>
      <c r="F57" s="183">
        <v>100</v>
      </c>
      <c r="G57" s="183">
        <v>0.01</v>
      </c>
    </row>
    <row r="58" spans="2:7" ht="15" customHeight="1" x14ac:dyDescent="0.2">
      <c r="B58" s="200" t="s">
        <v>113</v>
      </c>
      <c r="C58" s="201">
        <f t="shared" si="1"/>
        <v>7.1594999999999995</v>
      </c>
      <c r="D58" s="183" t="s">
        <v>457</v>
      </c>
      <c r="E58" s="183">
        <v>0</v>
      </c>
      <c r="F58" s="183">
        <v>100</v>
      </c>
      <c r="G58" s="183">
        <v>0.01</v>
      </c>
    </row>
    <row r="59" spans="2:7" ht="15" customHeight="1" x14ac:dyDescent="0.2">
      <c r="B59" s="200" t="s">
        <v>171</v>
      </c>
      <c r="C59" s="201">
        <f t="shared" si="1"/>
        <v>7.8</v>
      </c>
      <c r="D59" s="183" t="s">
        <v>458</v>
      </c>
      <c r="E59" s="183">
        <v>0</v>
      </c>
      <c r="F59" s="183">
        <v>100</v>
      </c>
      <c r="G59" s="183">
        <v>0.01</v>
      </c>
    </row>
    <row r="60" spans="2:7" ht="15" customHeight="1" x14ac:dyDescent="0.2">
      <c r="B60" s="200" t="s">
        <v>114</v>
      </c>
      <c r="C60" s="201">
        <f t="shared" si="1"/>
        <v>13</v>
      </c>
      <c r="D60" s="183" t="s">
        <v>459</v>
      </c>
      <c r="E60" s="183">
        <v>0</v>
      </c>
      <c r="F60" s="183">
        <v>100</v>
      </c>
      <c r="G60" s="183">
        <v>0.01</v>
      </c>
    </row>
    <row r="61" spans="2:7" ht="15" customHeight="1" x14ac:dyDescent="0.2">
      <c r="B61" s="200" t="s">
        <v>172</v>
      </c>
      <c r="C61" s="201">
        <f t="shared" si="1"/>
        <v>9</v>
      </c>
      <c r="D61" s="183" t="s">
        <v>460</v>
      </c>
      <c r="E61" s="183">
        <v>0</v>
      </c>
      <c r="F61" s="183">
        <v>100</v>
      </c>
      <c r="G61" s="183">
        <v>0.01</v>
      </c>
    </row>
    <row r="62" spans="2:7" ht="15" customHeight="1" x14ac:dyDescent="0.2">
      <c r="B62" s="200" t="s">
        <v>173</v>
      </c>
      <c r="C62" s="201">
        <f t="shared" si="1"/>
        <v>2.1999999999999997</v>
      </c>
      <c r="D62" s="183" t="s">
        <v>475</v>
      </c>
      <c r="E62" s="183">
        <v>0</v>
      </c>
      <c r="F62" s="183">
        <v>100</v>
      </c>
      <c r="G62" s="183">
        <v>0.01</v>
      </c>
    </row>
    <row r="63" spans="2:7" ht="15" customHeight="1" x14ac:dyDescent="0.2">
      <c r="B63" s="207" t="s">
        <v>174</v>
      </c>
      <c r="C63" s="201">
        <f t="shared" ref="C63:C64" si="2">D15*100</f>
        <v>90</v>
      </c>
      <c r="D63" s="183" t="s">
        <v>520</v>
      </c>
      <c r="E63" s="183">
        <v>0</v>
      </c>
      <c r="F63" s="183">
        <v>100</v>
      </c>
      <c r="G63" s="183">
        <v>0.01</v>
      </c>
    </row>
    <row r="64" spans="2:7" ht="15" customHeight="1" x14ac:dyDescent="0.2">
      <c r="B64" s="207" t="s">
        <v>87</v>
      </c>
      <c r="C64" s="201">
        <f t="shared" si="2"/>
        <v>43.2</v>
      </c>
      <c r="D64" s="183" t="s">
        <v>190</v>
      </c>
      <c r="E64" s="183">
        <v>0</v>
      </c>
      <c r="F64" s="183">
        <v>100</v>
      </c>
      <c r="G64" s="183">
        <v>0.01</v>
      </c>
    </row>
    <row r="65" spans="2:7" ht="15" customHeight="1" x14ac:dyDescent="0.2">
      <c r="B65" s="209" t="s">
        <v>401</v>
      </c>
      <c r="C65" s="210">
        <f>C17*100</f>
        <v>25</v>
      </c>
      <c r="D65" s="183" t="s">
        <v>409</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8" zoomScale="125" workbookViewId="0">
      <selection activeCell="C42" sqref="C42"/>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191</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192</v>
      </c>
      <c r="C2" s="249" t="s">
        <v>73</v>
      </c>
      <c r="D2" s="278"/>
      <c r="E2" s="38"/>
      <c r="F2" s="38"/>
      <c r="G2" s="38"/>
      <c r="H2" s="12" t="s">
        <v>193</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402</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56" t="s">
        <v>529</v>
      </c>
      <c r="B4" s="173" t="s">
        <v>74</v>
      </c>
      <c r="C4" s="280">
        <v>4.2727272727272697E-2</v>
      </c>
      <c r="D4" s="172">
        <f t="shared" ref="D4:D14" si="0">C4/$C$19*(1-$C$17)</f>
        <v>2.3072727272727262E-2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2">
      <c r="A5" s="457"/>
      <c r="B5" s="173" t="s">
        <v>76</v>
      </c>
      <c r="C5" s="281">
        <v>0.118181818181818</v>
      </c>
      <c r="D5" s="172">
        <f t="shared" si="0"/>
        <v>6.3818181818181732E-2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57"/>
      <c r="B6" s="173" t="s">
        <v>77</v>
      </c>
      <c r="C6" s="281">
        <v>2.9090909090909101E-2</v>
      </c>
      <c r="D6" s="172">
        <f t="shared" si="0"/>
        <v>1.5709090909090919E-2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57"/>
      <c r="B7" s="173" t="s">
        <v>78</v>
      </c>
      <c r="C7" s="281">
        <v>6.7272727272727303E-2</v>
      </c>
      <c r="D7" s="172">
        <f t="shared" si="0"/>
        <v>3.6327272727272757E-2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57"/>
      <c r="B8" s="174" t="s">
        <v>194</v>
      </c>
      <c r="C8" s="281">
        <v>0.20200227272727311</v>
      </c>
      <c r="D8" s="172">
        <f t="shared" si="0"/>
        <v>0.10908122727272751</v>
      </c>
      <c r="E8" s="38"/>
      <c r="F8" s="38"/>
      <c r="G8" s="38"/>
      <c r="H8" s="37" t="s">
        <v>195</v>
      </c>
      <c r="J8" s="38"/>
      <c r="K8" s="38"/>
      <c r="L8" s="38"/>
      <c r="M8" s="38"/>
      <c r="N8" s="38"/>
      <c r="O8" s="38"/>
      <c r="P8" s="38"/>
      <c r="Q8" s="38"/>
      <c r="R8" s="38"/>
      <c r="S8" s="38"/>
      <c r="T8" s="38"/>
      <c r="U8" s="38"/>
      <c r="V8" s="38"/>
      <c r="W8" s="38"/>
      <c r="X8" s="38"/>
      <c r="Y8" s="38"/>
      <c r="Z8" s="38"/>
    </row>
    <row r="9" spans="1:26" ht="14.25" customHeight="1" x14ac:dyDescent="0.2">
      <c r="A9" s="457"/>
      <c r="B9" s="174" t="s">
        <v>498</v>
      </c>
      <c r="C9" s="281">
        <v>3.7272727272727298E-2</v>
      </c>
      <c r="D9" s="172">
        <f t="shared" si="0"/>
        <v>2.0127272727272747E-2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57"/>
      <c r="B10" s="174" t="s">
        <v>499</v>
      </c>
      <c r="C10" s="281">
        <v>3.2543181818181881E-2</v>
      </c>
      <c r="D10" s="172">
        <f t="shared" si="0"/>
        <v>1.7573318181818221E-2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57"/>
      <c r="B11" s="174" t="s">
        <v>196</v>
      </c>
      <c r="C11" s="281">
        <v>0.146363636363636</v>
      </c>
      <c r="D11" s="172">
        <f t="shared" si="0"/>
        <v>7.903636363636346E-2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57"/>
      <c r="B12" s="174" t="s">
        <v>114</v>
      </c>
      <c r="C12" s="281">
        <v>0.12818181818181801</v>
      </c>
      <c r="D12" s="172">
        <f t="shared" si="0"/>
        <v>6.9218181818181748E-2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57"/>
      <c r="B13" s="174" t="s">
        <v>197</v>
      </c>
      <c r="C13" s="281">
        <v>0.1409090909090909</v>
      </c>
      <c r="D13" s="172">
        <f t="shared" si="0"/>
        <v>7.6090909090909112E-2</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58"/>
      <c r="B14" s="174" t="s">
        <v>198</v>
      </c>
      <c r="C14" s="281">
        <v>5.5454545454545499E-2</v>
      </c>
      <c r="D14" s="172">
        <f t="shared" si="0"/>
        <v>2.9945454545454574E-2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199</v>
      </c>
      <c r="C15" s="281">
        <v>0.36363636363636398</v>
      </c>
      <c r="D15" s="279">
        <f>C15</f>
        <v>0.36363636363636398</v>
      </c>
      <c r="E15" s="38"/>
      <c r="F15" s="38"/>
      <c r="G15" s="38"/>
      <c r="H15" s="41">
        <f>SUM(C4:C14)</f>
        <v>0.99999999999999989</v>
      </c>
      <c r="J15" s="38"/>
      <c r="K15" s="38"/>
      <c r="L15" s="38"/>
      <c r="M15" s="38"/>
      <c r="N15" s="38"/>
      <c r="O15" s="38"/>
      <c r="P15" s="38"/>
      <c r="Q15" s="38"/>
      <c r="R15" s="38"/>
      <c r="S15" s="38"/>
      <c r="T15" s="38"/>
      <c r="U15" s="38"/>
      <c r="V15" s="38"/>
      <c r="W15" s="38"/>
      <c r="X15" s="38"/>
      <c r="Y15" s="38"/>
      <c r="Z15" s="38"/>
    </row>
    <row r="16" spans="1:26" ht="14.25" customHeight="1" x14ac:dyDescent="0.2">
      <c r="A16" s="275"/>
      <c r="B16" s="241" t="s">
        <v>87</v>
      </c>
      <c r="C16" s="282">
        <v>0.513636363636364</v>
      </c>
      <c r="D16" s="283">
        <f>C16</f>
        <v>0.513636363636364</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401</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536</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403</v>
      </c>
      <c r="C19" s="114">
        <f>SUM(C4:C14)</f>
        <v>0.99999999999999989</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539</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3" t="s">
        <v>175</v>
      </c>
      <c r="C25" s="344" t="s">
        <v>53</v>
      </c>
      <c r="D25" s="345"/>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1" t="s">
        <v>33</v>
      </c>
      <c r="C26" s="422">
        <f>$D$8*$C$44</f>
        <v>3266631.9330242681</v>
      </c>
      <c r="D26" s="357" t="s">
        <v>200</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3" t="s">
        <v>35</v>
      </c>
      <c r="C27" s="474">
        <v>0</v>
      </c>
      <c r="D27" s="349" t="s">
        <v>201</v>
      </c>
    </row>
    <row r="28" spans="1:26" ht="14.25" customHeight="1" x14ac:dyDescent="0.2">
      <c r="B28" s="331" t="s">
        <v>37</v>
      </c>
      <c r="C28" s="422">
        <f>(D11+D12)*C44</f>
        <v>4439746.8245106386</v>
      </c>
      <c r="D28" s="357" t="s">
        <v>202</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1" t="s">
        <v>39</v>
      </c>
      <c r="C29" s="422">
        <f>D9*C44</f>
        <v>602747.08544681023</v>
      </c>
      <c r="D29" s="357" t="s">
        <v>203</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3" t="s">
        <v>41</v>
      </c>
      <c r="C30" s="475">
        <f>D4*$C$44*C16</f>
        <v>354899.087672728</v>
      </c>
      <c r="D30" s="351"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3" t="s">
        <v>43</v>
      </c>
      <c r="C31" s="475">
        <f>D5*$C$44*C16</f>
        <v>981635.77441392757</v>
      </c>
      <c r="D31" s="351"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3" t="s">
        <v>44</v>
      </c>
      <c r="C32" s="475">
        <f>D6*$C$44*C16</f>
        <v>241633.42139419806</v>
      </c>
      <c r="D32" s="351"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3" t="s">
        <v>45</v>
      </c>
      <c r="C33" s="475">
        <f>D7*$C$44*C16</f>
        <v>558777.28697408317</v>
      </c>
      <c r="D33" s="351"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1" t="s">
        <v>46</v>
      </c>
      <c r="C34" s="422">
        <f>D17*C44*C15</f>
        <v>5009280.2042553332</v>
      </c>
      <c r="D34" s="357" t="s">
        <v>204</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1" t="s">
        <v>48</v>
      </c>
      <c r="C35" s="424">
        <v>0</v>
      </c>
      <c r="D35" s="349" t="s">
        <v>205</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1" t="s">
        <v>50</v>
      </c>
      <c r="C36" s="424">
        <v>0</v>
      </c>
      <c r="D36" s="349" t="s">
        <v>205</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1" t="s">
        <v>51</v>
      </c>
      <c r="C37" s="422">
        <v>0</v>
      </c>
      <c r="D37" s="349" t="s">
        <v>206</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1" t="s">
        <v>53</v>
      </c>
      <c r="C38" s="422">
        <v>0</v>
      </c>
      <c r="D38" s="349" t="s">
        <v>207</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1" t="s">
        <v>55</v>
      </c>
      <c r="C39" s="422">
        <v>0</v>
      </c>
      <c r="D39" s="349" t="s">
        <v>208</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1" t="s">
        <v>57</v>
      </c>
      <c r="C40" s="422">
        <v>0</v>
      </c>
      <c r="D40" s="349" t="s">
        <v>209</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1" t="s">
        <v>60</v>
      </c>
      <c r="C41" s="422">
        <f>$D$14*$C$44</f>
        <v>896770.05395744927</v>
      </c>
      <c r="D41" s="357" t="s">
        <v>210</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6" t="s">
        <v>62</v>
      </c>
      <c r="C42" s="422">
        <f>D13*C44 + C44*SUM(D4:D7)*(1-C16)+C44*C17*(1-C15)</f>
        <v>13068397.797374872</v>
      </c>
      <c r="D42" s="358" t="s">
        <v>211</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1" t="s">
        <v>64</v>
      </c>
      <c r="C43" s="422">
        <f>SUM(C26:C42)</f>
        <v>29420519.469024308</v>
      </c>
      <c r="D43" s="357" t="s">
        <v>187</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1" t="s">
        <v>66</v>
      </c>
      <c r="C44" s="422">
        <f>Tourists!C37</f>
        <v>29946783.829787288</v>
      </c>
      <c r="D44" s="357" t="s">
        <v>212</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1" t="s">
        <v>68</v>
      </c>
      <c r="C45" s="352">
        <f>C44-C43</f>
        <v>526264.36076297984</v>
      </c>
      <c r="D45" s="345"/>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0" t="s">
        <v>70</v>
      </c>
      <c r="C46" s="342">
        <f>C45/C44</f>
        <v>1.7573318181818186E-2</v>
      </c>
      <c r="D46" s="359"/>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524</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74</v>
      </c>
      <c r="C52" s="312">
        <f>C4*100</f>
        <v>4.2727272727272698</v>
      </c>
      <c r="D52" s="313" t="s">
        <v>461</v>
      </c>
      <c r="E52" s="313">
        <v>0</v>
      </c>
      <c r="F52" s="313">
        <v>100</v>
      </c>
      <c r="G52" s="313">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76</v>
      </c>
      <c r="C53" s="312">
        <f t="shared" ref="C53:C62" si="1">C5*100</f>
        <v>11.818181818181801</v>
      </c>
      <c r="D53" s="313" t="s">
        <v>462</v>
      </c>
      <c r="E53" s="313">
        <v>0</v>
      </c>
      <c r="F53" s="313">
        <v>100</v>
      </c>
      <c r="G53" s="313">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77</v>
      </c>
      <c r="C54" s="312">
        <f t="shared" si="1"/>
        <v>2.9090909090909101</v>
      </c>
      <c r="D54" s="313" t="s">
        <v>463</v>
      </c>
      <c r="E54" s="313">
        <v>0</v>
      </c>
      <c r="F54" s="313">
        <v>100</v>
      </c>
      <c r="G54" s="313">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78</v>
      </c>
      <c r="C55" s="312">
        <f t="shared" si="1"/>
        <v>6.7272727272727302</v>
      </c>
      <c r="D55" s="313" t="s">
        <v>464</v>
      </c>
      <c r="E55" s="313">
        <v>0</v>
      </c>
      <c r="F55" s="313">
        <v>100</v>
      </c>
      <c r="G55" s="313">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194</v>
      </c>
      <c r="C56" s="312">
        <f t="shared" si="1"/>
        <v>20.200227272727311</v>
      </c>
      <c r="D56" s="313" t="s">
        <v>465</v>
      </c>
      <c r="E56" s="313">
        <v>0</v>
      </c>
      <c r="F56" s="313">
        <v>100</v>
      </c>
      <c r="G56" s="313">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515</v>
      </c>
      <c r="C57" s="312">
        <f t="shared" si="1"/>
        <v>3.7272727272727297</v>
      </c>
      <c r="D57" s="183" t="s">
        <v>466</v>
      </c>
      <c r="E57" s="183">
        <v>0</v>
      </c>
      <c r="F57" s="313">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113</v>
      </c>
      <c r="C58" s="312">
        <f t="shared" si="1"/>
        <v>3.2543181818181881</v>
      </c>
      <c r="D58" s="313" t="s">
        <v>467</v>
      </c>
      <c r="E58" s="313">
        <v>0</v>
      </c>
      <c r="F58" s="313">
        <v>100</v>
      </c>
      <c r="G58" s="313">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196</v>
      </c>
      <c r="C59" s="312">
        <f t="shared" si="1"/>
        <v>14.636363636363599</v>
      </c>
      <c r="D59" s="313" t="s">
        <v>468</v>
      </c>
      <c r="E59" s="313">
        <v>0</v>
      </c>
      <c r="F59" s="313">
        <v>100</v>
      </c>
      <c r="G59" s="313">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114</v>
      </c>
      <c r="C60" s="312">
        <f t="shared" si="1"/>
        <v>12.818181818181801</v>
      </c>
      <c r="D60" s="313" t="s">
        <v>469</v>
      </c>
      <c r="E60" s="313">
        <v>0</v>
      </c>
      <c r="F60" s="313">
        <v>100</v>
      </c>
      <c r="G60" s="313">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197</v>
      </c>
      <c r="C61" s="312">
        <f t="shared" si="1"/>
        <v>14.09090909090909</v>
      </c>
      <c r="D61" s="313" t="s">
        <v>470</v>
      </c>
      <c r="E61" s="313">
        <v>0</v>
      </c>
      <c r="F61" s="313">
        <v>100</v>
      </c>
      <c r="G61" s="313">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198</v>
      </c>
      <c r="C62" s="312">
        <f t="shared" si="1"/>
        <v>5.5454545454545503</v>
      </c>
      <c r="D62" s="313" t="s">
        <v>476</v>
      </c>
      <c r="E62" s="313">
        <v>0</v>
      </c>
      <c r="F62" s="313">
        <v>100</v>
      </c>
      <c r="G62" s="313">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199</v>
      </c>
      <c r="C63" s="312">
        <f t="shared" ref="C63:C64" si="2">D15*100</f>
        <v>36.363636363636395</v>
      </c>
      <c r="D63" s="313" t="s">
        <v>523</v>
      </c>
      <c r="E63" s="313">
        <v>0</v>
      </c>
      <c r="F63" s="313">
        <v>100</v>
      </c>
      <c r="G63" s="313">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87</v>
      </c>
      <c r="C64" s="312">
        <f t="shared" si="2"/>
        <v>51.363636363636402</v>
      </c>
      <c r="D64" s="313" t="s">
        <v>213</v>
      </c>
      <c r="E64" s="313">
        <v>0</v>
      </c>
      <c r="F64" s="313">
        <v>100</v>
      </c>
      <c r="G64" s="313">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401</v>
      </c>
      <c r="C65" s="314">
        <f>C17*100</f>
        <v>46</v>
      </c>
      <c r="D65" s="183" t="s">
        <v>410</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C18" sqref="C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214</v>
      </c>
    </row>
    <row r="2" spans="1:7" ht="26.25" customHeight="1" x14ac:dyDescent="0.2">
      <c r="A2" s="5"/>
      <c r="B2" s="1" t="s">
        <v>215</v>
      </c>
    </row>
    <row r="3" spans="1:7" ht="26.25" customHeight="1" x14ac:dyDescent="0.2">
      <c r="B3" s="166" t="s">
        <v>0</v>
      </c>
      <c r="C3" s="170" t="s">
        <v>1</v>
      </c>
      <c r="E3" s="11"/>
      <c r="F3" s="11"/>
      <c r="G3" s="11"/>
    </row>
    <row r="4" spans="1:7" ht="26.25" customHeight="1" x14ac:dyDescent="0.2">
      <c r="A4" s="165"/>
      <c r="B4" s="284" t="s">
        <v>216</v>
      </c>
      <c r="C4" s="285">
        <f>NatParkPA!C41</f>
        <v>625555.03999999992</v>
      </c>
      <c r="D4" s="129" t="s">
        <v>533</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534</v>
      </c>
      <c r="C7" s="296" t="s">
        <v>535</v>
      </c>
    </row>
    <row r="8" spans="1:7" ht="37.5" customHeight="1" x14ac:dyDescent="0.2">
      <c r="A8" s="247"/>
      <c r="B8" s="166" t="s">
        <v>0</v>
      </c>
      <c r="C8" s="170" t="s">
        <v>1</v>
      </c>
      <c r="D8" s="165"/>
      <c r="E8" s="11"/>
      <c r="F8" s="286" t="s">
        <v>530</v>
      </c>
      <c r="G8" s="286"/>
    </row>
    <row r="9" spans="1:7" ht="34.5" customHeight="1" x14ac:dyDescent="0.2">
      <c r="A9" s="456" t="s">
        <v>531</v>
      </c>
      <c r="B9" s="173" t="s">
        <v>500</v>
      </c>
      <c r="C9" s="213">
        <v>0.28533260270388516</v>
      </c>
      <c r="D9" s="12"/>
      <c r="F9" s="287">
        <v>62254.150565008706</v>
      </c>
      <c r="G9" s="288">
        <f>F9/SUM($F$9:$F$17)</f>
        <v>7.3913043478260859E-2</v>
      </c>
    </row>
    <row r="10" spans="1:7" ht="34.5" customHeight="1" x14ac:dyDescent="0.2">
      <c r="A10" s="457"/>
      <c r="B10" s="173" t="s">
        <v>501</v>
      </c>
      <c r="C10" s="213">
        <v>3.3372234234372536E-2</v>
      </c>
      <c r="D10" s="459"/>
      <c r="F10" s="287">
        <v>29296.070854121743</v>
      </c>
      <c r="G10" s="288">
        <f t="shared" ref="G10:G18" si="0">F10/SUM($F$9:$F$17)</f>
        <v>3.4782608695652167E-2</v>
      </c>
    </row>
    <row r="11" spans="1:7" ht="30.75" customHeight="1" x14ac:dyDescent="0.2">
      <c r="A11" s="457"/>
      <c r="B11" s="173" t="s">
        <v>502</v>
      </c>
      <c r="C11" s="213">
        <v>0.14850644234295776</v>
      </c>
      <c r="D11" s="460"/>
      <c r="F11" s="287">
        <v>274650.66425739136</v>
      </c>
      <c r="G11" s="288">
        <f t="shared" si="0"/>
        <v>0.32608695652173914</v>
      </c>
    </row>
    <row r="12" spans="1:7" ht="30.75" customHeight="1" x14ac:dyDescent="0.2">
      <c r="A12" s="457"/>
      <c r="B12" s="173" t="s">
        <v>503</v>
      </c>
      <c r="C12" s="213">
        <v>0</v>
      </c>
      <c r="D12" s="460"/>
      <c r="F12" s="287">
        <v>0</v>
      </c>
      <c r="G12" s="288">
        <f t="shared" si="0"/>
        <v>0</v>
      </c>
    </row>
    <row r="13" spans="1:7" ht="30.75" customHeight="1" x14ac:dyDescent="0.2">
      <c r="A13" s="457"/>
      <c r="B13" s="173" t="s">
        <v>504</v>
      </c>
      <c r="C13" s="213">
        <v>0</v>
      </c>
      <c r="D13" s="460"/>
      <c r="F13" s="287">
        <v>0</v>
      </c>
      <c r="G13" s="288">
        <f t="shared" si="0"/>
        <v>0</v>
      </c>
    </row>
    <row r="14" spans="1:7" ht="27" customHeight="1" x14ac:dyDescent="0.2">
      <c r="A14" s="457"/>
      <c r="B14" s="173" t="s">
        <v>505</v>
      </c>
      <c r="C14" s="213">
        <v>1.6686117117186268E-2</v>
      </c>
      <c r="D14" s="12"/>
      <c r="F14" s="287">
        <v>91550.221419130437</v>
      </c>
      <c r="G14" s="288">
        <f t="shared" si="0"/>
        <v>0.10869565217391303</v>
      </c>
    </row>
    <row r="15" spans="1:7" ht="26.25" customHeight="1" x14ac:dyDescent="0.2">
      <c r="A15" s="457"/>
      <c r="B15" s="173" t="s">
        <v>506</v>
      </c>
      <c r="C15" s="213">
        <v>0</v>
      </c>
      <c r="D15" s="459"/>
      <c r="F15" s="287">
        <v>0</v>
      </c>
      <c r="G15" s="288">
        <f t="shared" si="0"/>
        <v>0</v>
      </c>
    </row>
    <row r="16" spans="1:7" ht="26.25" customHeight="1" x14ac:dyDescent="0.2">
      <c r="A16" s="457"/>
      <c r="B16" s="173" t="s">
        <v>507</v>
      </c>
      <c r="C16" s="213">
        <v>1.6686117117186267E-3</v>
      </c>
      <c r="D16" s="460"/>
      <c r="F16" s="287">
        <v>36620.088567652172</v>
      </c>
      <c r="G16" s="288">
        <f t="shared" si="0"/>
        <v>4.3478260869565202E-2</v>
      </c>
    </row>
    <row r="17" spans="1:8" ht="33" customHeight="1" x14ac:dyDescent="0.2">
      <c r="A17" s="457"/>
      <c r="B17" s="173" t="s">
        <v>508</v>
      </c>
      <c r="C17" s="213">
        <v>0.51443399188987959</v>
      </c>
      <c r="D17" s="460"/>
      <c r="F17" s="287">
        <v>347890.84139269573</v>
      </c>
      <c r="G17" s="288">
        <f t="shared" si="0"/>
        <v>0.41304347826086957</v>
      </c>
    </row>
    <row r="18" spans="1:8" ht="20.25" customHeight="1" x14ac:dyDescent="0.2">
      <c r="A18" s="458"/>
      <c r="B18" s="173" t="s">
        <v>509</v>
      </c>
      <c r="C18" s="213">
        <v>0</v>
      </c>
      <c r="D18" s="460"/>
      <c r="F18" s="289"/>
      <c r="G18" s="288">
        <f t="shared" si="0"/>
        <v>0</v>
      </c>
    </row>
    <row r="19" spans="1:8" ht="20.25" customHeight="1" x14ac:dyDescent="0.2">
      <c r="A19" s="247"/>
      <c r="B19" s="290" t="s">
        <v>220</v>
      </c>
      <c r="C19" s="291">
        <v>1</v>
      </c>
      <c r="D19" s="46"/>
    </row>
    <row r="20" spans="1:8" ht="20.25" customHeight="1" x14ac:dyDescent="0.2">
      <c r="C20" s="129" t="s">
        <v>536</v>
      </c>
      <c r="H20" s="51"/>
    </row>
    <row r="21" spans="1:8" ht="26.25" customHeight="1" x14ac:dyDescent="0.2">
      <c r="B21" s="295" t="s">
        <v>532</v>
      </c>
      <c r="C21" s="292">
        <f>SUM(C9:C18)</f>
        <v>0.99999999999999989</v>
      </c>
      <c r="D21" s="51"/>
    </row>
    <row r="22" spans="1:8" ht="15.75" customHeight="1" x14ac:dyDescent="0.2">
      <c r="B22" s="12"/>
      <c r="D22" s="53"/>
    </row>
    <row r="23" spans="1:8" ht="15.75" customHeight="1" x14ac:dyDescent="0.2">
      <c r="B23" s="158" t="s">
        <v>539</v>
      </c>
      <c r="D23" s="53"/>
    </row>
    <row r="24" spans="1:8" ht="15.75" customHeight="1" x14ac:dyDescent="0.2">
      <c r="B24" s="343" t="s">
        <v>175</v>
      </c>
      <c r="C24" s="344" t="s">
        <v>221</v>
      </c>
      <c r="D24" s="345"/>
    </row>
    <row r="25" spans="1:8" ht="15.75" customHeight="1" x14ac:dyDescent="0.2">
      <c r="B25" s="331" t="s">
        <v>33</v>
      </c>
      <c r="C25" s="346">
        <f>C14*C4</f>
        <v>10438.08466068614</v>
      </c>
      <c r="D25" s="347" t="s">
        <v>222</v>
      </c>
    </row>
    <row r="26" spans="1:8" ht="14.25" customHeight="1" x14ac:dyDescent="0.2">
      <c r="B26" s="333" t="s">
        <v>35</v>
      </c>
      <c r="C26" s="348">
        <v>0</v>
      </c>
      <c r="D26" s="349" t="s">
        <v>223</v>
      </c>
    </row>
    <row r="27" spans="1:8" ht="15.75" customHeight="1" x14ac:dyDescent="0.2">
      <c r="B27" s="331" t="s">
        <v>37</v>
      </c>
      <c r="C27" s="346">
        <f>SUM(C16:C17)*C4</f>
        <v>322850.58484010189</v>
      </c>
      <c r="D27" s="347" t="s">
        <v>224</v>
      </c>
    </row>
    <row r="28" spans="1:8" ht="15.75" customHeight="1" x14ac:dyDescent="0.2">
      <c r="B28" s="331" t="s">
        <v>39</v>
      </c>
      <c r="C28" s="346">
        <f>C15*C4</f>
        <v>0</v>
      </c>
      <c r="D28" s="347" t="s">
        <v>225</v>
      </c>
    </row>
    <row r="29" spans="1:8" ht="15.75" customHeight="1" x14ac:dyDescent="0.2">
      <c r="B29" s="333" t="s">
        <v>41</v>
      </c>
      <c r="C29" s="350">
        <f>C9*C4</f>
        <v>178491.24769773296</v>
      </c>
      <c r="D29" s="351" t="s">
        <v>92</v>
      </c>
    </row>
    <row r="30" spans="1:8" ht="15.75" customHeight="1" x14ac:dyDescent="0.2">
      <c r="B30" s="333" t="s">
        <v>43</v>
      </c>
      <c r="C30" s="350">
        <f>C10*C4</f>
        <v>20876.169321372279</v>
      </c>
      <c r="D30" s="351" t="s">
        <v>93</v>
      </c>
    </row>
    <row r="31" spans="1:8" ht="15.75" customHeight="1" x14ac:dyDescent="0.2">
      <c r="B31" s="333" t="s">
        <v>44</v>
      </c>
      <c r="C31" s="350">
        <f>C11*C4</f>
        <v>92898.953480106618</v>
      </c>
      <c r="D31" s="351" t="s">
        <v>94</v>
      </c>
    </row>
    <row r="32" spans="1:8" ht="15.75" customHeight="1" x14ac:dyDescent="0.2">
      <c r="B32" s="333" t="s">
        <v>45</v>
      </c>
      <c r="C32" s="350">
        <f>C12*C4</f>
        <v>0</v>
      </c>
      <c r="D32" s="351" t="s">
        <v>95</v>
      </c>
    </row>
    <row r="33" spans="2:5" ht="15.75" customHeight="1" x14ac:dyDescent="0.2">
      <c r="B33" s="331" t="s">
        <v>46</v>
      </c>
      <c r="C33" s="346">
        <f>C13*C4</f>
        <v>0</v>
      </c>
      <c r="D33" s="351" t="s">
        <v>96</v>
      </c>
    </row>
    <row r="34" spans="2:5" ht="15.75" customHeight="1" x14ac:dyDescent="0.2">
      <c r="B34" s="331" t="s">
        <v>48</v>
      </c>
      <c r="C34" s="352">
        <v>0</v>
      </c>
      <c r="D34" s="351" t="s">
        <v>226</v>
      </c>
    </row>
    <row r="35" spans="2:5" ht="15.75" customHeight="1" x14ac:dyDescent="0.2">
      <c r="B35" s="331" t="s">
        <v>50</v>
      </c>
      <c r="C35" s="352">
        <v>0</v>
      </c>
      <c r="D35" s="351" t="s">
        <v>226</v>
      </c>
    </row>
    <row r="36" spans="2:5" ht="15.75" customHeight="1" x14ac:dyDescent="0.2">
      <c r="B36" s="331" t="s">
        <v>51</v>
      </c>
      <c r="C36" s="353">
        <v>0</v>
      </c>
      <c r="D36" s="351" t="s">
        <v>227</v>
      </c>
    </row>
    <row r="37" spans="2:5" ht="15.75" customHeight="1" x14ac:dyDescent="0.2">
      <c r="B37" s="331" t="s">
        <v>53</v>
      </c>
      <c r="C37" s="353">
        <v>0</v>
      </c>
      <c r="D37" s="351" t="s">
        <v>228</v>
      </c>
    </row>
    <row r="38" spans="2:5" ht="15.75" customHeight="1" x14ac:dyDescent="0.2">
      <c r="B38" s="331" t="s">
        <v>55</v>
      </c>
      <c r="C38" s="353">
        <v>0</v>
      </c>
      <c r="D38" s="351" t="s">
        <v>229</v>
      </c>
    </row>
    <row r="39" spans="2:5" ht="15.75" customHeight="1" x14ac:dyDescent="0.2">
      <c r="B39" s="331" t="s">
        <v>57</v>
      </c>
      <c r="C39" s="353">
        <v>0</v>
      </c>
      <c r="D39" s="351" t="s">
        <v>227</v>
      </c>
    </row>
    <row r="40" spans="2:5" ht="15.75" customHeight="1" x14ac:dyDescent="0.2">
      <c r="B40" s="331" t="s">
        <v>58</v>
      </c>
      <c r="C40" s="346">
        <v>0</v>
      </c>
      <c r="D40" s="354"/>
    </row>
    <row r="41" spans="2:5" ht="15.75" customHeight="1" x14ac:dyDescent="0.2">
      <c r="B41" s="331" t="s">
        <v>60</v>
      </c>
      <c r="C41" s="346">
        <f>IF(C6&gt;0,C6,0)*C4</f>
        <v>0</v>
      </c>
      <c r="D41" s="354" t="s">
        <v>230</v>
      </c>
    </row>
    <row r="42" spans="2:5" ht="15.75" customHeight="1" x14ac:dyDescent="0.2">
      <c r="B42" s="336" t="s">
        <v>62</v>
      </c>
      <c r="C42" s="346">
        <f>C18</f>
        <v>0</v>
      </c>
      <c r="D42" s="355" t="s">
        <v>186</v>
      </c>
    </row>
    <row r="43" spans="2:5" ht="15.75" customHeight="1" x14ac:dyDescent="0.2">
      <c r="B43" s="331" t="s">
        <v>64</v>
      </c>
      <c r="C43" s="346">
        <f>SUM(C25:C42)</f>
        <v>625555.03999999992</v>
      </c>
      <c r="D43" s="354" t="s">
        <v>187</v>
      </c>
      <c r="E43" s="54">
        <f>C4-C45</f>
        <v>0</v>
      </c>
    </row>
    <row r="44" spans="2:5" ht="15.75" customHeight="1" x14ac:dyDescent="0.2">
      <c r="B44" s="331" t="s">
        <v>66</v>
      </c>
      <c r="C44" s="346">
        <f>C5</f>
        <v>0</v>
      </c>
      <c r="D44" s="354" t="s">
        <v>397</v>
      </c>
    </row>
    <row r="45" spans="2:5" ht="15.75" customHeight="1" x14ac:dyDescent="0.2">
      <c r="B45" s="331" t="s">
        <v>231</v>
      </c>
      <c r="C45" s="352">
        <f>-1*(C44-C43)</f>
        <v>625555.03999999992</v>
      </c>
      <c r="D45" s="345"/>
    </row>
    <row r="46" spans="2:5" ht="15.75" customHeight="1" x14ac:dyDescent="0.2">
      <c r="B46" s="331" t="s">
        <v>232</v>
      </c>
      <c r="C46" s="356">
        <f>C45/C43</f>
        <v>1</v>
      </c>
      <c r="D46" s="345"/>
    </row>
    <row r="47" spans="2:5" ht="15.75" customHeight="1" x14ac:dyDescent="0.2">
      <c r="B47" s="39" t="s">
        <v>62</v>
      </c>
      <c r="C47" s="308"/>
      <c r="D47" s="211"/>
    </row>
    <row r="48" spans="2:5" ht="15.75" customHeight="1" x14ac:dyDescent="0.2">
      <c r="B48" s="40" t="s">
        <v>189</v>
      </c>
      <c r="C48" s="309"/>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524</v>
      </c>
    </row>
    <row r="58" spans="2:8" ht="26.25" customHeight="1" x14ac:dyDescent="0.2">
      <c r="B58" s="34" t="s">
        <v>0</v>
      </c>
      <c r="C58" s="35" t="s">
        <v>1</v>
      </c>
      <c r="D58" s="36" t="s">
        <v>2</v>
      </c>
      <c r="E58" s="36" t="s">
        <v>3</v>
      </c>
      <c r="F58" s="36" t="s">
        <v>4</v>
      </c>
      <c r="G58" s="36" t="s">
        <v>5</v>
      </c>
    </row>
    <row r="59" spans="2:8" ht="26.25" customHeight="1" x14ac:dyDescent="0.2">
      <c r="B59" s="200" t="s">
        <v>74</v>
      </c>
      <c r="C59" s="312">
        <f t="shared" ref="C59:C64" si="1">C9*100</f>
        <v>28.533260270388517</v>
      </c>
      <c r="D59" s="183" t="s">
        <v>364</v>
      </c>
      <c r="E59" s="183">
        <v>0</v>
      </c>
      <c r="F59" s="183">
        <v>100</v>
      </c>
      <c r="G59" s="183">
        <v>1</v>
      </c>
      <c r="H59" s="12"/>
    </row>
    <row r="60" spans="2:8" ht="26.25" customHeight="1" x14ac:dyDescent="0.2">
      <c r="B60" s="200" t="s">
        <v>76</v>
      </c>
      <c r="C60" s="312">
        <f t="shared" si="1"/>
        <v>3.3372234234372535</v>
      </c>
      <c r="D60" s="183" t="s">
        <v>365</v>
      </c>
      <c r="E60" s="183">
        <v>0</v>
      </c>
      <c r="F60" s="183">
        <v>100</v>
      </c>
      <c r="G60" s="183">
        <v>1</v>
      </c>
      <c r="H60" s="459"/>
    </row>
    <row r="61" spans="2:8" ht="26.25" customHeight="1" x14ac:dyDescent="0.2">
      <c r="B61" s="200" t="s">
        <v>77</v>
      </c>
      <c r="C61" s="312">
        <f t="shared" si="1"/>
        <v>14.850644234295777</v>
      </c>
      <c r="D61" s="183" t="s">
        <v>366</v>
      </c>
      <c r="E61" s="183">
        <v>0</v>
      </c>
      <c r="F61" s="183">
        <v>100</v>
      </c>
      <c r="G61" s="183">
        <v>1</v>
      </c>
      <c r="H61" s="459"/>
    </row>
    <row r="62" spans="2:8" ht="26.25" customHeight="1" x14ac:dyDescent="0.2">
      <c r="B62" s="200" t="s">
        <v>78</v>
      </c>
      <c r="C62" s="312">
        <f t="shared" si="1"/>
        <v>0</v>
      </c>
      <c r="D62" s="183" t="s">
        <v>367</v>
      </c>
      <c r="E62" s="183">
        <v>0</v>
      </c>
      <c r="F62" s="183">
        <v>100</v>
      </c>
      <c r="G62" s="183">
        <v>1</v>
      </c>
      <c r="H62" s="459"/>
    </row>
    <row r="63" spans="2:8" ht="26.25" customHeight="1" x14ac:dyDescent="0.2">
      <c r="B63" s="315" t="s">
        <v>217</v>
      </c>
      <c r="C63" s="312">
        <f t="shared" si="1"/>
        <v>0</v>
      </c>
      <c r="D63" s="183" t="s">
        <v>395</v>
      </c>
      <c r="E63" s="183">
        <v>0</v>
      </c>
      <c r="F63" s="183">
        <v>100</v>
      </c>
      <c r="G63" s="183">
        <v>1</v>
      </c>
      <c r="H63" s="460"/>
    </row>
    <row r="64" spans="2:8" ht="26.25" customHeight="1" x14ac:dyDescent="0.2">
      <c r="B64" s="316" t="s">
        <v>369</v>
      </c>
      <c r="C64" s="312">
        <f t="shared" si="1"/>
        <v>1.6686117117186268</v>
      </c>
      <c r="D64" s="183" t="s">
        <v>374</v>
      </c>
      <c r="E64" s="183">
        <v>0</v>
      </c>
      <c r="F64" s="183">
        <v>100</v>
      </c>
      <c r="G64" s="183">
        <v>1</v>
      </c>
      <c r="H64" s="12"/>
    </row>
    <row r="65" spans="2:8" ht="26.25" customHeight="1" x14ac:dyDescent="0.2">
      <c r="B65" s="200" t="s">
        <v>514</v>
      </c>
      <c r="C65" s="312">
        <v>0</v>
      </c>
      <c r="D65" s="183" t="s">
        <v>368</v>
      </c>
      <c r="E65" s="183">
        <v>0</v>
      </c>
      <c r="F65" s="183">
        <v>100</v>
      </c>
      <c r="G65" s="183">
        <v>1</v>
      </c>
      <c r="H65" s="12"/>
    </row>
    <row r="66" spans="2:8" ht="26.25" customHeight="1" x14ac:dyDescent="0.2">
      <c r="B66" s="200" t="s">
        <v>370</v>
      </c>
      <c r="C66" s="312">
        <f>C15*100</f>
        <v>0</v>
      </c>
      <c r="D66" s="183" t="s">
        <v>375</v>
      </c>
      <c r="E66" s="183">
        <v>0</v>
      </c>
      <c r="F66" s="183">
        <v>100</v>
      </c>
      <c r="G66" s="183">
        <v>1</v>
      </c>
      <c r="H66" s="12"/>
    </row>
    <row r="67" spans="2:8" ht="26.25" customHeight="1" x14ac:dyDescent="0.2">
      <c r="B67" s="200" t="s">
        <v>371</v>
      </c>
      <c r="C67" s="312">
        <f t="shared" ref="C67:C69" si="2">C16*100</f>
        <v>0.16686117117186267</v>
      </c>
      <c r="D67" s="183" t="s">
        <v>376</v>
      </c>
      <c r="E67" s="183">
        <v>0</v>
      </c>
      <c r="F67" s="183">
        <v>100</v>
      </c>
      <c r="G67" s="183">
        <v>1</v>
      </c>
      <c r="H67" s="38"/>
    </row>
    <row r="68" spans="2:8" ht="26.25" customHeight="1" x14ac:dyDescent="0.2">
      <c r="B68" s="200" t="s">
        <v>372</v>
      </c>
      <c r="C68" s="312">
        <f t="shared" si="2"/>
        <v>51.443399188987961</v>
      </c>
      <c r="D68" s="183" t="s">
        <v>377</v>
      </c>
      <c r="E68" s="183">
        <v>0</v>
      </c>
      <c r="F68" s="183">
        <v>100</v>
      </c>
      <c r="G68" s="183">
        <v>1</v>
      </c>
    </row>
    <row r="69" spans="2:8" ht="26.25" customHeight="1" x14ac:dyDescent="0.2">
      <c r="B69" s="200" t="s">
        <v>373</v>
      </c>
      <c r="C69" s="312">
        <f t="shared" si="2"/>
        <v>0</v>
      </c>
      <c r="D69" s="183" t="s">
        <v>378</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B1" zoomScale="108" workbookViewId="0">
      <selection activeCell="E3" sqref="E3"/>
    </sheetView>
  </sheetViews>
  <sheetFormatPr baseColWidth="10" defaultColWidth="14.5" defaultRowHeight="15" customHeight="1" x14ac:dyDescent="0.2"/>
  <cols>
    <col min="1" max="1" width="20.83203125" customWidth="1"/>
    <col min="2" max="2" width="105" customWidth="1"/>
    <col min="3" max="3" width="12.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27" t="s">
        <v>244</v>
      </c>
      <c r="C1" s="428" t="s">
        <v>245</v>
      </c>
      <c r="D1" s="428" t="s">
        <v>246</v>
      </c>
      <c r="E1" s="451" t="s">
        <v>536</v>
      </c>
      <c r="F1" s="1" t="s">
        <v>247</v>
      </c>
      <c r="H1" s="1">
        <v>590</v>
      </c>
      <c r="I1" s="1" t="s">
        <v>248</v>
      </c>
      <c r="J1" s="1" t="s">
        <v>249</v>
      </c>
    </row>
    <row r="2" spans="1:11" ht="14.25" customHeight="1" x14ac:dyDescent="0.2">
      <c r="A2" s="235"/>
      <c r="B2" s="426" t="s">
        <v>250</v>
      </c>
      <c r="C2" s="429">
        <v>70775.37000000001</v>
      </c>
      <c r="D2" s="429">
        <v>529524.63</v>
      </c>
      <c r="E2" s="451"/>
      <c r="F2" s="56">
        <v>4.2</v>
      </c>
      <c r="G2" s="57">
        <v>3.44</v>
      </c>
      <c r="H2" s="58">
        <v>0.14199999999999999</v>
      </c>
      <c r="I2" s="1" t="s">
        <v>251</v>
      </c>
      <c r="J2" s="1">
        <v>2840.6945945945945</v>
      </c>
      <c r="K2" s="1">
        <v>7820.8297297297295</v>
      </c>
    </row>
    <row r="3" spans="1:11" ht="14.25" customHeight="1" x14ac:dyDescent="0.2">
      <c r="A3" s="235"/>
      <c r="B3" s="426" t="s">
        <v>252</v>
      </c>
      <c r="C3" s="429">
        <v>12521.796038126218</v>
      </c>
      <c r="D3" s="429">
        <v>117067.13703579899</v>
      </c>
      <c r="E3" s="165"/>
    </row>
    <row r="4" spans="1:11" ht="14.25" customHeight="1" x14ac:dyDescent="0.2">
      <c r="A4" s="235"/>
      <c r="B4" s="426" t="s">
        <v>253</v>
      </c>
      <c r="C4" s="430">
        <v>207</v>
      </c>
      <c r="D4" s="430">
        <v>682</v>
      </c>
      <c r="E4" s="165"/>
      <c r="G4" s="129" t="s">
        <v>544</v>
      </c>
    </row>
    <row r="5" spans="1:11" ht="14.25" customHeight="1" x14ac:dyDescent="0.2">
      <c r="A5" s="235"/>
      <c r="B5" s="426" t="s">
        <v>254</v>
      </c>
      <c r="C5" s="430">
        <v>0</v>
      </c>
      <c r="D5" s="430">
        <v>0</v>
      </c>
      <c r="E5" s="165"/>
      <c r="F5" s="1" t="s">
        <v>255</v>
      </c>
      <c r="G5" s="1" t="s">
        <v>256</v>
      </c>
      <c r="H5" s="1"/>
    </row>
    <row r="6" spans="1:11" ht="14.25" customHeight="1" x14ac:dyDescent="0.2">
      <c r="A6" s="464"/>
      <c r="B6" s="443" t="s">
        <v>257</v>
      </c>
      <c r="C6" s="431">
        <v>0.1</v>
      </c>
      <c r="D6" s="431">
        <v>0.08</v>
      </c>
      <c r="E6" s="463" t="s">
        <v>258</v>
      </c>
      <c r="F6" s="1" t="s">
        <v>259</v>
      </c>
      <c r="G6" s="444" t="s">
        <v>41</v>
      </c>
      <c r="H6" s="444" t="s">
        <v>44</v>
      </c>
      <c r="I6" s="444" t="s">
        <v>43</v>
      </c>
      <c r="J6" s="444" t="s">
        <v>45</v>
      </c>
      <c r="K6" s="445" t="s">
        <v>260</v>
      </c>
    </row>
    <row r="7" spans="1:11" ht="14.25" customHeight="1" x14ac:dyDescent="0.2">
      <c r="A7" s="465"/>
      <c r="B7" s="443" t="s">
        <v>261</v>
      </c>
      <c r="C7" s="431">
        <v>0.05</v>
      </c>
      <c r="D7" s="431">
        <v>0.08</v>
      </c>
      <c r="E7" s="463"/>
      <c r="F7" s="59" t="s">
        <v>48</v>
      </c>
      <c r="G7" s="446">
        <f>$C$6/SUM($C$6:$C$11)*$C$2*$C$4/($C$6/SUM($C$6:$C$11)*$C$2*$C$4+$D$6/SUM($D$6:$D$11)*$D$2*$D$4)</f>
        <v>3.7248170255649138E-2</v>
      </c>
      <c r="H7" s="446">
        <f>$C$7/SUM($C$6:$C$11)*$C$2*$C$4/($C$7/SUM($C$6:$C$11)*$C$2*$C$4+$D$7/SUM($D$6:$D$11)*$D$2*$D$4)</f>
        <v>1.8977524153168522E-2</v>
      </c>
      <c r="I7" s="446">
        <f>$C$8/SUM($C$6:$C$11)*$C$2*$C$4/($C$8/SUM($C$6:$C$11)*$C$2*$C$4+$D$8/SUM($D$6:$D$11)*$D$2*$D$4)</f>
        <v>7.1821134659545607E-2</v>
      </c>
      <c r="J7" s="446">
        <f>$C$9/SUM($C$6:$C$11)*$C$2*$C$4/($C$9/SUM($C$6:$C$11)*$C$2*$C$4+$D$9/SUM($D$6:$D$11)*$D$2*$D$4)</f>
        <v>6.2199145884218973E-2</v>
      </c>
      <c r="K7" s="447">
        <f>$C$10/SUM($C$6:$C$11)*$C$2*$C$4/($C$10/SUM($C$6:$C$11)*$C$2*$C$4+$D$10/SUM($D$6:$D$11)*$D$2*$D$4)</f>
        <v>2.4804552413255302E-2</v>
      </c>
    </row>
    <row r="8" spans="1:11" ht="14.25" customHeight="1" x14ac:dyDescent="0.2">
      <c r="A8" s="465"/>
      <c r="B8" s="443" t="s">
        <v>262</v>
      </c>
      <c r="C8" s="431">
        <v>0.2</v>
      </c>
      <c r="D8" s="431">
        <v>0.08</v>
      </c>
      <c r="E8" s="463"/>
      <c r="F8" s="59" t="s">
        <v>50</v>
      </c>
      <c r="G8" s="446">
        <f>$D$6/SUM($D$6:$D$11)*$D$2*$D$4/($C$6/SUM($C$6:$C$11)*$C$2*$C$4+$D$6/SUM($D$6:$D$11)*$D$2*$D$4)</f>
        <v>0.96275182974435092</v>
      </c>
      <c r="H8" s="446">
        <f>$D$7/SUM($D$6:$D$11)*$D$2*$D$4/($C$7/SUM($C$6:$C$11)*$C$2*$C$4+$D$7/SUM($D$6:$D$11)*$D$2*$D$4)</f>
        <v>0.98102247584683144</v>
      </c>
      <c r="I8" s="446">
        <f>$D$8/SUM($D$6:$D$11)*$D$2*$D$4/($C$8/SUM($C$6:$C$11)*$C$2*$C$4+$D$8/SUM($D$6:$D$11)*$D$2*$D$4)</f>
        <v>0.92817886534045435</v>
      </c>
      <c r="J8" s="446">
        <f>$D$9/SUM($D$6:$D$11)*$D$2*$D$4/($C$9/SUM($C$6:$C$11)*$C$2*$C$4+$D$9/SUM($D$6:$D$11)*$D$2*$D$4)</f>
        <v>0.93780085411578096</v>
      </c>
      <c r="K8" s="447">
        <f>$D$10/SUM($D$6:$D$11)*$D$2*$D$4/($C$10/SUM($C$6:$C$11)*$C$2*$C$4+$D$10/SUM($D$6:$D$11)*$D$2*$D$4)</f>
        <v>0.9751954475867447</v>
      </c>
    </row>
    <row r="9" spans="1:11" ht="14.25" customHeight="1" x14ac:dyDescent="0.2">
      <c r="A9" s="465"/>
      <c r="B9" s="443" t="s">
        <v>263</v>
      </c>
      <c r="C9" s="431">
        <v>0.15</v>
      </c>
      <c r="D9" s="431">
        <v>7.0000000000000007E-2</v>
      </c>
      <c r="E9" s="463"/>
      <c r="F9" s="59"/>
      <c r="G9" s="448">
        <f>G8+G7</f>
        <v>1</v>
      </c>
      <c r="H9" s="448">
        <f t="shared" ref="H9:K9" si="0">H8+H7</f>
        <v>1</v>
      </c>
      <c r="I9" s="448">
        <f t="shared" si="0"/>
        <v>1</v>
      </c>
      <c r="J9" s="448">
        <f t="shared" si="0"/>
        <v>0.99999999999999989</v>
      </c>
      <c r="K9" s="448">
        <f t="shared" si="0"/>
        <v>1</v>
      </c>
    </row>
    <row r="10" spans="1:11" ht="14.25" customHeight="1" x14ac:dyDescent="0.2">
      <c r="A10" s="465"/>
      <c r="B10" s="443" t="s">
        <v>264</v>
      </c>
      <c r="C10" s="431">
        <v>0.2076693</v>
      </c>
      <c r="D10" s="431">
        <v>0.2527046</v>
      </c>
      <c r="E10" s="463"/>
      <c r="G10" s="23"/>
      <c r="H10" s="23"/>
    </row>
    <row r="11" spans="1:11" ht="14.25" customHeight="1" x14ac:dyDescent="0.2">
      <c r="A11" s="466"/>
      <c r="B11" s="443" t="s">
        <v>265</v>
      </c>
      <c r="C11" s="431">
        <v>6.8348300000000001E-2</v>
      </c>
      <c r="D11" s="431">
        <v>2.9361499999999999E-2</v>
      </c>
      <c r="E11" s="463"/>
      <c r="G11" s="1" t="s">
        <v>266</v>
      </c>
      <c r="H11" s="23"/>
    </row>
    <row r="12" spans="1:11" ht="14.25" customHeight="1" x14ac:dyDescent="0.2">
      <c r="A12" s="15"/>
      <c r="B12" s="55" t="s">
        <v>543</v>
      </c>
      <c r="C12" s="55"/>
      <c r="D12" s="55"/>
      <c r="F12" s="1" t="s">
        <v>267</v>
      </c>
      <c r="G12" s="449">
        <f>$C$6/SUM($C$6:$C$11)*$C$2*$C$4</f>
        <v>1887908.4172833194</v>
      </c>
      <c r="H12" s="449">
        <f>$D$6/SUM($D$6:$D$11)*$D$2*$D$4</f>
        <v>48796686.405115917</v>
      </c>
    </row>
    <row r="13" spans="1:11" ht="14.25" customHeight="1" x14ac:dyDescent="0.2">
      <c r="A13" s="461" t="s">
        <v>541</v>
      </c>
      <c r="B13" s="425" t="s">
        <v>268</v>
      </c>
      <c r="C13" s="431">
        <v>2.3972299999999998E-2</v>
      </c>
      <c r="D13" s="431">
        <v>6.9032499999999997E-2</v>
      </c>
      <c r="E13" s="467" t="s">
        <v>258</v>
      </c>
      <c r="F13" s="23" t="s">
        <v>260</v>
      </c>
      <c r="G13" s="449">
        <f>$C$10/SUM($C$6:$C$11)*$C$2*$C$4</f>
        <v>3920606.1948133484</v>
      </c>
      <c r="H13" s="449">
        <f>$D$10/SUM($D$6:$D$11)*$D$2*$D$4</f>
        <v>154139338.99162817</v>
      </c>
    </row>
    <row r="14" spans="1:11" ht="14.25" customHeight="1" x14ac:dyDescent="0.2">
      <c r="A14" s="462"/>
      <c r="B14" s="425" t="s">
        <v>269</v>
      </c>
      <c r="C14" s="431">
        <v>0</v>
      </c>
      <c r="D14" s="431">
        <v>0</v>
      </c>
      <c r="E14" s="467"/>
      <c r="F14" s="23" t="s">
        <v>270</v>
      </c>
      <c r="G14" s="450">
        <f t="shared" ref="G14:H14" si="1">C11/SUM(C6:C11)*C2*C4</f>
        <v>1290353.308770055</v>
      </c>
      <c r="H14" s="450">
        <f t="shared" si="1"/>
        <v>17909298.848547637</v>
      </c>
    </row>
    <row r="15" spans="1:11" ht="14.25" customHeight="1" x14ac:dyDescent="0.2">
      <c r="A15" s="462"/>
      <c r="B15" s="425" t="s">
        <v>271</v>
      </c>
      <c r="C15" s="431">
        <v>0</v>
      </c>
      <c r="D15" s="431">
        <v>0</v>
      </c>
      <c r="E15" s="467"/>
      <c r="F15" s="23" t="s">
        <v>189</v>
      </c>
      <c r="G15" s="450">
        <f t="shared" ref="G15:H15" si="2">C2*C4</f>
        <v>14650501.590000002</v>
      </c>
      <c r="H15" s="450">
        <f t="shared" si="2"/>
        <v>361135797.66000003</v>
      </c>
    </row>
    <row r="16" spans="1:11" ht="14.25" customHeight="1" x14ac:dyDescent="0.2">
      <c r="A16" s="462"/>
      <c r="B16" s="425" t="s">
        <v>272</v>
      </c>
      <c r="C16" s="431">
        <v>0.48453760000000001</v>
      </c>
      <c r="D16" s="431">
        <v>0.35399770000000003</v>
      </c>
      <c r="E16" s="467"/>
      <c r="G16" s="449">
        <f t="shared" ref="G16:H16" si="3">SUM(G12:G14)</f>
        <v>7098867.9208667222</v>
      </c>
      <c r="H16" s="449">
        <f t="shared" si="3"/>
        <v>220845324.24529171</v>
      </c>
    </row>
    <row r="17" spans="1:5" ht="14.25" customHeight="1" x14ac:dyDescent="0.2">
      <c r="A17" s="462"/>
      <c r="B17" s="425" t="s">
        <v>273</v>
      </c>
      <c r="C17" s="431">
        <v>0</v>
      </c>
      <c r="D17" s="431">
        <v>7.2681999999999998E-3</v>
      </c>
      <c r="E17" s="467"/>
    </row>
    <row r="18" spans="1:5" ht="14.25" customHeight="1" x14ac:dyDescent="0.2">
      <c r="A18" s="462"/>
      <c r="B18" s="425" t="s">
        <v>274</v>
      </c>
      <c r="C18" s="431">
        <v>0</v>
      </c>
      <c r="D18" s="431">
        <v>0</v>
      </c>
      <c r="E18" s="467"/>
    </row>
    <row r="19" spans="1:5" ht="14.25" customHeight="1" x14ac:dyDescent="0.2">
      <c r="A19" s="462"/>
      <c r="B19" s="425" t="s">
        <v>275</v>
      </c>
      <c r="C19" s="431">
        <v>0</v>
      </c>
      <c r="D19" s="431">
        <v>2.10148E-2</v>
      </c>
      <c r="E19" s="467"/>
    </row>
    <row r="20" spans="1:5" ht="14.25" customHeight="1" x14ac:dyDescent="0.2">
      <c r="A20" s="462"/>
      <c r="B20" s="425" t="s">
        <v>276</v>
      </c>
      <c r="C20" s="431">
        <v>0.31481189999999998</v>
      </c>
      <c r="D20" s="431">
        <v>0.44897959999999998</v>
      </c>
      <c r="E20" s="467"/>
    </row>
    <row r="21" spans="1:5" ht="14.25" customHeight="1" x14ac:dyDescent="0.2">
      <c r="A21" s="462"/>
      <c r="B21" s="433" t="s">
        <v>277</v>
      </c>
      <c r="C21" s="431">
        <v>8.9234999999999991E-3</v>
      </c>
      <c r="D21" s="442">
        <v>2.9441800000000001E-2</v>
      </c>
      <c r="E21" s="467"/>
    </row>
    <row r="22" spans="1:5" ht="14.25" customHeight="1" x14ac:dyDescent="0.2">
      <c r="A22" s="462"/>
      <c r="B22" s="434" t="s">
        <v>278</v>
      </c>
      <c r="C22" s="432">
        <v>8.0403999999999996E-3</v>
      </c>
      <c r="D22" s="441">
        <v>1.28399E-2</v>
      </c>
      <c r="E22" s="467"/>
    </row>
    <row r="23" spans="1:5" ht="14.25" customHeight="1" x14ac:dyDescent="0.2">
      <c r="A23" s="462"/>
      <c r="B23" s="435" t="s">
        <v>279</v>
      </c>
      <c r="C23" s="441">
        <v>1.7899999999999999E-4</v>
      </c>
      <c r="D23" s="436">
        <v>8.1513999999999996E-3</v>
      </c>
      <c r="E23" s="467"/>
    </row>
    <row r="24" spans="1:5" ht="14.25" customHeight="1" x14ac:dyDescent="0.2">
      <c r="A24" s="437"/>
      <c r="B24" s="438" t="s">
        <v>280</v>
      </c>
      <c r="C24" s="439">
        <f>SUM(C13:C23)</f>
        <v>0.84046469999999995</v>
      </c>
      <c r="D24" s="440">
        <f>SUM(D13:D23)</f>
        <v>0.95072590000000001</v>
      </c>
      <c r="E24" s="24" t="s">
        <v>542</v>
      </c>
    </row>
    <row r="25" spans="1:5" ht="14.25" customHeight="1" x14ac:dyDescent="0.2">
      <c r="B25" s="12"/>
    </row>
    <row r="26" spans="1:5" ht="14.25" customHeight="1" x14ac:dyDescent="0.2">
      <c r="B26" s="158" t="s">
        <v>539</v>
      </c>
      <c r="C26" s="61"/>
      <c r="D26" s="61"/>
    </row>
    <row r="27" spans="1:5" ht="14.25" customHeight="1" x14ac:dyDescent="0.2">
      <c r="B27" s="328" t="s">
        <v>281</v>
      </c>
      <c r="C27" s="329" t="s">
        <v>48</v>
      </c>
      <c r="D27" s="330" t="s">
        <v>50</v>
      </c>
    </row>
    <row r="28" spans="1:5" ht="14.25" customHeight="1" x14ac:dyDescent="0.2">
      <c r="B28" s="331" t="s">
        <v>33</v>
      </c>
      <c r="C28" s="332">
        <f t="shared" ref="C28:D28" si="4">C$2*C$4*C16/SUM(C13:C23)</f>
        <v>8446183.2593501974</v>
      </c>
      <c r="D28" s="332">
        <f t="shared" si="4"/>
        <v>134466981.23960376</v>
      </c>
      <c r="E28" s="1" t="s">
        <v>282</v>
      </c>
    </row>
    <row r="29" spans="1:5" ht="14.25" customHeight="1" x14ac:dyDescent="0.2">
      <c r="B29" s="333" t="s">
        <v>35</v>
      </c>
      <c r="C29" s="334">
        <v>0</v>
      </c>
      <c r="D29" s="335" t="s">
        <v>283</v>
      </c>
    </row>
    <row r="30" spans="1:5" ht="14.25" customHeight="1" x14ac:dyDescent="0.2">
      <c r="B30" s="331" t="s">
        <v>37</v>
      </c>
      <c r="C30" s="332">
        <f t="shared" ref="C30:D30" si="5">C2*C4*SUM(C13:C15,C18,C20)/SUM(C13:C23)</f>
        <v>5905493.0692114476</v>
      </c>
      <c r="D30" s="332">
        <f t="shared" si="5"/>
        <v>196768293.5018723</v>
      </c>
      <c r="E30" s="1" t="s">
        <v>284</v>
      </c>
    </row>
    <row r="31" spans="1:5" ht="14.25" customHeight="1" x14ac:dyDescent="0.2">
      <c r="B31" s="331" t="s">
        <v>39</v>
      </c>
      <c r="C31" s="332">
        <f t="shared" ref="C31:D31" si="6">C2*C4*C17/SUM(C13:C23)</f>
        <v>0</v>
      </c>
      <c r="D31" s="332">
        <f t="shared" si="6"/>
        <v>2760845.3756781127</v>
      </c>
      <c r="E31" s="1" t="s">
        <v>285</v>
      </c>
    </row>
    <row r="32" spans="1:5" ht="14.25" customHeight="1" x14ac:dyDescent="0.2">
      <c r="B32" s="333" t="s">
        <v>41</v>
      </c>
      <c r="C32" s="332">
        <v>0</v>
      </c>
      <c r="D32" s="332">
        <v>0</v>
      </c>
      <c r="E32" s="1" t="s">
        <v>286</v>
      </c>
    </row>
    <row r="33" spans="2:5" ht="14.25" customHeight="1" x14ac:dyDescent="0.2">
      <c r="B33" s="333" t="s">
        <v>43</v>
      </c>
      <c r="C33" s="332">
        <v>0</v>
      </c>
      <c r="D33" s="332">
        <v>0</v>
      </c>
      <c r="E33" s="1" t="s">
        <v>286</v>
      </c>
    </row>
    <row r="34" spans="2:5" ht="14.25" customHeight="1" x14ac:dyDescent="0.2">
      <c r="B34" s="333" t="s">
        <v>44</v>
      </c>
      <c r="C34" s="332">
        <v>0</v>
      </c>
      <c r="D34" s="332">
        <v>0</v>
      </c>
      <c r="E34" s="1" t="s">
        <v>286</v>
      </c>
    </row>
    <row r="35" spans="2:5" ht="14.25" customHeight="1" x14ac:dyDescent="0.2">
      <c r="B35" s="333" t="s">
        <v>45</v>
      </c>
      <c r="C35" s="332">
        <v>0</v>
      </c>
      <c r="D35" s="332">
        <v>0</v>
      </c>
      <c r="E35" s="1" t="s">
        <v>286</v>
      </c>
    </row>
    <row r="36" spans="2:5" ht="14.25" customHeight="1" x14ac:dyDescent="0.2">
      <c r="B36" s="331" t="s">
        <v>46</v>
      </c>
      <c r="C36" s="332">
        <f t="shared" ref="C36:D36" si="7">C2*C4*C22/SUM(C13:C23)</f>
        <v>140155.66981484886</v>
      </c>
      <c r="D36" s="332">
        <f t="shared" si="7"/>
        <v>4877270.650115489</v>
      </c>
      <c r="E36" s="1" t="s">
        <v>287</v>
      </c>
    </row>
    <row r="37" spans="2:5" ht="14.25" customHeight="1" x14ac:dyDescent="0.2">
      <c r="B37" s="331" t="s">
        <v>48</v>
      </c>
      <c r="C37" s="332">
        <v>0</v>
      </c>
      <c r="D37" s="332">
        <v>0</v>
      </c>
      <c r="E37" s="1" t="s">
        <v>288</v>
      </c>
    </row>
    <row r="38" spans="2:5" ht="14.25" customHeight="1" x14ac:dyDescent="0.2">
      <c r="B38" s="331" t="s">
        <v>50</v>
      </c>
      <c r="C38" s="332">
        <v>0</v>
      </c>
      <c r="D38" s="332">
        <v>0</v>
      </c>
      <c r="E38" s="1" t="s">
        <v>288</v>
      </c>
    </row>
    <row r="39" spans="2:5" ht="14.25" customHeight="1" x14ac:dyDescent="0.2">
      <c r="B39" s="331" t="s">
        <v>51</v>
      </c>
      <c r="C39" s="332">
        <f t="shared" ref="C39:D39" si="8">C2*C4*C19/SUM(C13:C23)</f>
        <v>0</v>
      </c>
      <c r="D39" s="332">
        <f t="shared" si="8"/>
        <v>7982528.4665805036</v>
      </c>
      <c r="E39" s="1" t="s">
        <v>289</v>
      </c>
    </row>
    <row r="40" spans="2:5" ht="14.25" customHeight="1" x14ac:dyDescent="0.2">
      <c r="B40" s="331" t="s">
        <v>53</v>
      </c>
      <c r="C40" s="332">
        <v>0</v>
      </c>
      <c r="D40" s="332">
        <v>0</v>
      </c>
      <c r="E40" s="1" t="s">
        <v>290</v>
      </c>
    </row>
    <row r="41" spans="2:5" ht="14.25" customHeight="1" x14ac:dyDescent="0.2">
      <c r="B41" s="331" t="s">
        <v>55</v>
      </c>
      <c r="C41" s="332">
        <v>0</v>
      </c>
      <c r="D41" s="332">
        <v>0</v>
      </c>
      <c r="E41" s="1" t="s">
        <v>291</v>
      </c>
    </row>
    <row r="42" spans="2:5" ht="14.25" customHeight="1" x14ac:dyDescent="0.2">
      <c r="B42" s="331" t="s">
        <v>57</v>
      </c>
      <c r="C42" s="332">
        <v>0</v>
      </c>
      <c r="D42" s="332">
        <v>0</v>
      </c>
      <c r="E42" s="1" t="s">
        <v>292</v>
      </c>
    </row>
    <row r="43" spans="2:5" ht="14.25" customHeight="1" x14ac:dyDescent="0.2">
      <c r="B43" s="331" t="s">
        <v>60</v>
      </c>
      <c r="C43" s="332">
        <f t="shared" ref="C43:D43" si="9">C2*C4*C23/SUM(C13:C23)</f>
        <v>3120.2259709539262</v>
      </c>
      <c r="D43" s="332">
        <f t="shared" si="9"/>
        <v>3096331.278074705</v>
      </c>
      <c r="E43" s="1" t="s">
        <v>293</v>
      </c>
    </row>
    <row r="44" spans="2:5" ht="14.25" customHeight="1" x14ac:dyDescent="0.2">
      <c r="B44" s="336" t="s">
        <v>62</v>
      </c>
      <c r="C44" s="332">
        <f t="shared" ref="C44:D44" si="10">C2*C4*C21/SUM(C13:C23)</f>
        <v>155549.36565255508</v>
      </c>
      <c r="D44" s="332">
        <f t="shared" si="10"/>
        <v>11183547.148075158</v>
      </c>
      <c r="E44" s="1" t="s">
        <v>294</v>
      </c>
    </row>
    <row r="45" spans="2:5" ht="14.25" customHeight="1" x14ac:dyDescent="0.2">
      <c r="B45" s="331" t="s">
        <v>64</v>
      </c>
      <c r="C45" s="332">
        <f t="shared" ref="C45:D45" si="11">SUM(C28:C44)</f>
        <v>14650501.590000004</v>
      </c>
      <c r="D45" s="337">
        <f t="shared" si="11"/>
        <v>361135797.66000003</v>
      </c>
      <c r="E45" s="1" t="s">
        <v>295</v>
      </c>
    </row>
    <row r="46" spans="2:5" ht="14.25" customHeight="1" x14ac:dyDescent="0.2">
      <c r="B46" s="331" t="s">
        <v>66</v>
      </c>
      <c r="C46" s="338">
        <f t="shared" ref="C46:D46" si="12">C2*C4</f>
        <v>14650501.590000002</v>
      </c>
      <c r="D46" s="339">
        <f t="shared" si="12"/>
        <v>361135797.66000003</v>
      </c>
      <c r="E46" s="1" t="s">
        <v>296</v>
      </c>
    </row>
    <row r="47" spans="2:5" ht="14.25" customHeight="1" x14ac:dyDescent="0.2">
      <c r="B47" s="331" t="s">
        <v>68</v>
      </c>
      <c r="C47" s="332">
        <f t="shared" ref="C47:D47" si="13">C46-C45</f>
        <v>0</v>
      </c>
      <c r="D47" s="337">
        <f t="shared" si="13"/>
        <v>0</v>
      </c>
    </row>
    <row r="48" spans="2:5" ht="14.25" customHeight="1" x14ac:dyDescent="0.2">
      <c r="B48" s="340" t="s">
        <v>70</v>
      </c>
      <c r="C48" s="341">
        <f t="shared" ref="C48:D48" si="14">C47/C46</f>
        <v>0</v>
      </c>
      <c r="D48" s="342">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540</v>
      </c>
      <c r="I53" s="24" t="s">
        <v>540</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7">
        <f t="shared" si="15"/>
        <v>70775.37000000001</v>
      </c>
      <c r="D55" s="183" t="s">
        <v>298</v>
      </c>
      <c r="E55" s="183">
        <v>0</v>
      </c>
      <c r="F55" s="183">
        <v>1000000</v>
      </c>
      <c r="G55" s="183">
        <v>1</v>
      </c>
      <c r="I55" s="183" t="str">
        <f>B2</f>
        <v>What is the population of the communities constituting this local economy? (Number of people)</v>
      </c>
      <c r="J55" s="326">
        <f>D2</f>
        <v>529524.63</v>
      </c>
      <c r="K55" s="183" t="s">
        <v>297</v>
      </c>
      <c r="L55" s="183">
        <v>0</v>
      </c>
      <c r="M55" s="183">
        <v>1000000</v>
      </c>
      <c r="N55" s="183">
        <v>1</v>
      </c>
    </row>
    <row r="56" spans="2:14" ht="14.25" customHeight="1" x14ac:dyDescent="0.2">
      <c r="B56" s="183" t="str">
        <f t="shared" ref="B56:C56" si="16">B3</f>
        <v>How many households are in this local economy? (Number of households)</v>
      </c>
      <c r="C56" s="327">
        <f t="shared" si="16"/>
        <v>12521.796038126218</v>
      </c>
      <c r="D56" s="183" t="s">
        <v>300</v>
      </c>
      <c r="E56" s="183">
        <v>0</v>
      </c>
      <c r="F56" s="183">
        <v>1000000</v>
      </c>
      <c r="G56" s="183">
        <v>1</v>
      </c>
      <c r="I56" s="183" t="str">
        <f>B3</f>
        <v>How many households are in this local economy? (Number of households)</v>
      </c>
      <c r="J56" s="326">
        <f>D3</f>
        <v>117067.13703579899</v>
      </c>
      <c r="K56" s="183" t="s">
        <v>299</v>
      </c>
      <c r="L56" s="183">
        <v>0</v>
      </c>
      <c r="M56" s="183">
        <v>1000000</v>
      </c>
      <c r="N56" s="183">
        <v>1</v>
      </c>
    </row>
    <row r="57" spans="2:14" ht="14.25" customHeight="1" x14ac:dyDescent="0.2">
      <c r="B57" s="183" t="str">
        <f t="shared" ref="B57:C57" si="17">B4</f>
        <v>About what is the average annual per-capita income of households in this region (US$)?</v>
      </c>
      <c r="C57" s="327">
        <f t="shared" si="17"/>
        <v>207</v>
      </c>
      <c r="D57" s="183" t="s">
        <v>302</v>
      </c>
      <c r="E57" s="183">
        <v>0</v>
      </c>
      <c r="F57" s="183">
        <v>1000000</v>
      </c>
      <c r="G57" s="183">
        <v>1</v>
      </c>
      <c r="I57" s="183" t="str">
        <f>B4</f>
        <v>About what is the average annual per-capita income of households in this region (US$)?</v>
      </c>
      <c r="J57" s="327">
        <f>D4</f>
        <v>682</v>
      </c>
      <c r="K57" s="183" t="s">
        <v>301</v>
      </c>
      <c r="L57" s="183">
        <v>0</v>
      </c>
      <c r="M57" s="183">
        <v>1000000</v>
      </c>
      <c r="N57" s="183">
        <v>1</v>
      </c>
    </row>
    <row r="58" spans="2:14" ht="14.25" customHeight="1" x14ac:dyDescent="0.2">
      <c r="B58" s="183" t="str">
        <f t="shared" ref="B58:C58" si="18">B5</f>
        <v>About what is the average annual government transfers (e.g., SCTs) to households in this region?</v>
      </c>
      <c r="C58" s="327">
        <f t="shared" si="18"/>
        <v>0</v>
      </c>
      <c r="D58" s="183" t="s">
        <v>304</v>
      </c>
      <c r="E58" s="183">
        <v>0</v>
      </c>
      <c r="F58" s="183">
        <v>1000000</v>
      </c>
      <c r="G58" s="183">
        <v>1</v>
      </c>
      <c r="I58" s="183" t="str">
        <f>B5</f>
        <v>About what is the average annual government transfers (e.g., SCTs) to households in this region?</v>
      </c>
      <c r="J58" s="327">
        <f>D5</f>
        <v>0</v>
      </c>
      <c r="K58" s="183" t="s">
        <v>303</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384</v>
      </c>
      <c r="E60" s="183">
        <v>0</v>
      </c>
      <c r="F60" s="183">
        <v>100</v>
      </c>
      <c r="G60" s="183">
        <v>0.01</v>
      </c>
      <c r="I60" s="183" t="str">
        <f>B60</f>
        <v>About what % of household income comes from wages earned by male unskilled workers in the household?</v>
      </c>
      <c r="J60" s="183">
        <f>D6*100</f>
        <v>8</v>
      </c>
      <c r="K60" s="183" t="s">
        <v>388</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385</v>
      </c>
      <c r="E61" s="183">
        <v>0</v>
      </c>
      <c r="F61" s="183">
        <v>100</v>
      </c>
      <c r="G61" s="183">
        <v>0.01</v>
      </c>
      <c r="I61" s="183" t="str">
        <f t="shared" ref="I61:I65" si="21">B61</f>
        <v>About what % of household income comes from wages earned by male skilled workers in the household?</v>
      </c>
      <c r="J61" s="183">
        <f t="shared" ref="J61:J65" si="22">D7*100</f>
        <v>8</v>
      </c>
      <c r="K61" s="183" t="s">
        <v>389</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386</v>
      </c>
      <c r="E62" s="183">
        <v>0</v>
      </c>
      <c r="F62" s="183">
        <v>100</v>
      </c>
      <c r="G62" s="183">
        <v>0.01</v>
      </c>
      <c r="I62" s="183" t="str">
        <f t="shared" si="21"/>
        <v>About what % of household income comes from wages earned by female unskilled workers in the household?</v>
      </c>
      <c r="J62" s="183">
        <f t="shared" si="22"/>
        <v>8</v>
      </c>
      <c r="K62" s="183" t="s">
        <v>390</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387</v>
      </c>
      <c r="E63" s="183">
        <v>0</v>
      </c>
      <c r="F63" s="183">
        <v>100</v>
      </c>
      <c r="G63" s="183">
        <v>0.01</v>
      </c>
      <c r="I63" s="183" t="str">
        <f t="shared" si="21"/>
        <v>About what % of household income comes from wages earned by female skilled workers in the household?</v>
      </c>
      <c r="J63" s="183">
        <f t="shared" si="22"/>
        <v>7.0000000000000009</v>
      </c>
      <c r="K63" s="183" t="s">
        <v>391</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20.766929999999999</v>
      </c>
      <c r="D64" s="183" t="s">
        <v>306</v>
      </c>
      <c r="E64" s="183">
        <v>0</v>
      </c>
      <c r="F64" s="183">
        <v>100</v>
      </c>
      <c r="G64" s="183">
        <v>0.01</v>
      </c>
      <c r="I64" s="183" t="str">
        <f t="shared" si="21"/>
        <v>About what % of household incomes comes from profits from household-owned farms or businesses or renting property the household owns?</v>
      </c>
      <c r="J64" s="183">
        <f t="shared" si="22"/>
        <v>25.27046</v>
      </c>
      <c r="K64" s="183" t="s">
        <v>305</v>
      </c>
      <c r="L64" s="183">
        <v>0</v>
      </c>
      <c r="M64" s="183">
        <v>100</v>
      </c>
      <c r="N64" s="183">
        <v>0.01</v>
      </c>
    </row>
    <row r="65" spans="2:14" ht="14.25" customHeight="1" x14ac:dyDescent="0.2">
      <c r="B65" s="183" t="str">
        <f t="shared" si="23"/>
        <v>About what % of household incomes comes from migrant remittances (domestic and foreign?</v>
      </c>
      <c r="C65" s="183">
        <f t="shared" si="24"/>
        <v>6.8348300000000002</v>
      </c>
      <c r="D65" s="183" t="s">
        <v>308</v>
      </c>
      <c r="E65" s="183">
        <v>0</v>
      </c>
      <c r="F65" s="183">
        <v>100</v>
      </c>
      <c r="G65" s="183">
        <v>0.01</v>
      </c>
      <c r="I65" s="183" t="str">
        <f t="shared" si="21"/>
        <v>About what % of household incomes comes from migrant remittances (domestic and foreign?</v>
      </c>
      <c r="J65" s="183">
        <f t="shared" si="22"/>
        <v>2.93615</v>
      </c>
      <c r="K65" s="183" t="s">
        <v>307</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2.39723</v>
      </c>
      <c r="D68" s="183" t="s">
        <v>310</v>
      </c>
      <c r="E68" s="183">
        <v>0</v>
      </c>
      <c r="F68" s="183">
        <v>100</v>
      </c>
      <c r="G68" s="183">
        <v>0.01</v>
      </c>
      <c r="I68" s="183" t="str">
        <f t="shared" ref="I68:I79" si="27">B13</f>
        <v>Food bought from Local grocery stores</v>
      </c>
      <c r="J68" s="183">
        <f t="shared" ref="J68:J79" si="28">D13*100</f>
        <v>6.9032499999999999</v>
      </c>
      <c r="K68" s="183" t="s">
        <v>309</v>
      </c>
      <c r="L68" s="183">
        <v>0</v>
      </c>
      <c r="M68" s="183">
        <v>100</v>
      </c>
      <c r="N68" s="183">
        <v>0.01</v>
      </c>
    </row>
    <row r="69" spans="2:14" ht="14.25" customHeight="1" x14ac:dyDescent="0.2">
      <c r="B69" s="183" t="str">
        <f t="shared" si="25"/>
        <v>Other goods from local grocery stores</v>
      </c>
      <c r="C69" s="183">
        <f t="shared" si="26"/>
        <v>0</v>
      </c>
      <c r="D69" s="183" t="s">
        <v>312</v>
      </c>
      <c r="E69" s="183">
        <v>0</v>
      </c>
      <c r="F69" s="183">
        <v>100</v>
      </c>
      <c r="G69" s="183">
        <v>0.01</v>
      </c>
      <c r="I69" s="183" t="str">
        <f t="shared" si="27"/>
        <v>Other goods from local grocery stores</v>
      </c>
      <c r="J69" s="183">
        <f t="shared" si="28"/>
        <v>0</v>
      </c>
      <c r="K69" s="183" t="s">
        <v>311</v>
      </c>
      <c r="L69" s="183">
        <v>0</v>
      </c>
      <c r="M69" s="183">
        <v>100</v>
      </c>
      <c r="N69" s="183">
        <v>0.01</v>
      </c>
    </row>
    <row r="70" spans="2:14" ht="14.25" customHeight="1" x14ac:dyDescent="0.2">
      <c r="B70" s="183" t="str">
        <f t="shared" si="25"/>
        <v>Food from Periodic markets</v>
      </c>
      <c r="C70" s="183">
        <f t="shared" si="26"/>
        <v>0</v>
      </c>
      <c r="D70" s="183" t="s">
        <v>314</v>
      </c>
      <c r="E70" s="183">
        <v>0</v>
      </c>
      <c r="F70" s="183">
        <v>100</v>
      </c>
      <c r="G70" s="183">
        <v>0.01</v>
      </c>
      <c r="I70" s="183" t="str">
        <f t="shared" si="27"/>
        <v>Food from Periodic markets</v>
      </c>
      <c r="J70" s="183">
        <f t="shared" si="28"/>
        <v>0</v>
      </c>
      <c r="K70" s="183" t="s">
        <v>313</v>
      </c>
      <c r="L70" s="183">
        <v>0</v>
      </c>
      <c r="M70" s="183">
        <v>100</v>
      </c>
      <c r="N70" s="183">
        <v>0.01</v>
      </c>
    </row>
    <row r="71" spans="2:14" ht="14.25" customHeight="1" x14ac:dyDescent="0.2">
      <c r="B71" s="183" t="str">
        <f t="shared" si="25"/>
        <v>Buying food direct from local farmers or your own farm</v>
      </c>
      <c r="C71" s="183">
        <f t="shared" si="26"/>
        <v>48.453760000000003</v>
      </c>
      <c r="D71" s="183" t="s">
        <v>316</v>
      </c>
      <c r="E71" s="183">
        <v>0</v>
      </c>
      <c r="F71" s="183">
        <v>100</v>
      </c>
      <c r="G71" s="183">
        <v>0.01</v>
      </c>
      <c r="I71" s="183" t="str">
        <f t="shared" si="27"/>
        <v>Buying food direct from local farmers or your own farm</v>
      </c>
      <c r="J71" s="183">
        <f t="shared" si="28"/>
        <v>35.399770000000004</v>
      </c>
      <c r="K71" s="183" t="s">
        <v>315</v>
      </c>
      <c r="L71" s="183">
        <v>0</v>
      </c>
      <c r="M71" s="183">
        <v>100</v>
      </c>
      <c r="N71" s="183">
        <v>0.01</v>
      </c>
    </row>
    <row r="72" spans="2:14" ht="14.25" customHeight="1" x14ac:dyDescent="0.2">
      <c r="B72" s="183" t="str">
        <f t="shared" si="25"/>
        <v>Buying local fish</v>
      </c>
      <c r="C72" s="183">
        <f t="shared" si="26"/>
        <v>0</v>
      </c>
      <c r="D72" s="183" t="s">
        <v>318</v>
      </c>
      <c r="E72" s="183">
        <v>0</v>
      </c>
      <c r="F72" s="183">
        <v>100</v>
      </c>
      <c r="G72" s="183">
        <v>0.01</v>
      </c>
      <c r="I72" s="183" t="str">
        <f t="shared" si="27"/>
        <v>Buying local fish</v>
      </c>
      <c r="J72" s="183">
        <f t="shared" si="28"/>
        <v>0.72682000000000002</v>
      </c>
      <c r="K72" s="183" t="s">
        <v>317</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320</v>
      </c>
      <c r="E73" s="183">
        <v>0</v>
      </c>
      <c r="F73" s="183">
        <v>100</v>
      </c>
      <c r="G73" s="183">
        <v>0.01</v>
      </c>
      <c r="I73" s="183" t="str">
        <f t="shared" si="27"/>
        <v>Buying from local food processors, including neighbors who sell foods they prepare for sale</v>
      </c>
      <c r="J73" s="183">
        <f t="shared" si="28"/>
        <v>0</v>
      </c>
      <c r="K73" s="183" t="s">
        <v>319</v>
      </c>
      <c r="L73" s="183">
        <v>0</v>
      </c>
      <c r="M73" s="183">
        <v>100</v>
      </c>
      <c r="N73" s="183">
        <v>0.01</v>
      </c>
    </row>
    <row r="74" spans="2:14" ht="14.25" customHeight="1" x14ac:dyDescent="0.2">
      <c r="B74" s="183" t="str">
        <f t="shared" si="25"/>
        <v>Buying food and drink at local restaurants (food and drink)</v>
      </c>
      <c r="C74" s="183">
        <f t="shared" si="26"/>
        <v>0</v>
      </c>
      <c r="D74" s="183" t="s">
        <v>322</v>
      </c>
      <c r="E74" s="183">
        <v>0</v>
      </c>
      <c r="F74" s="183">
        <v>100</v>
      </c>
      <c r="G74" s="183">
        <v>0.01</v>
      </c>
      <c r="I74" s="183" t="str">
        <f t="shared" si="27"/>
        <v>Buying food and drink at local restaurants (food and drink)</v>
      </c>
      <c r="J74" s="183">
        <f t="shared" si="28"/>
        <v>2.10148</v>
      </c>
      <c r="K74" s="183" t="s">
        <v>321</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31.481189999999998</v>
      </c>
      <c r="D75" s="183" t="s">
        <v>324</v>
      </c>
      <c r="E75" s="183">
        <v>0</v>
      </c>
      <c r="F75" s="183">
        <v>100</v>
      </c>
      <c r="G75" s="183">
        <v>0.01</v>
      </c>
      <c r="I75" s="183" t="str">
        <f t="shared" si="27"/>
        <v>Things besides food that are sold by people or businesses in your community, including services</v>
      </c>
      <c r="J75" s="183">
        <f t="shared" si="28"/>
        <v>44.897959999999998</v>
      </c>
      <c r="K75" s="183" t="s">
        <v>323</v>
      </c>
      <c r="L75" s="183">
        <v>0</v>
      </c>
      <c r="M75" s="183">
        <v>100</v>
      </c>
      <c r="N75" s="183">
        <v>0.01</v>
      </c>
    </row>
    <row r="76" spans="2:14" ht="14.25" customHeight="1" x14ac:dyDescent="0.2">
      <c r="B76" s="183" t="str">
        <f t="shared" si="25"/>
        <v>Things you buy from businesses, etc., in places outside your community</v>
      </c>
      <c r="C76" s="183">
        <f t="shared" si="26"/>
        <v>0.89234999999999987</v>
      </c>
      <c r="D76" s="183" t="s">
        <v>326</v>
      </c>
      <c r="E76" s="183">
        <v>0</v>
      </c>
      <c r="F76" s="183">
        <v>100</v>
      </c>
      <c r="G76" s="183">
        <v>0.01</v>
      </c>
      <c r="I76" s="183" t="str">
        <f t="shared" si="27"/>
        <v>Things you buy from businesses, etc., in places outside your community</v>
      </c>
      <c r="J76" s="183">
        <f t="shared" si="28"/>
        <v>2.9441800000000002</v>
      </c>
      <c r="K76" s="183" t="s">
        <v>325</v>
      </c>
      <c r="L76" s="183">
        <v>0</v>
      </c>
      <c r="M76" s="183">
        <v>100</v>
      </c>
      <c r="N76" s="183">
        <v>0.01</v>
      </c>
    </row>
    <row r="77" spans="2:14" ht="14.25" customHeight="1" x14ac:dyDescent="0.2">
      <c r="B77" s="183" t="str">
        <f t="shared" si="25"/>
        <v>Rent (if household rents its house; don't include business rentals here)</v>
      </c>
      <c r="C77" s="183">
        <f t="shared" si="26"/>
        <v>0.80403999999999998</v>
      </c>
      <c r="D77" s="183" t="s">
        <v>328</v>
      </c>
      <c r="E77" s="183">
        <v>0</v>
      </c>
      <c r="F77" s="183">
        <v>100</v>
      </c>
      <c r="G77" s="183">
        <v>0.01</v>
      </c>
      <c r="I77" s="183" t="str">
        <f t="shared" si="27"/>
        <v>Rent (if household rents its house; don't include business rentals here)</v>
      </c>
      <c r="J77" s="183">
        <f t="shared" si="28"/>
        <v>1.28399</v>
      </c>
      <c r="K77" s="183" t="s">
        <v>327</v>
      </c>
      <c r="L77" s="183">
        <v>0</v>
      </c>
      <c r="M77" s="183">
        <v>100</v>
      </c>
      <c r="N77" s="183">
        <v>0.01</v>
      </c>
    </row>
    <row r="78" spans="2:14" ht="14.25" customHeight="1" x14ac:dyDescent="0.2">
      <c r="B78" s="183" t="str">
        <f t="shared" si="25"/>
        <v>Household income tax payments</v>
      </c>
      <c r="C78" s="183">
        <f t="shared" si="26"/>
        <v>1.7899999999999999E-2</v>
      </c>
      <c r="D78" s="183" t="s">
        <v>330</v>
      </c>
      <c r="E78" s="183">
        <v>0</v>
      </c>
      <c r="F78" s="183">
        <v>100</v>
      </c>
      <c r="G78" s="183">
        <v>0.01</v>
      </c>
      <c r="I78" s="183" t="str">
        <f t="shared" si="27"/>
        <v>Household income tax payments</v>
      </c>
      <c r="J78" s="183">
        <f t="shared" si="28"/>
        <v>0.81513999999999998</v>
      </c>
      <c r="K78" s="183" t="s">
        <v>329</v>
      </c>
      <c r="L78" s="183">
        <v>0</v>
      </c>
      <c r="M78" s="183">
        <v>100</v>
      </c>
      <c r="N78" s="183">
        <v>0.01</v>
      </c>
    </row>
    <row r="79" spans="2:14" ht="14.25" customHeight="1" x14ac:dyDescent="0.2">
      <c r="B79" s="1" t="str">
        <f t="shared" si="25"/>
        <v>Total (should equal 100%)</v>
      </c>
      <c r="C79" s="1">
        <f t="shared" si="26"/>
        <v>84.046469999999999</v>
      </c>
      <c r="I79" s="1" t="str">
        <f t="shared" si="27"/>
        <v>Total (should equal 100%)</v>
      </c>
      <c r="J79" s="1">
        <f t="shared" si="28"/>
        <v>95.072590000000005</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topLeftCell="A35" zoomScale="125" workbookViewId="0">
      <selection activeCell="C43" sqref="C43"/>
    </sheetView>
  </sheetViews>
  <sheetFormatPr baseColWidth="10" defaultColWidth="14.5" defaultRowHeight="15" customHeight="1" x14ac:dyDescent="0.2"/>
  <cols>
    <col min="1" max="1" width="15" customWidth="1"/>
    <col min="2" max="2" width="63.1640625" customWidth="1"/>
    <col min="3" max="3" width="27.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331</v>
      </c>
    </row>
    <row r="2" spans="1:7" ht="26.25" customHeight="1" x14ac:dyDescent="0.2">
      <c r="A2" s="297"/>
      <c r="B2" s="1" t="s">
        <v>215</v>
      </c>
    </row>
    <row r="3" spans="1:7" ht="26.25" customHeight="1" x14ac:dyDescent="0.2">
      <c r="A3" s="259"/>
      <c r="B3" s="261" t="s">
        <v>0</v>
      </c>
      <c r="C3" s="262" t="s">
        <v>1</v>
      </c>
      <c r="E3" s="11"/>
      <c r="F3" s="11"/>
      <c r="G3" s="11"/>
    </row>
    <row r="4" spans="1:7" ht="26.25" customHeight="1" x14ac:dyDescent="0.2">
      <c r="A4" s="259"/>
      <c r="B4" s="301" t="s">
        <v>233</v>
      </c>
      <c r="C4" s="302">
        <v>3008397.7461120002</v>
      </c>
      <c r="D4" s="129" t="s">
        <v>536</v>
      </c>
      <c r="E4" s="44"/>
      <c r="F4" s="6"/>
      <c r="G4" s="18"/>
    </row>
    <row r="5" spans="1:7" ht="26.25" customHeight="1" x14ac:dyDescent="0.2">
      <c r="A5" s="299"/>
      <c r="B5" s="303" t="s">
        <v>235</v>
      </c>
      <c r="C5" s="304">
        <f>Tourists!C3*32.8</f>
        <v>3127775.1999999997</v>
      </c>
      <c r="D5" s="46" t="s">
        <v>494</v>
      </c>
      <c r="E5" s="47"/>
      <c r="F5" s="47"/>
      <c r="G5" s="48"/>
    </row>
    <row r="6" spans="1:7" ht="26.25" customHeight="1" x14ac:dyDescent="0.2">
      <c r="A6" s="299"/>
      <c r="B6" s="303" t="s">
        <v>497</v>
      </c>
      <c r="C6" s="453">
        <v>0.2</v>
      </c>
      <c r="D6" s="46" t="s">
        <v>513</v>
      </c>
      <c r="E6" s="150"/>
      <c r="F6" s="150"/>
      <c r="G6" s="150"/>
    </row>
    <row r="7" spans="1:7" ht="26.25" customHeight="1" x14ac:dyDescent="0.2">
      <c r="A7" s="259"/>
      <c r="B7" s="303" t="s">
        <v>236</v>
      </c>
      <c r="C7" s="305">
        <f>C5-C4</f>
        <v>119377.45388799952</v>
      </c>
      <c r="E7" s="49"/>
      <c r="F7" s="50"/>
      <c r="G7" s="50"/>
    </row>
    <row r="8" spans="1:7" ht="26.25" customHeight="1" x14ac:dyDescent="0.2">
      <c r="A8" s="298" t="s">
        <v>8</v>
      </c>
      <c r="B8" s="300" t="s">
        <v>534</v>
      </c>
      <c r="C8" s="300"/>
    </row>
    <row r="9" spans="1:7" ht="37.5" customHeight="1" x14ac:dyDescent="0.2">
      <c r="A9" s="247"/>
      <c r="B9" s="166" t="s">
        <v>0</v>
      </c>
      <c r="C9" s="170" t="s">
        <v>510</v>
      </c>
      <c r="E9" s="286" t="s">
        <v>538</v>
      </c>
      <c r="F9" s="286"/>
      <c r="G9" s="11"/>
    </row>
    <row r="10" spans="1:7" ht="34.5" customHeight="1" x14ac:dyDescent="0.2">
      <c r="A10" s="456" t="s">
        <v>537</v>
      </c>
      <c r="B10" s="173" t="s">
        <v>74</v>
      </c>
      <c r="C10" s="306">
        <v>2.6233242629567469E-3</v>
      </c>
      <c r="D10" s="12"/>
      <c r="E10" s="287">
        <v>7892.0028000000002</v>
      </c>
      <c r="F10" s="289">
        <f>E10/SUM($E$10:$E$19)</f>
        <v>2.6233242629567469E-3</v>
      </c>
    </row>
    <row r="11" spans="1:7" ht="34.5" customHeight="1" x14ac:dyDescent="0.2">
      <c r="A11" s="457"/>
      <c r="B11" s="173" t="s">
        <v>76</v>
      </c>
      <c r="C11" s="306">
        <v>2.9148047366186076E-4</v>
      </c>
      <c r="D11" s="12"/>
      <c r="E11" s="287">
        <v>876.88920000000007</v>
      </c>
      <c r="F11" s="289">
        <f t="shared" ref="F11:F19" si="0">E11/SUM($E$10:$E$19)</f>
        <v>2.9148047366186076E-4</v>
      </c>
    </row>
    <row r="12" spans="1:7" ht="30.75" customHeight="1" x14ac:dyDescent="0.2">
      <c r="A12" s="457"/>
      <c r="B12" s="173" t="s">
        <v>77</v>
      </c>
      <c r="C12" s="306">
        <v>0.36989390999183791</v>
      </c>
      <c r="E12" s="287">
        <v>1112788.0051200001</v>
      </c>
      <c r="F12" s="289">
        <f t="shared" si="0"/>
        <v>0.36989390999183791</v>
      </c>
    </row>
    <row r="13" spans="1:7" ht="30.75" customHeight="1" x14ac:dyDescent="0.2">
      <c r="A13" s="457"/>
      <c r="B13" s="173" t="s">
        <v>78</v>
      </c>
      <c r="C13" s="306">
        <v>7.4717921475145138E-2</v>
      </c>
      <c r="E13" s="287">
        <v>224781.22656000001</v>
      </c>
      <c r="F13" s="289">
        <f t="shared" si="0"/>
        <v>7.4717921475145138E-2</v>
      </c>
    </row>
    <row r="14" spans="1:7" ht="30.75" customHeight="1" x14ac:dyDescent="0.2">
      <c r="A14" s="457"/>
      <c r="B14" s="173" t="s">
        <v>217</v>
      </c>
      <c r="C14" s="306">
        <v>1.0530522448683084E-3</v>
      </c>
      <c r="E14" s="287">
        <v>3168.0000000000005</v>
      </c>
      <c r="F14" s="289">
        <f t="shared" si="0"/>
        <v>1.0530522448683084E-3</v>
      </c>
    </row>
    <row r="15" spans="1:7" ht="27" customHeight="1" x14ac:dyDescent="0.2">
      <c r="A15" s="457"/>
      <c r="B15" s="173" t="s">
        <v>170</v>
      </c>
      <c r="C15" s="306">
        <v>2.8994213633064151E-2</v>
      </c>
      <c r="D15" s="12"/>
      <c r="E15" s="287">
        <v>87226.126944000003</v>
      </c>
      <c r="F15" s="289">
        <f t="shared" si="0"/>
        <v>2.8994213633064151E-2</v>
      </c>
    </row>
    <row r="16" spans="1:7" ht="26.25" customHeight="1" x14ac:dyDescent="0.2">
      <c r="A16" s="457"/>
      <c r="B16" s="173" t="s">
        <v>218</v>
      </c>
      <c r="C16" s="306">
        <v>0</v>
      </c>
      <c r="D16" s="12"/>
      <c r="E16" s="287"/>
      <c r="F16" s="289">
        <f t="shared" si="0"/>
        <v>0</v>
      </c>
    </row>
    <row r="17" spans="1:8" ht="26.25" customHeight="1" x14ac:dyDescent="0.2">
      <c r="A17" s="457"/>
      <c r="B17" s="173" t="s">
        <v>171</v>
      </c>
      <c r="C17" s="306">
        <v>0.30912057496714357</v>
      </c>
      <c r="E17" s="287">
        <v>929957.64100800012</v>
      </c>
      <c r="F17" s="289">
        <f t="shared" si="0"/>
        <v>0.30912057496714357</v>
      </c>
    </row>
    <row r="18" spans="1:8" ht="33" customHeight="1" x14ac:dyDescent="0.2">
      <c r="A18" s="457"/>
      <c r="B18" s="173" t="s">
        <v>114</v>
      </c>
      <c r="C18" s="306">
        <v>0.13182415825983529</v>
      </c>
      <c r="E18" s="287">
        <v>396579.50059200003</v>
      </c>
      <c r="F18" s="289">
        <f t="shared" si="0"/>
        <v>0.13182415825983529</v>
      </c>
    </row>
    <row r="19" spans="1:8" ht="20.25" customHeight="1" x14ac:dyDescent="0.2">
      <c r="A19" s="458"/>
      <c r="B19" s="173" t="s">
        <v>219</v>
      </c>
      <c r="C19" s="306">
        <v>8.1481364691487215E-2</v>
      </c>
      <c r="E19" s="287">
        <v>245128.35388800001</v>
      </c>
      <c r="F19" s="289">
        <f t="shared" si="0"/>
        <v>8.1481364691487215E-2</v>
      </c>
    </row>
    <row r="20" spans="1:8" ht="20.25" customHeight="1" x14ac:dyDescent="0.2">
      <c r="A20" s="247"/>
      <c r="B20" s="290" t="s">
        <v>220</v>
      </c>
      <c r="C20" s="452">
        <v>0.44800000000000001</v>
      </c>
      <c r="D20" s="46"/>
      <c r="E20" s="307">
        <v>0.46300000000000002</v>
      </c>
      <c r="F20" s="289"/>
    </row>
    <row r="21" spans="1:8" ht="20.25" customHeight="1" x14ac:dyDescent="0.2">
      <c r="C21" s="129" t="s">
        <v>536</v>
      </c>
      <c r="H21" s="51"/>
    </row>
    <row r="22" spans="1:8" ht="26.25" customHeight="1" x14ac:dyDescent="0.2">
      <c r="C22" s="52"/>
      <c r="D22" s="51"/>
    </row>
    <row r="23" spans="1:8" ht="15.75" customHeight="1" x14ac:dyDescent="0.2">
      <c r="B23" s="12"/>
      <c r="D23" s="53"/>
    </row>
    <row r="24" spans="1:8" ht="15.75" customHeight="1" x14ac:dyDescent="0.2">
      <c r="B24" s="158" t="s">
        <v>539</v>
      </c>
      <c r="D24" s="53"/>
    </row>
    <row r="25" spans="1:8" ht="15.75" customHeight="1" x14ac:dyDescent="0.2">
      <c r="B25" s="343" t="s">
        <v>175</v>
      </c>
      <c r="C25" s="344" t="s">
        <v>221</v>
      </c>
      <c r="D25" s="345"/>
    </row>
    <row r="26" spans="1:8" ht="15.75" customHeight="1" x14ac:dyDescent="0.2">
      <c r="B26" s="331" t="s">
        <v>33</v>
      </c>
      <c r="C26" s="422">
        <f>C15*C4</f>
        <v>87226.126944000018</v>
      </c>
      <c r="D26" s="347" t="s">
        <v>332</v>
      </c>
    </row>
    <row r="27" spans="1:8" ht="14.25" customHeight="1" x14ac:dyDescent="0.2">
      <c r="B27" s="333" t="s">
        <v>35</v>
      </c>
      <c r="C27" s="423">
        <v>0</v>
      </c>
      <c r="D27" s="349" t="s">
        <v>333</v>
      </c>
    </row>
    <row r="28" spans="1:8" ht="15.75" customHeight="1" x14ac:dyDescent="0.2">
      <c r="B28" s="331" t="s">
        <v>37</v>
      </c>
      <c r="C28" s="422">
        <f>SUM(C17:C18)*C4</f>
        <v>1326537.1416000004</v>
      </c>
      <c r="D28" s="347" t="s">
        <v>334</v>
      </c>
    </row>
    <row r="29" spans="1:8" ht="15.75" customHeight="1" x14ac:dyDescent="0.2">
      <c r="B29" s="331" t="s">
        <v>39</v>
      </c>
      <c r="C29" s="422">
        <f>C16*C4</f>
        <v>0</v>
      </c>
      <c r="D29" s="347" t="s">
        <v>335</v>
      </c>
    </row>
    <row r="30" spans="1:8" ht="15.75" customHeight="1" x14ac:dyDescent="0.2">
      <c r="B30" s="333" t="s">
        <v>41</v>
      </c>
      <c r="C30" s="422">
        <f>C10*C4*C20</f>
        <v>3535.6172544000005</v>
      </c>
      <c r="D30" s="351" t="s">
        <v>92</v>
      </c>
    </row>
    <row r="31" spans="1:8" ht="15.75" customHeight="1" x14ac:dyDescent="0.2">
      <c r="B31" s="333" t="s">
        <v>43</v>
      </c>
      <c r="C31" s="422">
        <f>C11*C4*C20</f>
        <v>392.84636160000008</v>
      </c>
      <c r="D31" s="351" t="s">
        <v>93</v>
      </c>
    </row>
    <row r="32" spans="1:8" ht="15.75" customHeight="1" x14ac:dyDescent="0.2">
      <c r="B32" s="333" t="s">
        <v>44</v>
      </c>
      <c r="C32" s="422">
        <f>C12*C4*C20</f>
        <v>498529.02629376017</v>
      </c>
      <c r="D32" s="351" t="s">
        <v>94</v>
      </c>
    </row>
    <row r="33" spans="2:6" ht="15.75" customHeight="1" x14ac:dyDescent="0.2">
      <c r="B33" s="333" t="s">
        <v>45</v>
      </c>
      <c r="C33" s="422">
        <f>C13*C4*C20</f>
        <v>100701.98949888002</v>
      </c>
      <c r="D33" s="351" t="s">
        <v>95</v>
      </c>
    </row>
    <row r="34" spans="2:6" ht="15.75" customHeight="1" x14ac:dyDescent="0.2">
      <c r="B34" s="331" t="s">
        <v>46</v>
      </c>
      <c r="C34" s="422">
        <f>C14*C4</f>
        <v>3168.0000000000014</v>
      </c>
      <c r="D34" s="351" t="s">
        <v>96</v>
      </c>
    </row>
    <row r="35" spans="2:6" ht="15.75" customHeight="1" x14ac:dyDescent="0.2">
      <c r="B35" s="331" t="s">
        <v>48</v>
      </c>
      <c r="C35" s="424">
        <v>0</v>
      </c>
      <c r="D35" s="351" t="s">
        <v>336</v>
      </c>
    </row>
    <row r="36" spans="2:6" ht="15.75" customHeight="1" x14ac:dyDescent="0.2">
      <c r="B36" s="331" t="s">
        <v>50</v>
      </c>
      <c r="C36" s="424">
        <v>0</v>
      </c>
      <c r="D36" s="351" t="s">
        <v>336</v>
      </c>
    </row>
    <row r="37" spans="2:6" ht="15.75" customHeight="1" x14ac:dyDescent="0.2">
      <c r="B37" s="331" t="s">
        <v>51</v>
      </c>
      <c r="C37" s="422">
        <v>0</v>
      </c>
      <c r="D37" s="351" t="s">
        <v>337</v>
      </c>
    </row>
    <row r="38" spans="2:6" ht="15.75" customHeight="1" x14ac:dyDescent="0.2">
      <c r="B38" s="331" t="s">
        <v>53</v>
      </c>
      <c r="C38" s="422">
        <v>0</v>
      </c>
      <c r="D38" s="351" t="s">
        <v>338</v>
      </c>
    </row>
    <row r="39" spans="2:6" ht="15.75" customHeight="1" x14ac:dyDescent="0.2">
      <c r="B39" s="331" t="s">
        <v>55</v>
      </c>
      <c r="C39" s="422">
        <v>0</v>
      </c>
      <c r="D39" s="351" t="s">
        <v>339</v>
      </c>
    </row>
    <row r="40" spans="2:6" ht="15.75" customHeight="1" x14ac:dyDescent="0.2">
      <c r="B40" s="331" t="s">
        <v>57</v>
      </c>
      <c r="C40" s="422">
        <v>0</v>
      </c>
      <c r="D40" s="351" t="s">
        <v>337</v>
      </c>
    </row>
    <row r="41" spans="2:6" ht="15.75" customHeight="1" x14ac:dyDescent="0.2">
      <c r="B41" s="331" t="s">
        <v>340</v>
      </c>
      <c r="C41" s="422">
        <f>C6*C5</f>
        <v>625555.03999999992</v>
      </c>
      <c r="D41" s="354" t="s">
        <v>341</v>
      </c>
    </row>
    <row r="42" spans="2:6" ht="15.75" customHeight="1" x14ac:dyDescent="0.2">
      <c r="B42" s="331" t="s">
        <v>60</v>
      </c>
      <c r="C42" s="422">
        <f>IF(C7-C41&gt;0,C7-C41,0)</f>
        <v>0</v>
      </c>
      <c r="D42" s="354" t="s">
        <v>342</v>
      </c>
    </row>
    <row r="43" spans="2:6" ht="15.75" customHeight="1" x14ac:dyDescent="0.2">
      <c r="B43" s="336" t="s">
        <v>62</v>
      </c>
      <c r="C43" s="422">
        <f>C19*C4+ C4*SUM(C10:C13)*(1-C20)</f>
        <v>988306.99815936026</v>
      </c>
      <c r="D43" s="355" t="s">
        <v>186</v>
      </c>
    </row>
    <row r="44" spans="2:6" ht="15.75" customHeight="1" x14ac:dyDescent="0.2">
      <c r="B44" s="331" t="s">
        <v>64</v>
      </c>
      <c r="C44" s="422">
        <f>SUM(C26:C43)</f>
        <v>3633952.7861120007</v>
      </c>
      <c r="D44" s="354" t="s">
        <v>187</v>
      </c>
      <c r="F44" s="101">
        <f>C44-C4</f>
        <v>625555.0400000005</v>
      </c>
    </row>
    <row r="45" spans="2:6" ht="15.75" customHeight="1" x14ac:dyDescent="0.2">
      <c r="B45" s="331" t="s">
        <v>66</v>
      </c>
      <c r="C45" s="422">
        <f>C5</f>
        <v>3127775.1999999997</v>
      </c>
      <c r="D45" s="354" t="s">
        <v>188</v>
      </c>
    </row>
    <row r="46" spans="2:6" ht="15.75" customHeight="1" x14ac:dyDescent="0.2">
      <c r="B46" s="331" t="s">
        <v>231</v>
      </c>
      <c r="C46" s="424">
        <f>MAX(0,(C44-C45))</f>
        <v>506177.58611200098</v>
      </c>
      <c r="D46" s="345"/>
    </row>
    <row r="47" spans="2:6" ht="15.75" customHeight="1" x14ac:dyDescent="0.2"/>
    <row r="48" spans="2:6" ht="15.75" customHeight="1" x14ac:dyDescent="0.2">
      <c r="B48" s="63" t="s">
        <v>232</v>
      </c>
      <c r="C48" s="23">
        <f>C46/C44</f>
        <v>0.13929118398193749</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7" t="s">
        <v>235</v>
      </c>
      <c r="C53" s="318">
        <f>C5</f>
        <v>3127775.1999999997</v>
      </c>
      <c r="D53" s="187" t="s">
        <v>496</v>
      </c>
      <c r="E53" s="319">
        <v>0</v>
      </c>
      <c r="F53" s="187">
        <v>100000000</v>
      </c>
      <c r="G53" s="188">
        <v>1</v>
      </c>
    </row>
    <row r="54" spans="2:8" ht="15.75" customHeight="1" x14ac:dyDescent="0.2">
      <c r="B54" s="317" t="s">
        <v>233</v>
      </c>
      <c r="C54" s="318">
        <f>C4</f>
        <v>3008397.7461120002</v>
      </c>
      <c r="D54" s="187" t="s">
        <v>234</v>
      </c>
      <c r="E54" s="319">
        <v>0</v>
      </c>
      <c r="F54" s="187">
        <v>100000000</v>
      </c>
      <c r="G54" s="188">
        <v>1</v>
      </c>
      <c r="H54" s="46"/>
    </row>
    <row r="55" spans="2:8" ht="15.75" customHeight="1" x14ac:dyDescent="0.2">
      <c r="B55" s="142" t="s">
        <v>236</v>
      </c>
      <c r="C55" s="143">
        <f>C53-C54</f>
        <v>119377.45388799952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74</v>
      </c>
      <c r="C58" s="320">
        <f t="shared" ref="C58:C63" si="1">C10*100</f>
        <v>0.26233242629567471</v>
      </c>
      <c r="D58" s="183" t="s">
        <v>379</v>
      </c>
      <c r="E58" s="183">
        <v>0</v>
      </c>
      <c r="F58" s="183">
        <v>10000000</v>
      </c>
      <c r="G58" s="183">
        <v>1</v>
      </c>
      <c r="H58" s="12"/>
    </row>
    <row r="59" spans="2:8" ht="26.25" customHeight="1" x14ac:dyDescent="0.2">
      <c r="B59" s="200" t="s">
        <v>76</v>
      </c>
      <c r="C59" s="320">
        <f t="shared" si="1"/>
        <v>2.9148047366186074E-2</v>
      </c>
      <c r="D59" s="183" t="s">
        <v>380</v>
      </c>
      <c r="E59" s="183">
        <v>0</v>
      </c>
      <c r="F59" s="183">
        <v>10000000</v>
      </c>
      <c r="G59" s="183">
        <v>1</v>
      </c>
      <c r="H59" s="12"/>
    </row>
    <row r="60" spans="2:8" ht="26.25" customHeight="1" x14ac:dyDescent="0.2">
      <c r="B60" s="200" t="s">
        <v>77</v>
      </c>
      <c r="C60" s="320">
        <f t="shared" si="1"/>
        <v>36.98939099918379</v>
      </c>
      <c r="D60" s="183" t="s">
        <v>381</v>
      </c>
      <c r="E60" s="183">
        <v>0</v>
      </c>
      <c r="F60" s="183">
        <v>10000000</v>
      </c>
      <c r="G60" s="183">
        <v>1</v>
      </c>
      <c r="H60" s="12"/>
    </row>
    <row r="61" spans="2:8" ht="26.25" customHeight="1" x14ac:dyDescent="0.2">
      <c r="B61" s="200" t="s">
        <v>78</v>
      </c>
      <c r="C61" s="320">
        <f t="shared" si="1"/>
        <v>7.4717921475145141</v>
      </c>
      <c r="D61" s="183" t="s">
        <v>382</v>
      </c>
      <c r="E61" s="183">
        <v>0</v>
      </c>
      <c r="F61" s="183">
        <v>10000000</v>
      </c>
      <c r="G61" s="183">
        <v>1</v>
      </c>
      <c r="H61" s="12"/>
    </row>
    <row r="62" spans="2:8" ht="26.25" customHeight="1" x14ac:dyDescent="0.2">
      <c r="B62" s="315" t="s">
        <v>217</v>
      </c>
      <c r="C62" s="320">
        <f t="shared" si="1"/>
        <v>0.10530522448683084</v>
      </c>
      <c r="D62" s="183" t="s">
        <v>237</v>
      </c>
      <c r="E62" s="183">
        <v>0</v>
      </c>
      <c r="F62" s="183">
        <v>10000000</v>
      </c>
      <c r="G62" s="183">
        <v>1</v>
      </c>
    </row>
    <row r="63" spans="2:8" ht="26.25" customHeight="1" x14ac:dyDescent="0.2">
      <c r="B63" s="315" t="s">
        <v>170</v>
      </c>
      <c r="C63" s="320">
        <f t="shared" si="1"/>
        <v>2.899421363306415</v>
      </c>
      <c r="D63" s="183" t="s">
        <v>238</v>
      </c>
      <c r="E63" s="183">
        <v>0</v>
      </c>
      <c r="F63" s="183">
        <v>10000000</v>
      </c>
      <c r="G63" s="183">
        <v>1</v>
      </c>
      <c r="H63" s="12"/>
    </row>
    <row r="64" spans="2:8" ht="26.25" customHeight="1" x14ac:dyDescent="0.2">
      <c r="B64" s="200" t="s">
        <v>514</v>
      </c>
      <c r="C64" s="321">
        <v>0</v>
      </c>
      <c r="D64" s="183" t="s">
        <v>383</v>
      </c>
      <c r="E64" s="183">
        <v>0</v>
      </c>
      <c r="F64" s="183">
        <v>10000000</v>
      </c>
      <c r="G64" s="183">
        <v>1</v>
      </c>
      <c r="H64" s="12"/>
    </row>
    <row r="65" spans="2:8" ht="26.25" customHeight="1" x14ac:dyDescent="0.2">
      <c r="B65" s="315" t="s">
        <v>218</v>
      </c>
      <c r="C65" s="320">
        <f>C16*100</f>
        <v>0</v>
      </c>
      <c r="D65" s="183" t="s">
        <v>239</v>
      </c>
      <c r="E65" s="183">
        <v>0</v>
      </c>
      <c r="F65" s="183">
        <v>10000000</v>
      </c>
      <c r="G65" s="183">
        <v>1</v>
      </c>
      <c r="H65" s="12"/>
    </row>
    <row r="66" spans="2:8" ht="26.25" customHeight="1" x14ac:dyDescent="0.2">
      <c r="B66" s="315" t="s">
        <v>171</v>
      </c>
      <c r="C66" s="320">
        <f>C17*100</f>
        <v>30.912057496714358</v>
      </c>
      <c r="D66" s="183" t="s">
        <v>240</v>
      </c>
      <c r="E66" s="183">
        <v>0</v>
      </c>
      <c r="F66" s="183">
        <v>10000000</v>
      </c>
      <c r="G66" s="183">
        <v>1</v>
      </c>
    </row>
    <row r="67" spans="2:8" ht="26.25" customHeight="1" x14ac:dyDescent="0.2">
      <c r="B67" s="315" t="s">
        <v>114</v>
      </c>
      <c r="C67" s="320">
        <f>C18*100</f>
        <v>13.182415825983529</v>
      </c>
      <c r="D67" s="183" t="s">
        <v>241</v>
      </c>
      <c r="E67" s="183">
        <v>0</v>
      </c>
      <c r="F67" s="183">
        <v>10000000</v>
      </c>
      <c r="G67" s="183">
        <v>1</v>
      </c>
    </row>
    <row r="68" spans="2:8" ht="26.25" customHeight="1" x14ac:dyDescent="0.2">
      <c r="B68" s="315" t="s">
        <v>392</v>
      </c>
      <c r="C68" s="322">
        <f>C41</f>
        <v>625555.03999999992</v>
      </c>
      <c r="D68" s="183" t="s">
        <v>393</v>
      </c>
      <c r="E68" s="183">
        <v>0</v>
      </c>
      <c r="F68" s="183">
        <v>10000000</v>
      </c>
      <c r="G68" s="183">
        <v>1</v>
      </c>
      <c r="H68" s="46"/>
    </row>
    <row r="69" spans="2:8" ht="26.25" customHeight="1" x14ac:dyDescent="0.2">
      <c r="B69" s="315" t="s">
        <v>219</v>
      </c>
      <c r="C69" s="320">
        <f>C19*100</f>
        <v>8.1481364691487208</v>
      </c>
      <c r="D69" s="183" t="s">
        <v>242</v>
      </c>
      <c r="E69" s="183">
        <v>0</v>
      </c>
      <c r="F69" s="183">
        <v>10000000</v>
      </c>
      <c r="G69" s="183">
        <v>1</v>
      </c>
    </row>
    <row r="70" spans="2:8" ht="26.25" customHeight="1" x14ac:dyDescent="0.2">
      <c r="B70" s="323" t="s">
        <v>396</v>
      </c>
      <c r="C70" s="324">
        <f>C20*100</f>
        <v>44.800000000000004</v>
      </c>
      <c r="D70" s="325" t="s">
        <v>243</v>
      </c>
      <c r="E70" s="325">
        <v>0</v>
      </c>
      <c r="F70" s="325">
        <v>10000000</v>
      </c>
      <c r="G70" s="325">
        <v>1</v>
      </c>
      <c r="H70" s="46"/>
    </row>
    <row r="71" spans="2:8" ht="26.25" customHeight="1" x14ac:dyDescent="0.2">
      <c r="C71" s="101"/>
    </row>
    <row r="72" spans="2:8" ht="26.25" customHeight="1" x14ac:dyDescent="0.2">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E3" activePane="bottomRight" state="frozen"/>
      <selection pane="topRight" activeCell="B1" sqref="B1"/>
      <selection pane="bottomLeft" activeCell="A3" sqref="A3"/>
      <selection pane="bottomRight" activeCell="O6" sqref="O6"/>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344</v>
      </c>
      <c r="R2" s="66" t="s">
        <v>60</v>
      </c>
      <c r="S2" s="67" t="s">
        <v>62</v>
      </c>
      <c r="T2" s="68" t="s">
        <v>189</v>
      </c>
      <c r="U2" s="69" t="s">
        <v>345</v>
      </c>
      <c r="V2" s="69" t="s">
        <v>346</v>
      </c>
      <c r="W2" s="60"/>
      <c r="X2" s="60"/>
      <c r="Y2" s="60"/>
      <c r="Z2" s="60"/>
      <c r="AA2" s="60"/>
      <c r="AB2" s="60"/>
      <c r="AC2" s="60"/>
      <c r="AD2" s="60"/>
      <c r="AE2" s="60"/>
    </row>
    <row r="3" spans="1:31" ht="14.25" customHeight="1" x14ac:dyDescent="0.2">
      <c r="A3" s="70" t="s">
        <v>33</v>
      </c>
      <c r="B3" s="71">
        <f>Ag!C25</f>
        <v>28212835.67984999</v>
      </c>
      <c r="C3" s="71">
        <f>Tourism!C25</f>
        <v>936194.04698087974</v>
      </c>
      <c r="D3" s="71">
        <f>Nonag!C25</f>
        <v>119644249.81972806</v>
      </c>
      <c r="E3" s="71">
        <f>Fishing!C25</f>
        <v>469611.21005852788</v>
      </c>
      <c r="F3" s="71">
        <v>0</v>
      </c>
      <c r="G3" s="71"/>
      <c r="H3" s="71"/>
      <c r="I3" s="71"/>
      <c r="J3" s="71">
        <v>0</v>
      </c>
      <c r="K3" s="72">
        <f>Households!C28</f>
        <v>8446183.2593501974</v>
      </c>
      <c r="L3" s="72">
        <f>Households!D28</f>
        <v>134466981.23960376</v>
      </c>
      <c r="M3" s="73">
        <f>Restaurants!C25</f>
        <v>3138610.4099803576</v>
      </c>
      <c r="N3" s="73">
        <f>Lodges!C26</f>
        <v>3266631.9330242681</v>
      </c>
      <c r="O3" s="73">
        <f>Tourists!C25</f>
        <v>0</v>
      </c>
      <c r="P3" s="73">
        <f>NatParkPA!C26</f>
        <v>87226.126944000018</v>
      </c>
      <c r="Q3" s="73">
        <f>ComRevSh!C25</f>
        <v>10438.08466068614</v>
      </c>
      <c r="R3" s="73">
        <v>0</v>
      </c>
      <c r="S3" s="74"/>
      <c r="T3" s="71">
        <f t="shared" ref="T3:T20" si="0">SUM(B3:S3)</f>
        <v>298678961.81018078</v>
      </c>
      <c r="U3" s="53">
        <f>T3/B21</f>
        <v>1.3582916971437582</v>
      </c>
      <c r="V3" s="53"/>
      <c r="W3" s="60"/>
      <c r="X3" s="60"/>
      <c r="Y3" s="60"/>
      <c r="Z3" s="60"/>
      <c r="AA3" s="60"/>
      <c r="AB3" s="60"/>
      <c r="AC3" s="60"/>
      <c r="AD3" s="60"/>
      <c r="AE3" s="60"/>
    </row>
    <row r="4" spans="1:31" ht="14.25" customHeight="1" x14ac:dyDescent="0.2">
      <c r="A4" s="70" t="s">
        <v>35</v>
      </c>
      <c r="B4" s="71"/>
      <c r="C4" s="71">
        <f>Tourism!C26</f>
        <v>0</v>
      </c>
      <c r="D4" s="71"/>
      <c r="E4" s="71"/>
      <c r="F4" s="71"/>
      <c r="G4" s="71"/>
      <c r="H4" s="71"/>
      <c r="I4" s="71"/>
      <c r="J4" s="71"/>
      <c r="K4" s="72"/>
      <c r="L4" s="72"/>
      <c r="M4" s="73"/>
      <c r="N4" s="73"/>
      <c r="O4" s="73">
        <f>Tourists!C26</f>
        <v>10552690.69893617</v>
      </c>
      <c r="P4" s="73">
        <f>NatParkPA!C27</f>
        <v>0</v>
      </c>
      <c r="Q4" s="73">
        <f>ComRevSh!C26</f>
        <v>0</v>
      </c>
      <c r="R4" s="73"/>
      <c r="S4" s="73"/>
      <c r="T4" s="71">
        <f t="shared" si="0"/>
        <v>10552690.69893617</v>
      </c>
      <c r="U4" s="53">
        <f>T4/C21</f>
        <v>0.99999999999999978</v>
      </c>
      <c r="V4" s="53"/>
      <c r="W4" s="60"/>
      <c r="X4" s="60"/>
      <c r="Y4" s="60"/>
      <c r="Z4" s="60"/>
      <c r="AA4" s="60"/>
      <c r="AB4" s="60"/>
      <c r="AC4" s="60"/>
      <c r="AD4" s="60"/>
      <c r="AE4" s="60"/>
    </row>
    <row r="5" spans="1:31" ht="14.25" customHeight="1" x14ac:dyDescent="0.2">
      <c r="A5" s="70" t="s">
        <v>37</v>
      </c>
      <c r="B5" s="71">
        <f>Ag!C27</f>
        <v>39040464.50833296</v>
      </c>
      <c r="C5" s="71">
        <f>Tourism!C27</f>
        <v>1930321.6330731832</v>
      </c>
      <c r="D5" s="71">
        <f>Nonag!C27</f>
        <v>155827637.3949973</v>
      </c>
      <c r="E5" s="71">
        <f>Fishing!C27</f>
        <v>374785.86956594058</v>
      </c>
      <c r="F5" s="71">
        <v>0</v>
      </c>
      <c r="G5" s="71"/>
      <c r="H5" s="71"/>
      <c r="I5" s="71"/>
      <c r="J5" s="71">
        <v>0</v>
      </c>
      <c r="K5" s="72">
        <f>Households!C30</f>
        <v>5905493.0692114476</v>
      </c>
      <c r="L5" s="72">
        <f>Households!D30</f>
        <v>196768293.5018723</v>
      </c>
      <c r="M5" s="73">
        <f>Restaurants!C27</f>
        <v>1469000.0456248566</v>
      </c>
      <c r="N5" s="73">
        <f>Lodges!C28</f>
        <v>4439746.8245106386</v>
      </c>
      <c r="O5" s="73">
        <f>Tourists!C27</f>
        <v>3232162.8712765961</v>
      </c>
      <c r="P5" s="73">
        <f>NatParkPA!C28</f>
        <v>1326537.1416000004</v>
      </c>
      <c r="Q5" s="73">
        <f>ComRevSh!C27</f>
        <v>322850.58484010189</v>
      </c>
      <c r="R5" s="73">
        <v>0</v>
      </c>
      <c r="S5" s="73">
        <v>0</v>
      </c>
      <c r="T5" s="71">
        <f t="shared" si="0"/>
        <v>410637293.4449054</v>
      </c>
      <c r="U5" s="53">
        <f>T5/D21</f>
        <v>0.81148408752993084</v>
      </c>
      <c r="V5" s="53"/>
      <c r="W5" s="60"/>
      <c r="X5" s="60"/>
      <c r="Y5" s="60"/>
      <c r="Z5" s="60"/>
      <c r="AA5" s="60"/>
      <c r="AB5" s="60"/>
      <c r="AC5" s="60"/>
      <c r="AD5" s="60"/>
      <c r="AE5" s="60"/>
    </row>
    <row r="6" spans="1:31" ht="14.25" customHeight="1" x14ac:dyDescent="0.2">
      <c r="A6" s="70" t="s">
        <v>39</v>
      </c>
      <c r="B6" s="71">
        <f>Ag!C28</f>
        <v>2287527.2172851348</v>
      </c>
      <c r="C6" s="71">
        <f>Tourism!C28</f>
        <v>62412.936465391977</v>
      </c>
      <c r="D6" s="71">
        <f>Nonag!C28</f>
        <v>15166172.512359895</v>
      </c>
      <c r="E6" s="71">
        <f>Fishing!C28</f>
        <v>76763.370874951681</v>
      </c>
      <c r="F6" s="71"/>
      <c r="G6" s="71"/>
      <c r="H6" s="71"/>
      <c r="I6" s="71"/>
      <c r="J6" s="71"/>
      <c r="K6" s="72">
        <f>Households!C31</f>
        <v>0</v>
      </c>
      <c r="L6" s="72">
        <f>Households!D31</f>
        <v>2760845.3756781127</v>
      </c>
      <c r="M6" s="73">
        <f>Restaurants!C28</f>
        <v>505639.70320438268</v>
      </c>
      <c r="N6" s="73">
        <f>Lodges!C29</f>
        <v>602747.08544681023</v>
      </c>
      <c r="O6" s="73">
        <f>Tourists!C28</f>
        <v>0</v>
      </c>
      <c r="P6" s="73">
        <f>NatParkPA!C29</f>
        <v>0</v>
      </c>
      <c r="Q6" s="73">
        <f>ComRevSh!C28</f>
        <v>0</v>
      </c>
      <c r="R6" s="73">
        <v>0</v>
      </c>
      <c r="S6" s="73"/>
      <c r="T6" s="71">
        <f t="shared" si="0"/>
        <v>21462108.20131468</v>
      </c>
      <c r="U6" s="53">
        <f>T6/E21</f>
        <v>4.4226186222506465</v>
      </c>
      <c r="V6" s="53"/>
      <c r="W6" s="60"/>
      <c r="X6" s="60"/>
      <c r="Y6" s="60"/>
      <c r="Z6" s="60"/>
      <c r="AA6" s="60"/>
      <c r="AB6" s="60"/>
      <c r="AC6" s="60"/>
      <c r="AD6" s="60"/>
      <c r="AE6" s="60"/>
    </row>
    <row r="7" spans="1:31" ht="14.25" customHeight="1" x14ac:dyDescent="0.2">
      <c r="A7" s="14" t="s">
        <v>41</v>
      </c>
      <c r="B7" s="71">
        <f>Ag!C29</f>
        <v>29280348.381249722</v>
      </c>
      <c r="C7" s="71">
        <f>Tourism!C29</f>
        <v>219425.96702290271</v>
      </c>
      <c r="D7" s="71">
        <f>Nonag!C29</f>
        <v>14201632.463937115</v>
      </c>
      <c r="E7" s="71">
        <f>Fishing!C29</f>
        <v>311623.16181306855</v>
      </c>
      <c r="F7" s="71">
        <v>0</v>
      </c>
      <c r="G7" s="71"/>
      <c r="H7" s="71"/>
      <c r="I7" s="71"/>
      <c r="J7" s="71">
        <v>0</v>
      </c>
      <c r="K7" s="72">
        <f>Households!C32</f>
        <v>0</v>
      </c>
      <c r="L7" s="72">
        <f>Households!D32</f>
        <v>0</v>
      </c>
      <c r="M7" s="73">
        <f>Restaurants!C29</f>
        <v>97632.003032298162</v>
      </c>
      <c r="N7" s="73">
        <f>Lodges!C30</f>
        <v>354899.087672728</v>
      </c>
      <c r="O7" s="73">
        <f>Tourists!C29</f>
        <v>0</v>
      </c>
      <c r="P7" s="73">
        <f>NatParkPA!C30</f>
        <v>3535.6172544000005</v>
      </c>
      <c r="Q7" s="73">
        <f>ComRevSh!C29</f>
        <v>178491.24769773296</v>
      </c>
      <c r="R7" s="73">
        <v>0</v>
      </c>
      <c r="S7" s="73">
        <v>0</v>
      </c>
      <c r="T7" s="71">
        <f t="shared" si="0"/>
        <v>44647587.92967996</v>
      </c>
      <c r="U7" s="53">
        <f>T7/F21</f>
        <v>1</v>
      </c>
      <c r="V7" s="468" t="s">
        <v>347</v>
      </c>
      <c r="W7" s="60"/>
      <c r="X7" s="60"/>
      <c r="Y7" s="60"/>
      <c r="Z7" s="60"/>
      <c r="AA7" s="60"/>
      <c r="AB7" s="60"/>
      <c r="AC7" s="60"/>
      <c r="AD7" s="60"/>
      <c r="AE7" s="60"/>
    </row>
    <row r="8" spans="1:31" ht="14.25" customHeight="1" x14ac:dyDescent="0.2">
      <c r="A8" s="14" t="s">
        <v>43</v>
      </c>
      <c r="B8" s="71">
        <f>Ag!C30</f>
        <v>31720377.413020536</v>
      </c>
      <c r="C8" s="71">
        <f>Tourism!C30</f>
        <v>219425.96702290271</v>
      </c>
      <c r="D8" s="71">
        <f>Nonag!C30</f>
        <v>10586671.473116767</v>
      </c>
      <c r="E8" s="71">
        <f>Fishing!C30</f>
        <v>23083.197171338408</v>
      </c>
      <c r="F8" s="71"/>
      <c r="G8" s="71"/>
      <c r="H8" s="71"/>
      <c r="I8" s="71"/>
      <c r="J8" s="71"/>
      <c r="K8" s="72"/>
      <c r="L8" s="72"/>
      <c r="M8" s="73">
        <f>Restaurants!C30</f>
        <v>256284.00795978267</v>
      </c>
      <c r="N8" s="73">
        <f>Lodges!C31</f>
        <v>981635.77441392757</v>
      </c>
      <c r="O8" s="73"/>
      <c r="P8" s="73">
        <f>NatParkPA!C31</f>
        <v>392.84636160000008</v>
      </c>
      <c r="Q8" s="73">
        <f>ComRevSh!C30</f>
        <v>20876.169321372279</v>
      </c>
      <c r="R8" s="73"/>
      <c r="S8" s="73"/>
      <c r="T8" s="71">
        <f t="shared" si="0"/>
        <v>43808746.848388225</v>
      </c>
      <c r="U8" s="53">
        <f>T8/G21</f>
        <v>1</v>
      </c>
      <c r="V8" s="460"/>
      <c r="W8" s="60"/>
      <c r="X8" s="60"/>
      <c r="Y8" s="60"/>
      <c r="Z8" s="60"/>
      <c r="AA8" s="60"/>
      <c r="AB8" s="60"/>
      <c r="AC8" s="60"/>
      <c r="AD8" s="60"/>
      <c r="AE8" s="60"/>
    </row>
    <row r="9" spans="1:31" ht="14.25" customHeight="1" x14ac:dyDescent="0.2">
      <c r="A9" s="14" t="s">
        <v>44</v>
      </c>
      <c r="B9" s="71">
        <f>Ag!C31</f>
        <v>0</v>
      </c>
      <c r="C9" s="71">
        <f>Tourism!C31</f>
        <v>303624.30320610967</v>
      </c>
      <c r="D9" s="71">
        <f>Nonag!C31</f>
        <v>8520979.4783622734</v>
      </c>
      <c r="E9" s="71">
        <f>Fishing!C31</f>
        <v>3847.1995285564017</v>
      </c>
      <c r="F9" s="71"/>
      <c r="G9" s="71"/>
      <c r="H9" s="71"/>
      <c r="I9" s="71"/>
      <c r="J9" s="71"/>
      <c r="K9" s="72"/>
      <c r="L9" s="72"/>
      <c r="M9" s="73">
        <f>Restaurants!C31</f>
        <v>79326.002463742261</v>
      </c>
      <c r="N9" s="73">
        <f>Lodges!C32</f>
        <v>241633.42139419806</v>
      </c>
      <c r="O9" s="73"/>
      <c r="P9" s="73">
        <f>NatParkPA!C32</f>
        <v>498529.02629376017</v>
      </c>
      <c r="Q9" s="73">
        <f>ComRevSh!C31</f>
        <v>92898.953480106618</v>
      </c>
      <c r="R9" s="73"/>
      <c r="S9" s="73"/>
      <c r="T9" s="71">
        <f t="shared" si="0"/>
        <v>9740838.3847287465</v>
      </c>
      <c r="U9" s="53">
        <f>T9/H21</f>
        <v>1</v>
      </c>
      <c r="V9" s="460"/>
      <c r="W9" s="60"/>
      <c r="X9" s="60"/>
      <c r="Y9" s="60"/>
      <c r="Z9" s="60"/>
      <c r="AA9" s="60"/>
      <c r="AB9" s="60"/>
      <c r="AC9" s="60"/>
      <c r="AD9" s="60"/>
      <c r="AE9" s="60"/>
    </row>
    <row r="10" spans="1:31" ht="14.25" customHeight="1" x14ac:dyDescent="0.2">
      <c r="A10" s="14" t="s">
        <v>45</v>
      </c>
      <c r="B10" s="71">
        <f>Ag!C32</f>
        <v>0</v>
      </c>
      <c r="C10" s="71">
        <f>Tourism!C32</f>
        <v>63786.618320611415</v>
      </c>
      <c r="D10" s="71">
        <f>Nonag!C32</f>
        <v>0</v>
      </c>
      <c r="E10" s="71">
        <f>Fishing!C32</f>
        <v>0</v>
      </c>
      <c r="F10" s="71"/>
      <c r="G10" s="71"/>
      <c r="H10" s="71"/>
      <c r="I10" s="71"/>
      <c r="J10" s="71"/>
      <c r="K10" s="72"/>
      <c r="L10" s="72"/>
      <c r="M10" s="73">
        <f>Restaurants!C32</f>
        <v>67122.002084704989</v>
      </c>
      <c r="N10" s="73">
        <f>Lodges!C33</f>
        <v>558777.28697408317</v>
      </c>
      <c r="O10" s="73"/>
      <c r="P10" s="73">
        <f>NatParkPA!C33</f>
        <v>100701.98949888002</v>
      </c>
      <c r="Q10" s="73">
        <f>ComRevSh!C32</f>
        <v>0</v>
      </c>
      <c r="R10" s="73"/>
      <c r="S10" s="73"/>
      <c r="T10" s="71">
        <f t="shared" si="0"/>
        <v>790387.89687827951</v>
      </c>
      <c r="U10" s="53">
        <f>T10/I21</f>
        <v>1.0000000000000002</v>
      </c>
      <c r="V10" s="460"/>
      <c r="W10" s="60"/>
      <c r="X10" s="60"/>
      <c r="Y10" s="60"/>
      <c r="Z10" s="60"/>
      <c r="AA10" s="60"/>
      <c r="AB10" s="60"/>
      <c r="AC10" s="60"/>
      <c r="AD10" s="60"/>
      <c r="AE10" s="60"/>
    </row>
    <row r="11" spans="1:31" ht="14.25" customHeight="1" x14ac:dyDescent="0.2">
      <c r="A11" s="70" t="s">
        <v>46</v>
      </c>
      <c r="B11" s="71">
        <f>Ag!C33</f>
        <v>65967927.751803666</v>
      </c>
      <c r="C11" s="71">
        <f>Tourism!C33</f>
        <v>2392529.4856865853</v>
      </c>
      <c r="D11" s="71">
        <f>Nonag!C33</f>
        <v>50097214.074510343</v>
      </c>
      <c r="E11" s="71">
        <f>Fishing!C33</f>
        <v>1348783.4454727951</v>
      </c>
      <c r="F11" s="71">
        <v>0</v>
      </c>
      <c r="G11" s="71"/>
      <c r="H11" s="71"/>
      <c r="I11" s="71"/>
      <c r="J11" s="71">
        <v>0</v>
      </c>
      <c r="K11" s="72">
        <f>Households!C36</f>
        <v>140155.66981484886</v>
      </c>
      <c r="L11" s="72">
        <f>Households!D36</f>
        <v>4877270.650115489</v>
      </c>
      <c r="M11" s="73">
        <f>Restaurants!C33</f>
        <v>2118750.0658050817</v>
      </c>
      <c r="N11" s="73">
        <f>Lodges!C34</f>
        <v>5009280.2042553332</v>
      </c>
      <c r="O11" s="73">
        <f>Tourists!C33</f>
        <v>0</v>
      </c>
      <c r="P11" s="73">
        <f>NatParkPA!C34</f>
        <v>3168.0000000000014</v>
      </c>
      <c r="Q11" s="73">
        <f>ComRevSh!C33</f>
        <v>0</v>
      </c>
      <c r="R11" s="73">
        <v>0</v>
      </c>
      <c r="S11" s="73">
        <v>0</v>
      </c>
      <c r="T11" s="71">
        <f t="shared" si="0"/>
        <v>131955079.34746414</v>
      </c>
      <c r="U11" s="53">
        <f>T11/J21</f>
        <v>1</v>
      </c>
      <c r="V11" s="460"/>
      <c r="W11" s="60"/>
      <c r="X11" s="60"/>
      <c r="Y11" s="60"/>
      <c r="Z11" s="60"/>
      <c r="AA11" s="60"/>
      <c r="AB11" s="60"/>
      <c r="AC11" s="60"/>
      <c r="AD11" s="60"/>
      <c r="AE11" s="60"/>
    </row>
    <row r="12" spans="1:31" ht="14.25" customHeight="1" x14ac:dyDescent="0.2">
      <c r="A12" s="70" t="s">
        <v>48</v>
      </c>
      <c r="B12" s="71">
        <f>Ag!C34</f>
        <v>0</v>
      </c>
      <c r="C12" s="71">
        <f>Tourism!C34</f>
        <v>0</v>
      </c>
      <c r="D12" s="71">
        <f>Nonag!C34</f>
        <v>0</v>
      </c>
      <c r="E12" s="71">
        <f>Fishing!C34</f>
        <v>0</v>
      </c>
      <c r="F12" s="75">
        <f>Households!G7*SUM($B$7:$S$7)</f>
        <v>1663040.9567087844</v>
      </c>
      <c r="G12" s="75">
        <f>Households!H7*SUM($B$8:$S$8)</f>
        <v>831381.55143533286</v>
      </c>
      <c r="H12" s="75">
        <f>Households!I7*SUM($B$9:$S$9)</f>
        <v>699598.06532647402</v>
      </c>
      <c r="I12" s="75">
        <f>Households!J7*SUM($B$10:$S$10)</f>
        <v>49161.452103053132</v>
      </c>
      <c r="J12" s="105">
        <f>Households!K7*SUM($B$11:$S$11)</f>
        <v>3273086.6818694365</v>
      </c>
      <c r="K12" s="72">
        <f>Households!C37</f>
        <v>0</v>
      </c>
      <c r="L12" s="72">
        <f>Households!D37</f>
        <v>0</v>
      </c>
      <c r="M12" s="73">
        <f>Restaurants!C34</f>
        <v>0</v>
      </c>
      <c r="N12" s="73">
        <f>Lodges!C35</f>
        <v>0</v>
      </c>
      <c r="O12" s="73">
        <f>Tourists!C34</f>
        <v>0</v>
      </c>
      <c r="P12" s="73">
        <f>NatParkPA!C35</f>
        <v>0</v>
      </c>
      <c r="Q12" s="73">
        <f>ComRevSh!C34</f>
        <v>0</v>
      </c>
      <c r="R12" s="73">
        <v>0</v>
      </c>
      <c r="S12" s="76">
        <f>Households!G14</f>
        <v>1290353.308770055</v>
      </c>
      <c r="T12" s="71">
        <f t="shared" si="0"/>
        <v>7806622.0162131358</v>
      </c>
      <c r="U12" s="53">
        <f>T12/K21</f>
        <v>0.53285697887243011</v>
      </c>
      <c r="V12" s="460"/>
      <c r="W12" s="60"/>
      <c r="X12" s="60"/>
      <c r="Y12" s="60"/>
      <c r="Z12" s="60"/>
      <c r="AA12" s="60"/>
      <c r="AB12" s="60"/>
      <c r="AC12" s="60"/>
      <c r="AD12" s="60"/>
      <c r="AE12" s="60"/>
    </row>
    <row r="13" spans="1:31" ht="14.25" customHeight="1" x14ac:dyDescent="0.2">
      <c r="A13" s="70" t="s">
        <v>50</v>
      </c>
      <c r="B13" s="71">
        <f>Ag!C35</f>
        <v>0</v>
      </c>
      <c r="C13" s="71">
        <f>Tourism!C35</f>
        <v>0</v>
      </c>
      <c r="D13" s="71">
        <f>Nonag!C35</f>
        <v>0</v>
      </c>
      <c r="E13" s="71">
        <f>Fishing!C35</f>
        <v>0</v>
      </c>
      <c r="F13" s="75">
        <f>Households!G8*SUM($B$7:$S$7)</f>
        <v>42984546.972971179</v>
      </c>
      <c r="G13" s="75">
        <f>Households!H8*SUM($B$8:$S$8)</f>
        <v>42977365.296952888</v>
      </c>
      <c r="H13" s="75">
        <f>Households!I8*SUM($B$9:$S$9)</f>
        <v>9041240.3194022719</v>
      </c>
      <c r="I13" s="75">
        <f>Households!J8*SUM($B$10:$S$10)</f>
        <v>741226.44477522629</v>
      </c>
      <c r="J13" s="105">
        <f>Households!K8*SUM($B$11:$S$11)</f>
        <v>128681992.66559471</v>
      </c>
      <c r="K13" s="72">
        <f>Households!C38</f>
        <v>0</v>
      </c>
      <c r="L13" s="72">
        <f>Households!D38</f>
        <v>0</v>
      </c>
      <c r="M13" s="73">
        <f>Restaurants!C35</f>
        <v>0</v>
      </c>
      <c r="N13" s="73">
        <f>Lodges!C36</f>
        <v>0</v>
      </c>
      <c r="O13" s="73">
        <f>Tourists!C35</f>
        <v>0</v>
      </c>
      <c r="P13" s="73">
        <f>NatParkPA!C36</f>
        <v>0</v>
      </c>
      <c r="Q13" s="73">
        <f>ComRevSh!C35</f>
        <v>0</v>
      </c>
      <c r="R13" s="73">
        <v>0</v>
      </c>
      <c r="S13" s="73">
        <f>Households!H14</f>
        <v>17909298.848547637</v>
      </c>
      <c r="T13" s="71">
        <f t="shared" si="0"/>
        <v>242335670.54824394</v>
      </c>
      <c r="U13" s="53">
        <f>T13/L21</f>
        <v>0.67103752139353601</v>
      </c>
      <c r="V13" s="460"/>
      <c r="W13" s="60"/>
      <c r="X13" s="60"/>
      <c r="Y13" s="60"/>
      <c r="Z13" s="60"/>
      <c r="AA13" s="60"/>
      <c r="AB13" s="60"/>
      <c r="AC13" s="60"/>
      <c r="AD13" s="60"/>
      <c r="AE13" s="60"/>
    </row>
    <row r="14" spans="1:31" ht="14.25" customHeight="1" x14ac:dyDescent="0.2">
      <c r="A14" s="70" t="s">
        <v>51</v>
      </c>
      <c r="B14" s="71">
        <f>Ag!C36</f>
        <v>0</v>
      </c>
      <c r="C14" s="71">
        <f>Tourism!C36</f>
        <v>0</v>
      </c>
      <c r="D14" s="71">
        <f>Nonag!C36</f>
        <v>0</v>
      </c>
      <c r="E14" s="71">
        <f>Fishing!C36</f>
        <v>0</v>
      </c>
      <c r="F14" s="73"/>
      <c r="G14" s="73"/>
      <c r="H14" s="73"/>
      <c r="I14" s="73"/>
      <c r="J14" s="73"/>
      <c r="K14" s="72">
        <f>Households!C39</f>
        <v>0</v>
      </c>
      <c r="L14" s="72">
        <f>Households!D39</f>
        <v>7982528.4665805036</v>
      </c>
      <c r="M14" s="73">
        <f>Restaurants!C36</f>
        <v>0</v>
      </c>
      <c r="N14" s="73">
        <f>Lodges!C37</f>
        <v>0</v>
      </c>
      <c r="O14" s="73">
        <f>Tourists!C36</f>
        <v>1434138.4925531915</v>
      </c>
      <c r="P14" s="73">
        <f>NatParkPA!C37</f>
        <v>0</v>
      </c>
      <c r="Q14" s="73">
        <f>ComRevSh!C36</f>
        <v>0</v>
      </c>
      <c r="R14" s="73">
        <v>0</v>
      </c>
      <c r="S14" s="71"/>
      <c r="T14" s="77">
        <f t="shared" si="0"/>
        <v>9416666.9591336958</v>
      </c>
      <c r="U14" s="53">
        <f>T14/M21</f>
        <v>1</v>
      </c>
      <c r="V14" s="460"/>
      <c r="W14" s="60"/>
      <c r="X14" s="60"/>
      <c r="Y14" s="60"/>
      <c r="Z14" s="60"/>
      <c r="AA14" s="60"/>
      <c r="AB14" s="60"/>
      <c r="AC14" s="60"/>
      <c r="AD14" s="60"/>
      <c r="AE14" s="60"/>
    </row>
    <row r="15" spans="1:31" ht="14.25" customHeight="1" x14ac:dyDescent="0.2">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29946783.829787288</v>
      </c>
      <c r="P15" s="73">
        <f>NatParkPA!C38</f>
        <v>0</v>
      </c>
      <c r="Q15" s="73">
        <f>ComRevSh!C37</f>
        <v>0</v>
      </c>
      <c r="R15" s="73">
        <v>0</v>
      </c>
      <c r="S15" s="71"/>
      <c r="T15" s="77">
        <f t="shared" si="0"/>
        <v>29946783.829787288</v>
      </c>
      <c r="U15" s="53">
        <f>T15/N21</f>
        <v>1.0178876637891137</v>
      </c>
      <c r="V15" s="460"/>
      <c r="W15" s="60"/>
      <c r="X15" s="60"/>
      <c r="Y15" s="60"/>
      <c r="Z15" s="60"/>
      <c r="AA15" s="60"/>
      <c r="AB15" s="60"/>
      <c r="AC15" s="60"/>
      <c r="AD15" s="60"/>
      <c r="AE15" s="60"/>
    </row>
    <row r="16" spans="1:31" ht="14.25" customHeight="1" x14ac:dyDescent="0.2">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48293551.09255325</v>
      </c>
      <c r="T16" s="71">
        <f t="shared" si="0"/>
        <v>48293551.09255325</v>
      </c>
      <c r="U16" s="53">
        <f>T16/O21</f>
        <v>1</v>
      </c>
      <c r="V16" s="460"/>
      <c r="W16" s="60"/>
      <c r="X16" s="60"/>
      <c r="Y16" s="60"/>
      <c r="Z16" s="60"/>
      <c r="AA16" s="60"/>
      <c r="AB16" s="60"/>
      <c r="AC16" s="60"/>
      <c r="AD16" s="60"/>
      <c r="AE16" s="60"/>
    </row>
    <row r="17" spans="1:31" ht="14.25" customHeight="1" x14ac:dyDescent="0.2">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3127775.1999999997</v>
      </c>
      <c r="P17" s="73">
        <f>NatParkPA!C40</f>
        <v>0</v>
      </c>
      <c r="Q17" s="73">
        <f>ComRevSh!C39</f>
        <v>0</v>
      </c>
      <c r="R17" s="106">
        <f>NatParkPA!C46</f>
        <v>506177.58611200098</v>
      </c>
      <c r="S17" s="71"/>
      <c r="T17" s="71">
        <f t="shared" si="0"/>
        <v>3633952.7861120007</v>
      </c>
      <c r="U17" s="53">
        <f>T17/P21</f>
        <v>1</v>
      </c>
      <c r="V17" s="460"/>
      <c r="W17" s="60"/>
      <c r="X17" s="60"/>
      <c r="Y17" s="60"/>
      <c r="Z17" s="60"/>
      <c r="AA17" s="60"/>
      <c r="AB17" s="60"/>
      <c r="AC17" s="60"/>
      <c r="AD17" s="60"/>
      <c r="AE17" s="60"/>
    </row>
    <row r="18" spans="1:31" ht="14.25" customHeight="1" x14ac:dyDescent="0.2">
      <c r="A18" s="78" t="s">
        <v>58</v>
      </c>
      <c r="B18" s="71"/>
      <c r="C18" s="71">
        <f>Tourism!C40</f>
        <v>0</v>
      </c>
      <c r="D18" s="71"/>
      <c r="E18" s="71"/>
      <c r="F18" s="73"/>
      <c r="G18" s="73"/>
      <c r="H18" s="73"/>
      <c r="I18" s="73"/>
      <c r="J18" s="73"/>
      <c r="K18" s="72"/>
      <c r="L18" s="72"/>
      <c r="M18" s="73"/>
      <c r="N18" s="73"/>
      <c r="O18" s="73"/>
      <c r="P18" s="73">
        <f>NatParkPA!C41</f>
        <v>625555.03999999992</v>
      </c>
      <c r="Q18" s="73">
        <f>ComRevSh!C40</f>
        <v>0</v>
      </c>
      <c r="R18" s="73"/>
      <c r="S18" s="71"/>
      <c r="T18" s="71">
        <f t="shared" si="0"/>
        <v>625555.03999999992</v>
      </c>
      <c r="U18" s="53">
        <f>T18/Q21</f>
        <v>1</v>
      </c>
      <c r="V18" s="460"/>
      <c r="W18" s="60"/>
      <c r="X18" s="60"/>
      <c r="Y18" s="60"/>
      <c r="Z18" s="60"/>
      <c r="AA18" s="60"/>
      <c r="AB18" s="60"/>
      <c r="AC18" s="60"/>
      <c r="AD18" s="60"/>
      <c r="AE18" s="60"/>
    </row>
    <row r="19" spans="1:31" ht="14.25" customHeight="1" x14ac:dyDescent="0.2">
      <c r="A19" s="70" t="s">
        <v>60</v>
      </c>
      <c r="B19" s="71">
        <f>Ag!C40</f>
        <v>1525018.1448567561</v>
      </c>
      <c r="C19" s="71">
        <f>Tourism!C41</f>
        <v>200677.00145810295</v>
      </c>
      <c r="D19" s="71">
        <f>Nonag!C40</f>
        <v>8707131.9546337388</v>
      </c>
      <c r="E19" s="71">
        <f>Fishing!C40</f>
        <v>149011.24934549443</v>
      </c>
      <c r="F19" s="73"/>
      <c r="G19" s="73"/>
      <c r="H19" s="73"/>
      <c r="I19" s="73"/>
      <c r="J19" s="73"/>
      <c r="K19" s="72">
        <f>Households!C43</f>
        <v>3120.2259709539262</v>
      </c>
      <c r="L19" s="72">
        <f>Households!D43</f>
        <v>3096331.278074705</v>
      </c>
      <c r="M19" s="73">
        <f>Restaurants!C40</f>
        <v>155375.00482570598</v>
      </c>
      <c r="N19" s="73">
        <f>Lodges!C41</f>
        <v>896770.05395744927</v>
      </c>
      <c r="O19" s="73">
        <f>Tourists!C41</f>
        <v>0</v>
      </c>
      <c r="P19" s="73">
        <f>NatParkPA!C42</f>
        <v>0</v>
      </c>
      <c r="Q19" s="73">
        <f>ComRevSh!C41</f>
        <v>0</v>
      </c>
      <c r="R19" s="73">
        <v>0</v>
      </c>
      <c r="S19" s="71"/>
      <c r="T19" s="77">
        <f t="shared" si="0"/>
        <v>14733434.913122907</v>
      </c>
      <c r="U19" s="53">
        <f>T19/R21</f>
        <v>1</v>
      </c>
      <c r="V19" s="460"/>
      <c r="W19" s="60"/>
      <c r="X19" s="60"/>
      <c r="Y19" s="60"/>
      <c r="Z19" s="60"/>
      <c r="AA19" s="60"/>
      <c r="AB19" s="60"/>
      <c r="AC19" s="60"/>
      <c r="AD19" s="60"/>
      <c r="AE19" s="60"/>
    </row>
    <row r="20" spans="1:31" ht="14.25" customHeight="1" x14ac:dyDescent="0.2">
      <c r="A20" s="79" t="s">
        <v>62</v>
      </c>
      <c r="B20" s="71">
        <f>Ag!C41</f>
        <v>21858593.409613457</v>
      </c>
      <c r="C20" s="71">
        <f>Tourism!C42</f>
        <v>4224292.7396995015</v>
      </c>
      <c r="D20" s="71">
        <f>Nonag!C41</f>
        <v>123280776.22744894</v>
      </c>
      <c r="E20" s="71">
        <f>Fishing!C41</f>
        <v>2095296.8474634457</v>
      </c>
      <c r="F20" s="73">
        <v>0</v>
      </c>
      <c r="G20" s="73"/>
      <c r="H20" s="73"/>
      <c r="I20" s="73"/>
      <c r="J20" s="73">
        <v>0</v>
      </c>
      <c r="K20" s="72">
        <f>Households!C44</f>
        <v>155549.36565255508</v>
      </c>
      <c r="L20" s="72">
        <f>Households!D44</f>
        <v>11183547.148075158</v>
      </c>
      <c r="M20" s="73">
        <f>Restaurants!C41</f>
        <v>1528927.7141527834</v>
      </c>
      <c r="N20" s="73">
        <f>Lodges!C42</f>
        <v>13068397.797374872</v>
      </c>
      <c r="O20" s="73">
        <f>Tourists!C42</f>
        <v>0</v>
      </c>
      <c r="P20" s="73">
        <f>NatParkPA!C43</f>
        <v>988306.99815936026</v>
      </c>
      <c r="Q20" s="73">
        <f>ComRevSh!C42</f>
        <v>0</v>
      </c>
      <c r="R20" s="104">
        <f>IF(SUM(B19:P19)-SUM(R3:R17)&gt;0,SUM(B19:P19)-SUM(R3:R17),0)</f>
        <v>14227257.327010907</v>
      </c>
      <c r="S20" s="71"/>
      <c r="T20" s="71">
        <f t="shared" si="0"/>
        <v>192610945.574651</v>
      </c>
      <c r="U20" s="53">
        <f>T20/S21</f>
        <v>2.8537828447936247</v>
      </c>
      <c r="V20" s="460"/>
      <c r="W20" s="60"/>
      <c r="X20" s="60"/>
      <c r="Y20" s="60"/>
      <c r="Z20" s="60"/>
      <c r="AA20" s="60"/>
      <c r="AB20" s="60"/>
      <c r="AC20" s="60"/>
      <c r="AD20" s="60"/>
      <c r="AE20" s="60"/>
    </row>
    <row r="21" spans="1:31" ht="14.25" customHeight="1" x14ac:dyDescent="0.2">
      <c r="A21" s="80" t="s">
        <v>189</v>
      </c>
      <c r="B21" s="71">
        <f t="shared" ref="B21:S21" si="1">SUM(B3:B20)</f>
        <v>219893092.50601223</v>
      </c>
      <c r="C21" s="71">
        <f t="shared" si="1"/>
        <v>10552690.698936172</v>
      </c>
      <c r="D21" s="71">
        <f t="shared" si="1"/>
        <v>506032465.3990944</v>
      </c>
      <c r="E21" s="71">
        <f t="shared" si="1"/>
        <v>4852805.5512941182</v>
      </c>
      <c r="F21" s="71">
        <f t="shared" si="1"/>
        <v>44647587.92967996</v>
      </c>
      <c r="G21" s="71">
        <f t="shared" si="1"/>
        <v>43808746.848388225</v>
      </c>
      <c r="H21" s="71">
        <f t="shared" si="1"/>
        <v>9740838.3847287465</v>
      </c>
      <c r="I21" s="71">
        <f t="shared" si="1"/>
        <v>790387.8968782794</v>
      </c>
      <c r="J21" s="71">
        <f t="shared" si="1"/>
        <v>131955079.34746414</v>
      </c>
      <c r="K21" s="71">
        <f t="shared" si="1"/>
        <v>14650501.590000004</v>
      </c>
      <c r="L21" s="71">
        <f t="shared" si="1"/>
        <v>361135797.66000003</v>
      </c>
      <c r="M21" s="71">
        <f t="shared" si="1"/>
        <v>9416666.9591336958</v>
      </c>
      <c r="N21" s="71">
        <f t="shared" si="1"/>
        <v>29420519.469024308</v>
      </c>
      <c r="O21" s="71">
        <f t="shared" si="1"/>
        <v>48293551.09255325</v>
      </c>
      <c r="P21" s="71">
        <f t="shared" si="1"/>
        <v>3633952.7861120007</v>
      </c>
      <c r="Q21" s="71">
        <f t="shared" si="1"/>
        <v>625555.03999999992</v>
      </c>
      <c r="R21" s="104">
        <f t="shared" si="1"/>
        <v>14733434.913122907</v>
      </c>
      <c r="S21" s="107">
        <f t="shared" si="1"/>
        <v>67493203.249870941</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219039830.50601223</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150352265.10054415</v>
      </c>
      <c r="C26" s="108">
        <f>B24/B21</f>
        <v>0.99611965073447373</v>
      </c>
      <c r="D26" s="109">
        <f>B24/B26</f>
        <v>1.4568442341692363</v>
      </c>
      <c r="E26" s="60"/>
      <c r="F26" s="60">
        <f>SUM(K6:N6)+C6</f>
        <v>3931645.1007946976</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175850602.4567768</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348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ht="15" customHeight="1" x14ac:dyDescent="0.2">
      <c r="A3" s="60" t="str">
        <f>'SAM(LEWIE Input)'!A3</f>
        <v>Ag</v>
      </c>
      <c r="B3" s="81">
        <f>'SAM(LEWIE Input)'!B3</f>
        <v>28212835.67984999</v>
      </c>
      <c r="C3" s="81">
        <f>'SAM(LEWIE Input)'!C3</f>
        <v>936194.04698087974</v>
      </c>
      <c r="D3" s="81">
        <f>'SAM(LEWIE Input)'!D3</f>
        <v>119644249.81972806</v>
      </c>
      <c r="E3" s="81">
        <f>'SAM(LEWIE Input)'!E3</f>
        <v>469611.21005852788</v>
      </c>
      <c r="F3" s="81">
        <f>'SAM(LEWIE Input)'!F3</f>
        <v>0</v>
      </c>
      <c r="G3" s="81">
        <f>'SAM(LEWIE Input)'!G3</f>
        <v>0</v>
      </c>
      <c r="H3" s="81">
        <f>'SAM(LEWIE Input)'!H3</f>
        <v>0</v>
      </c>
      <c r="I3" s="81">
        <f>'SAM(LEWIE Input)'!I3</f>
        <v>0</v>
      </c>
      <c r="J3" s="81">
        <f>'SAM(LEWIE Input)'!J3</f>
        <v>0</v>
      </c>
      <c r="K3" s="81">
        <f>'SAM(LEWIE Input)'!K3</f>
        <v>8446183.2593501974</v>
      </c>
      <c r="L3" s="81">
        <f>'SAM(LEWIE Input)'!L3</f>
        <v>134466981.23960376</v>
      </c>
      <c r="M3" s="81">
        <f>'SAM(LEWIE Input)'!M3</f>
        <v>3138610.4099803576</v>
      </c>
      <c r="N3" s="81">
        <f>'SAM(LEWIE Input)'!N3</f>
        <v>3266631.9330242681</v>
      </c>
      <c r="O3" s="81">
        <f>'SAM(LEWIE Input)'!O3</f>
        <v>0</v>
      </c>
      <c r="P3" s="81">
        <f>'SAM(LEWIE Input)'!P3</f>
        <v>87226.126944000018</v>
      </c>
      <c r="Q3" s="81">
        <f>'SAM(LEWIE Input)'!Q3</f>
        <v>10438.08466068614</v>
      </c>
      <c r="R3" s="81">
        <f>'SAM(LEWIE Input)'!R3</f>
        <v>0</v>
      </c>
      <c r="S3" s="81">
        <f>'SAM(LEWIE Input)'!S3</f>
        <v>0</v>
      </c>
      <c r="T3" s="81">
        <f>'SAM(LEWIE Input)'!T3</f>
        <v>298678961.81018078</v>
      </c>
      <c r="U3" s="1"/>
      <c r="V3" s="1"/>
      <c r="W3" s="1"/>
      <c r="X3" s="1"/>
      <c r="Y3" s="1"/>
      <c r="Z3" s="1"/>
      <c r="AA3" s="1"/>
      <c r="AB3" s="1"/>
      <c r="AC3" s="1"/>
      <c r="AD3" s="1"/>
      <c r="AE3" s="1"/>
      <c r="AF3" s="1"/>
      <c r="AG3" s="1"/>
    </row>
    <row r="4" spans="1:33" ht="15" customHeight="1"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10552690.69893617</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ht="15" customHeight="1" x14ac:dyDescent="0.2">
      <c r="A5" s="60" t="str">
        <f>'SAM(LEWIE Input)'!A5</f>
        <v>Nag</v>
      </c>
      <c r="B5" s="81">
        <f>'SAM(LEWIE Input)'!B5</f>
        <v>39040464.50833296</v>
      </c>
      <c r="C5" s="81">
        <f>'SAM(LEWIE Input)'!C5</f>
        <v>1930321.6330731832</v>
      </c>
      <c r="D5" s="81">
        <f>'SAM(LEWIE Input)'!D5</f>
        <v>155827637.3949973</v>
      </c>
      <c r="E5" s="81">
        <f>'SAM(LEWIE Input)'!E5</f>
        <v>374785.86956594058</v>
      </c>
      <c r="F5" s="81">
        <f>'SAM(LEWIE Input)'!F5</f>
        <v>0</v>
      </c>
      <c r="G5" s="81">
        <f>'SAM(LEWIE Input)'!G5</f>
        <v>0</v>
      </c>
      <c r="H5" s="81">
        <f>'SAM(LEWIE Input)'!H5</f>
        <v>0</v>
      </c>
      <c r="I5" s="81">
        <f>'SAM(LEWIE Input)'!I5</f>
        <v>0</v>
      </c>
      <c r="J5" s="81">
        <f>'SAM(LEWIE Input)'!J5</f>
        <v>0</v>
      </c>
      <c r="K5" s="81">
        <f>'SAM(LEWIE Input)'!K5</f>
        <v>5905493.0692114476</v>
      </c>
      <c r="L5" s="81">
        <f>'SAM(LEWIE Input)'!L5</f>
        <v>196768293.5018723</v>
      </c>
      <c r="M5" s="81">
        <f>'SAM(LEWIE Input)'!M5</f>
        <v>1469000.0456248566</v>
      </c>
      <c r="N5" s="81">
        <f>'SAM(LEWIE Input)'!N5</f>
        <v>4439746.8245106386</v>
      </c>
      <c r="O5" s="81">
        <f>'SAM(LEWIE Input)'!O5</f>
        <v>3232162.8712765961</v>
      </c>
      <c r="P5" s="81">
        <f>'SAM(LEWIE Input)'!P5</f>
        <v>1326537.1416000004</v>
      </c>
      <c r="Q5" s="81">
        <f>'SAM(LEWIE Input)'!Q5</f>
        <v>322850.58484010189</v>
      </c>
      <c r="R5" s="81">
        <f>'SAM(LEWIE Input)'!R5</f>
        <v>0</v>
      </c>
      <c r="S5" s="81">
        <f>'SAM(LEWIE Input)'!S5</f>
        <v>0</v>
      </c>
      <c r="T5" s="81">
        <f>'SAM(LEWIE Input)'!T5</f>
        <v>410637293.4449054</v>
      </c>
      <c r="U5" s="1"/>
      <c r="V5" s="1"/>
      <c r="W5" s="1"/>
      <c r="X5" s="1"/>
      <c r="Y5" s="1"/>
      <c r="Z5" s="1"/>
      <c r="AA5" s="1"/>
      <c r="AB5" s="1"/>
      <c r="AC5" s="1"/>
      <c r="AD5" s="1"/>
      <c r="AE5" s="1"/>
      <c r="AF5" s="1"/>
      <c r="AG5" s="1"/>
    </row>
    <row r="6" spans="1:33" ht="15" customHeight="1" x14ac:dyDescent="0.2">
      <c r="A6" s="60" t="str">
        <f>'SAM(LEWIE Input)'!A6</f>
        <v>NatRes</v>
      </c>
      <c r="B6" s="81">
        <f>'SAM(LEWIE Input)'!B6</f>
        <v>2287527.2172851348</v>
      </c>
      <c r="C6" s="81">
        <f>'SAM(LEWIE Input)'!C6</f>
        <v>62412.936465391977</v>
      </c>
      <c r="D6" s="81">
        <f>'SAM(LEWIE Input)'!D6</f>
        <v>15166172.512359895</v>
      </c>
      <c r="E6" s="81">
        <f>'SAM(LEWIE Input)'!E6</f>
        <v>76763.370874951681</v>
      </c>
      <c r="F6" s="81">
        <f>'SAM(LEWIE Input)'!F6</f>
        <v>0</v>
      </c>
      <c r="G6" s="81">
        <f>'SAM(LEWIE Input)'!G6</f>
        <v>0</v>
      </c>
      <c r="H6" s="81">
        <f>'SAM(LEWIE Input)'!H6</f>
        <v>0</v>
      </c>
      <c r="I6" s="81">
        <f>'SAM(LEWIE Input)'!I6</f>
        <v>0</v>
      </c>
      <c r="J6" s="81">
        <f>'SAM(LEWIE Input)'!J6</f>
        <v>0</v>
      </c>
      <c r="K6" s="81">
        <f>'SAM(LEWIE Input)'!K6</f>
        <v>0</v>
      </c>
      <c r="L6" s="81">
        <f>'SAM(LEWIE Input)'!L6</f>
        <v>2760845.3756781127</v>
      </c>
      <c r="M6" s="81">
        <f>'SAM(LEWIE Input)'!M6</f>
        <v>505639.70320438268</v>
      </c>
      <c r="N6" s="81">
        <f>'SAM(LEWIE Input)'!N6</f>
        <v>602747.08544681023</v>
      </c>
      <c r="O6" s="81">
        <f>'SAM(LEWIE Input)'!O6</f>
        <v>0</v>
      </c>
      <c r="P6" s="81">
        <f>'SAM(LEWIE Input)'!P6</f>
        <v>0</v>
      </c>
      <c r="Q6" s="81">
        <f>'SAM(LEWIE Input)'!Q6</f>
        <v>0</v>
      </c>
      <c r="R6" s="81">
        <f>'SAM(LEWIE Input)'!R6</f>
        <v>0</v>
      </c>
      <c r="S6" s="81">
        <f>'SAM(LEWIE Input)'!S6</f>
        <v>0</v>
      </c>
      <c r="T6" s="81">
        <f>'SAM(LEWIE Input)'!T6</f>
        <v>21462108.20131468</v>
      </c>
      <c r="U6" s="1"/>
      <c r="V6" s="1"/>
      <c r="W6" s="1"/>
      <c r="X6" s="1"/>
      <c r="Y6" s="1"/>
      <c r="Z6" s="1"/>
      <c r="AA6" s="1"/>
      <c r="AB6" s="1"/>
      <c r="AC6" s="1"/>
      <c r="AD6" s="1"/>
      <c r="AE6" s="1"/>
      <c r="AF6" s="1"/>
      <c r="AG6" s="1"/>
    </row>
    <row r="7" spans="1:33" ht="15" customHeight="1" x14ac:dyDescent="0.2">
      <c r="A7" s="60" t="str">
        <f>'SAM(LEWIE Input)'!A7</f>
        <v>L-MUSK</v>
      </c>
      <c r="B7" s="81">
        <f>'SAM(LEWIE Input)'!B7</f>
        <v>29280348.381249722</v>
      </c>
      <c r="C7" s="81">
        <f>'SAM(LEWIE Input)'!C7</f>
        <v>219425.96702290271</v>
      </c>
      <c r="D7" s="81">
        <f>'SAM(LEWIE Input)'!D7</f>
        <v>14201632.463937115</v>
      </c>
      <c r="E7" s="81">
        <f>'SAM(LEWIE Input)'!E7</f>
        <v>311623.16181306855</v>
      </c>
      <c r="F7" s="81">
        <f>'SAM(LEWIE Input)'!F7</f>
        <v>0</v>
      </c>
      <c r="G7" s="81">
        <f>'SAM(LEWIE Input)'!G7</f>
        <v>0</v>
      </c>
      <c r="H7" s="81">
        <f>'SAM(LEWIE Input)'!H7</f>
        <v>0</v>
      </c>
      <c r="I7" s="81">
        <f>'SAM(LEWIE Input)'!I7</f>
        <v>0</v>
      </c>
      <c r="J7" s="81">
        <f>'SAM(LEWIE Input)'!J7</f>
        <v>0</v>
      </c>
      <c r="K7" s="81">
        <f>'SAM(LEWIE Input)'!K7</f>
        <v>0</v>
      </c>
      <c r="L7" s="81">
        <f>'SAM(LEWIE Input)'!L7</f>
        <v>0</v>
      </c>
      <c r="M7" s="81">
        <f>'SAM(LEWIE Input)'!M7</f>
        <v>97632.003032298162</v>
      </c>
      <c r="N7" s="81">
        <f>'SAM(LEWIE Input)'!N7</f>
        <v>354899.087672728</v>
      </c>
      <c r="O7" s="81">
        <f>'SAM(LEWIE Input)'!O7</f>
        <v>0</v>
      </c>
      <c r="P7" s="81">
        <f>'SAM(LEWIE Input)'!P7</f>
        <v>3535.6172544000005</v>
      </c>
      <c r="Q7" s="81">
        <f>'SAM(LEWIE Input)'!Q7</f>
        <v>178491.24769773296</v>
      </c>
      <c r="R7" s="81">
        <f>'SAM(LEWIE Input)'!R7</f>
        <v>0</v>
      </c>
      <c r="S7" s="81">
        <f>'SAM(LEWIE Input)'!S7</f>
        <v>0</v>
      </c>
      <c r="T7" s="81">
        <f>'SAM(LEWIE Input)'!T7</f>
        <v>44647587.92967996</v>
      </c>
      <c r="U7" s="1"/>
      <c r="V7" s="1"/>
      <c r="W7" s="1"/>
      <c r="X7" s="1"/>
      <c r="Y7" s="1"/>
      <c r="Z7" s="1"/>
      <c r="AA7" s="1"/>
      <c r="AB7" s="1"/>
      <c r="AC7" s="1"/>
      <c r="AD7" s="1"/>
      <c r="AE7" s="1"/>
      <c r="AF7" s="1"/>
      <c r="AG7" s="1"/>
    </row>
    <row r="8" spans="1:33" ht="15" customHeight="1" x14ac:dyDescent="0.2">
      <c r="A8" s="60" t="str">
        <f>'SAM(LEWIE Input)'!A8</f>
        <v>L-FUSK</v>
      </c>
      <c r="B8" s="81">
        <f>'SAM(LEWIE Input)'!B8</f>
        <v>31720377.413020536</v>
      </c>
      <c r="C8" s="81">
        <f>'SAM(LEWIE Input)'!C8</f>
        <v>219425.96702290271</v>
      </c>
      <c r="D8" s="81">
        <f>'SAM(LEWIE Input)'!D8</f>
        <v>10586671.473116767</v>
      </c>
      <c r="E8" s="81">
        <f>'SAM(LEWIE Input)'!E8</f>
        <v>23083.197171338408</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256284.00795978267</v>
      </c>
      <c r="N8" s="81">
        <f>'SAM(LEWIE Input)'!N8</f>
        <v>981635.77441392757</v>
      </c>
      <c r="O8" s="81">
        <f>'SAM(LEWIE Input)'!O8</f>
        <v>0</v>
      </c>
      <c r="P8" s="81">
        <f>'SAM(LEWIE Input)'!P8</f>
        <v>392.84636160000008</v>
      </c>
      <c r="Q8" s="81">
        <f>'SAM(LEWIE Input)'!Q8</f>
        <v>20876.169321372279</v>
      </c>
      <c r="R8" s="81">
        <f>'SAM(LEWIE Input)'!R8</f>
        <v>0</v>
      </c>
      <c r="S8" s="81">
        <f>'SAM(LEWIE Input)'!S8</f>
        <v>0</v>
      </c>
      <c r="T8" s="81"/>
      <c r="U8" s="1"/>
      <c r="V8" s="1"/>
      <c r="W8" s="1"/>
      <c r="X8" s="1"/>
      <c r="Y8" s="1"/>
      <c r="Z8" s="1"/>
      <c r="AA8" s="1"/>
      <c r="AB8" s="1"/>
      <c r="AC8" s="1"/>
      <c r="AD8" s="1"/>
      <c r="AE8" s="1"/>
      <c r="AF8" s="1"/>
      <c r="AG8" s="1"/>
    </row>
    <row r="9" spans="1:33" ht="15" customHeight="1" x14ac:dyDescent="0.2">
      <c r="A9" s="60" t="str">
        <f>'SAM(LEWIE Input)'!A9</f>
        <v>L-MSK</v>
      </c>
      <c r="B9" s="81">
        <f>'SAM(LEWIE Input)'!B9</f>
        <v>0</v>
      </c>
      <c r="C9" s="81">
        <f>'SAM(LEWIE Input)'!C9</f>
        <v>303624.30320610967</v>
      </c>
      <c r="D9" s="81">
        <f>'SAM(LEWIE Input)'!D9</f>
        <v>8520979.4783622734</v>
      </c>
      <c r="E9" s="81">
        <f>'SAM(LEWIE Input)'!E9</f>
        <v>3847.1995285564017</v>
      </c>
      <c r="F9" s="81">
        <f>'SAM(LEWIE Input)'!F9</f>
        <v>0</v>
      </c>
      <c r="G9" s="81">
        <f>'SAM(LEWIE Input)'!G9</f>
        <v>0</v>
      </c>
      <c r="H9" s="81">
        <f>'SAM(LEWIE Input)'!H9</f>
        <v>0</v>
      </c>
      <c r="I9" s="81">
        <f>'SAM(LEWIE Input)'!I9</f>
        <v>0</v>
      </c>
      <c r="J9" s="81">
        <f>'SAM(LEWIE Input)'!J9</f>
        <v>0</v>
      </c>
      <c r="K9" s="81">
        <f>'SAM(LEWIE Input)'!K9</f>
        <v>0</v>
      </c>
      <c r="L9" s="81">
        <f>'SAM(LEWIE Input)'!L9</f>
        <v>0</v>
      </c>
      <c r="M9" s="81">
        <f>'SAM(LEWIE Input)'!M9</f>
        <v>79326.002463742261</v>
      </c>
      <c r="N9" s="81">
        <f>'SAM(LEWIE Input)'!N9</f>
        <v>241633.42139419806</v>
      </c>
      <c r="O9" s="81">
        <f>'SAM(LEWIE Input)'!O9</f>
        <v>0</v>
      </c>
      <c r="P9" s="81">
        <f>'SAM(LEWIE Input)'!P9</f>
        <v>498529.02629376017</v>
      </c>
      <c r="Q9" s="81">
        <f>'SAM(LEWIE Input)'!Q9</f>
        <v>92898.953480106618</v>
      </c>
      <c r="R9" s="81">
        <f>'SAM(LEWIE Input)'!R9</f>
        <v>0</v>
      </c>
      <c r="S9" s="81">
        <f>'SAM(LEWIE Input)'!S9</f>
        <v>0</v>
      </c>
      <c r="T9" s="81"/>
      <c r="U9" s="1"/>
      <c r="V9" s="1"/>
      <c r="W9" s="1"/>
      <c r="X9" s="1"/>
      <c r="Y9" s="1"/>
      <c r="Z9" s="1"/>
      <c r="AA9" s="1"/>
      <c r="AB9" s="1"/>
      <c r="AC9" s="1"/>
      <c r="AD9" s="1"/>
      <c r="AE9" s="1"/>
      <c r="AF9" s="1"/>
      <c r="AG9" s="1"/>
    </row>
    <row r="10" spans="1:33" ht="15" customHeight="1" x14ac:dyDescent="0.2">
      <c r="A10" s="60" t="str">
        <f>'SAM(LEWIE Input)'!A10</f>
        <v>L-FSK</v>
      </c>
      <c r="B10" s="81">
        <f>'SAM(LEWIE Input)'!B10</f>
        <v>0</v>
      </c>
      <c r="C10" s="81">
        <f>'SAM(LEWIE Input)'!C10</f>
        <v>63786.618320611415</v>
      </c>
      <c r="D10" s="81">
        <f>'SAM(LEWIE Input)'!D10</f>
        <v>0</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67122.002084704989</v>
      </c>
      <c r="N10" s="81">
        <f>'SAM(LEWIE Input)'!N10</f>
        <v>558777.28697408317</v>
      </c>
      <c r="O10" s="81">
        <f>'SAM(LEWIE Input)'!O10</f>
        <v>0</v>
      </c>
      <c r="P10" s="81">
        <f>'SAM(LEWIE Input)'!P10</f>
        <v>100701.98949888002</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ht="15" customHeight="1" x14ac:dyDescent="0.2">
      <c r="A11" s="60" t="str">
        <f>'SAM(LEWIE Input)'!A11</f>
        <v>K</v>
      </c>
      <c r="B11" s="81">
        <f>'SAM(LEWIE Input)'!B11</f>
        <v>65967927.751803666</v>
      </c>
      <c r="C11" s="81">
        <f>'SAM(LEWIE Input)'!C11</f>
        <v>2392529.4856865853</v>
      </c>
      <c r="D11" s="81">
        <f>'SAM(LEWIE Input)'!D11</f>
        <v>50097214.074510343</v>
      </c>
      <c r="E11" s="81">
        <f>'SAM(LEWIE Input)'!E11</f>
        <v>1348783.4454727951</v>
      </c>
      <c r="F11" s="81">
        <f>'SAM(LEWIE Input)'!F11</f>
        <v>0</v>
      </c>
      <c r="G11" s="81">
        <f>'SAM(LEWIE Input)'!G11</f>
        <v>0</v>
      </c>
      <c r="H11" s="81">
        <f>'SAM(LEWIE Input)'!H11</f>
        <v>0</v>
      </c>
      <c r="I11" s="81">
        <f>'SAM(LEWIE Input)'!I11</f>
        <v>0</v>
      </c>
      <c r="J11" s="81">
        <f>'SAM(LEWIE Input)'!J11</f>
        <v>0</v>
      </c>
      <c r="K11" s="81">
        <f>'SAM(LEWIE Input)'!K11</f>
        <v>140155.66981484886</v>
      </c>
      <c r="L11" s="81">
        <f>'SAM(LEWIE Input)'!L11</f>
        <v>4877270.650115489</v>
      </c>
      <c r="M11" s="81">
        <f>'SAM(LEWIE Input)'!M11</f>
        <v>2118750.0658050817</v>
      </c>
      <c r="N11" s="81">
        <f>'SAM(LEWIE Input)'!N11</f>
        <v>5009280.2042553332</v>
      </c>
      <c r="O11" s="81">
        <f>'SAM(LEWIE Input)'!O11</f>
        <v>0</v>
      </c>
      <c r="P11" s="81">
        <f>'SAM(LEWIE Input)'!P11</f>
        <v>3168.0000000000014</v>
      </c>
      <c r="Q11" s="81">
        <f>'SAM(LEWIE Input)'!Q11</f>
        <v>0</v>
      </c>
      <c r="R11" s="81">
        <f>'SAM(LEWIE Input)'!R11</f>
        <v>0</v>
      </c>
      <c r="S11" s="81">
        <f>'SAM(LEWIE Input)'!S11</f>
        <v>0</v>
      </c>
      <c r="T11" s="81">
        <f>'SAM(LEWIE Input)'!T11</f>
        <v>131955079.34746414</v>
      </c>
      <c r="U11" s="1"/>
      <c r="V11" s="1"/>
      <c r="W11" s="1"/>
      <c r="X11" s="1"/>
      <c r="Y11" s="1"/>
      <c r="Z11" s="1"/>
      <c r="AA11" s="1"/>
      <c r="AB11" s="1"/>
      <c r="AC11" s="1"/>
      <c r="AD11" s="1"/>
      <c r="AE11" s="1"/>
      <c r="AF11" s="1"/>
      <c r="AG11" s="1"/>
    </row>
    <row r="12" spans="1:33" ht="15" customHeight="1" x14ac:dyDescent="0.2">
      <c r="A12" s="60" t="str">
        <f>'SAM(LEWIE Input)'!A12</f>
        <v>Poor</v>
      </c>
      <c r="B12" s="81">
        <f>'SAM(LEWIE Input)'!B12</f>
        <v>0</v>
      </c>
      <c r="C12" s="81">
        <f>'SAM(LEWIE Input)'!C12</f>
        <v>0</v>
      </c>
      <c r="D12" s="81">
        <f>'SAM(LEWIE Input)'!D12</f>
        <v>0</v>
      </c>
      <c r="E12" s="81">
        <f>'SAM(LEWIE Input)'!E12</f>
        <v>0</v>
      </c>
      <c r="F12" s="81">
        <f>'SAM(LEWIE Input)'!F12</f>
        <v>1663040.9567087844</v>
      </c>
      <c r="G12" s="81">
        <f>'SAM(LEWIE Input)'!G12</f>
        <v>831381.55143533286</v>
      </c>
      <c r="H12" s="81">
        <f>'SAM(LEWIE Input)'!H12</f>
        <v>699598.06532647402</v>
      </c>
      <c r="I12" s="81">
        <f>'SAM(LEWIE Input)'!I12</f>
        <v>49161.452103053132</v>
      </c>
      <c r="J12" s="81">
        <f>'SAM(LEWIE Input)'!J12</f>
        <v>3273086.6818694365</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1290353.308770055</v>
      </c>
      <c r="T12" s="81">
        <f>'SAM(LEWIE Input)'!T12</f>
        <v>7806622.0162131358</v>
      </c>
      <c r="U12" s="1"/>
      <c r="V12" s="1"/>
      <c r="W12" s="1"/>
      <c r="X12" s="1"/>
      <c r="Y12" s="1"/>
      <c r="Z12" s="1"/>
      <c r="AA12" s="1"/>
      <c r="AB12" s="1"/>
      <c r="AC12" s="1"/>
      <c r="AD12" s="1"/>
      <c r="AE12" s="1"/>
      <c r="AF12" s="1"/>
      <c r="AG12" s="1"/>
    </row>
    <row r="13" spans="1:33" ht="15" customHeight="1" x14ac:dyDescent="0.2">
      <c r="A13" s="60" t="str">
        <f>'SAM(LEWIE Input)'!A13</f>
        <v>Nonpoor</v>
      </c>
      <c r="B13" s="81">
        <f>'SAM(LEWIE Input)'!B13</f>
        <v>0</v>
      </c>
      <c r="C13" s="81">
        <f>'SAM(LEWIE Input)'!C13</f>
        <v>0</v>
      </c>
      <c r="D13" s="81">
        <f>'SAM(LEWIE Input)'!D13</f>
        <v>0</v>
      </c>
      <c r="E13" s="81">
        <f>'SAM(LEWIE Input)'!E13</f>
        <v>0</v>
      </c>
      <c r="F13" s="81">
        <f>'SAM(LEWIE Input)'!F13</f>
        <v>42984546.972971179</v>
      </c>
      <c r="G13" s="81">
        <f>'SAM(LEWIE Input)'!G13</f>
        <v>42977365.296952888</v>
      </c>
      <c r="H13" s="81">
        <f>'SAM(LEWIE Input)'!H13</f>
        <v>9041240.3194022719</v>
      </c>
      <c r="I13" s="81">
        <f>'SAM(LEWIE Input)'!I13</f>
        <v>741226.44477522629</v>
      </c>
      <c r="J13" s="81">
        <f>'SAM(LEWIE Input)'!J13</f>
        <v>128681992.66559471</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17909298.848547637</v>
      </c>
      <c r="T13" s="81">
        <f>'SAM(LEWIE Input)'!T13</f>
        <v>242335670.54824394</v>
      </c>
      <c r="U13" s="1"/>
      <c r="V13" s="1"/>
      <c r="W13" s="1"/>
      <c r="X13" s="1"/>
      <c r="Y13" s="1"/>
      <c r="Z13" s="1"/>
      <c r="AA13" s="1"/>
      <c r="AB13" s="1"/>
      <c r="AC13" s="1"/>
      <c r="AD13" s="1"/>
      <c r="AE13" s="1"/>
      <c r="AF13" s="1"/>
      <c r="AG13" s="1"/>
    </row>
    <row r="14" spans="1:33" ht="15" customHeight="1"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7982528.4665805036</v>
      </c>
      <c r="M14" s="81">
        <f>'SAM(LEWIE Input)'!M14</f>
        <v>0</v>
      </c>
      <c r="N14" s="81">
        <f>'SAM(LEWIE Input)'!N14</f>
        <v>0</v>
      </c>
      <c r="O14" s="81">
        <f>'SAM(LEWIE Input)'!O14</f>
        <v>1434138.4925531915</v>
      </c>
      <c r="P14" s="81">
        <f>'SAM(LEWIE Input)'!P14</f>
        <v>0</v>
      </c>
      <c r="Q14" s="81">
        <f>'SAM(LEWIE Input)'!Q14</f>
        <v>0</v>
      </c>
      <c r="R14" s="81">
        <f>'SAM(LEWIE Input)'!R14</f>
        <v>0</v>
      </c>
      <c r="S14" s="81">
        <f>'SAM(LEWIE Input)'!S14</f>
        <v>0</v>
      </c>
      <c r="T14" s="81">
        <f>'SAM(LEWIE Input)'!T14</f>
        <v>9416666.9591336958</v>
      </c>
      <c r="U14" s="1"/>
      <c r="V14" s="1"/>
      <c r="W14" s="1"/>
      <c r="X14" s="1"/>
      <c r="Y14" s="1"/>
      <c r="Z14" s="1"/>
      <c r="AA14" s="1"/>
      <c r="AB14" s="1"/>
      <c r="AC14" s="1"/>
      <c r="AD14" s="1"/>
      <c r="AE14" s="1"/>
      <c r="AF14" s="1"/>
      <c r="AG14" s="1"/>
    </row>
    <row r="15" spans="1:33" ht="15" customHeight="1"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29946783.829787288</v>
      </c>
      <c r="P15" s="81">
        <f>'SAM(LEWIE Input)'!P15</f>
        <v>0</v>
      </c>
      <c r="Q15" s="81">
        <f>'SAM(LEWIE Input)'!Q15</f>
        <v>0</v>
      </c>
      <c r="R15" s="81">
        <f>'SAM(LEWIE Input)'!R15</f>
        <v>0</v>
      </c>
      <c r="S15" s="81">
        <f>'SAM(LEWIE Input)'!S15</f>
        <v>0</v>
      </c>
      <c r="T15" s="81">
        <f>'SAM(LEWIE Input)'!T15</f>
        <v>29946783.829787288</v>
      </c>
      <c r="U15" s="1"/>
      <c r="V15" s="1"/>
      <c r="W15" s="1"/>
      <c r="X15" s="1"/>
      <c r="Y15" s="1"/>
      <c r="Z15" s="1"/>
      <c r="AA15" s="1"/>
      <c r="AB15" s="1"/>
      <c r="AC15" s="1"/>
      <c r="AD15" s="1"/>
      <c r="AE15" s="1"/>
      <c r="AF15" s="1"/>
      <c r="AG15" s="1"/>
    </row>
    <row r="16" spans="1:33" ht="15" customHeight="1"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48293551.09255325</v>
      </c>
      <c r="T16" s="81">
        <f>'SAM(LEWIE Input)'!T16</f>
        <v>48293551.09255325</v>
      </c>
      <c r="U16" s="1"/>
      <c r="V16" s="1"/>
      <c r="W16" s="1"/>
      <c r="X16" s="1"/>
      <c r="Y16" s="1"/>
      <c r="Z16" s="1"/>
      <c r="AA16" s="1"/>
      <c r="AB16" s="1"/>
      <c r="AC16" s="1"/>
      <c r="AD16" s="1"/>
      <c r="AE16" s="1"/>
      <c r="AF16" s="1"/>
      <c r="AG16" s="1"/>
    </row>
    <row r="17" spans="1:33" ht="15" customHeight="1"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3127775.1999999997</v>
      </c>
      <c r="P17" s="81">
        <f>'SAM(LEWIE Input)'!P17</f>
        <v>0</v>
      </c>
      <c r="Q17" s="81">
        <f>'SAM(LEWIE Input)'!Q17</f>
        <v>0</v>
      </c>
      <c r="R17" s="81">
        <f>'SAM(LEWIE Input)'!R17</f>
        <v>506177.58611200098</v>
      </c>
      <c r="S17" s="81">
        <f>'SAM(LEWIE Input)'!S17</f>
        <v>0</v>
      </c>
      <c r="T17" s="81">
        <f>'SAM(LEWIE Input)'!T17</f>
        <v>3633952.7861120007</v>
      </c>
      <c r="U17" s="1"/>
      <c r="V17" s="1"/>
      <c r="W17" s="1"/>
      <c r="X17" s="1"/>
      <c r="Y17" s="1"/>
      <c r="Z17" s="1"/>
      <c r="AA17" s="1"/>
      <c r="AB17" s="1"/>
      <c r="AC17" s="1"/>
      <c r="AD17" s="1"/>
      <c r="AE17" s="1"/>
      <c r="AF17" s="1"/>
      <c r="AG17" s="1"/>
    </row>
    <row r="18" spans="1:33" ht="15" customHeight="1"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625555.03999999992</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ht="15" customHeight="1" x14ac:dyDescent="0.2">
      <c r="A19" s="60" t="str">
        <f>'SAM(LEWIE Input)'!A19</f>
        <v>G</v>
      </c>
      <c r="B19" s="81">
        <f>'SAM(LEWIE Input)'!B19</f>
        <v>1525018.1448567561</v>
      </c>
      <c r="C19" s="81">
        <f>'SAM(LEWIE Input)'!C19</f>
        <v>200677.00145810295</v>
      </c>
      <c r="D19" s="81">
        <f>'SAM(LEWIE Input)'!D19</f>
        <v>8707131.9546337388</v>
      </c>
      <c r="E19" s="81">
        <f>'SAM(LEWIE Input)'!E19</f>
        <v>149011.24934549443</v>
      </c>
      <c r="F19" s="81">
        <f>'SAM(LEWIE Input)'!F19</f>
        <v>0</v>
      </c>
      <c r="G19" s="81">
        <f>'SAM(LEWIE Input)'!G19</f>
        <v>0</v>
      </c>
      <c r="H19" s="81">
        <f>'SAM(LEWIE Input)'!H19</f>
        <v>0</v>
      </c>
      <c r="I19" s="81">
        <f>'SAM(LEWIE Input)'!I19</f>
        <v>0</v>
      </c>
      <c r="J19" s="81">
        <f>'SAM(LEWIE Input)'!J19</f>
        <v>0</v>
      </c>
      <c r="K19" s="81">
        <f>'SAM(LEWIE Input)'!K19</f>
        <v>3120.2259709539262</v>
      </c>
      <c r="L19" s="81">
        <f>'SAM(LEWIE Input)'!L19</f>
        <v>3096331.278074705</v>
      </c>
      <c r="M19" s="81">
        <f>'SAM(LEWIE Input)'!M19</f>
        <v>155375.00482570598</v>
      </c>
      <c r="N19" s="81">
        <f>'SAM(LEWIE Input)'!N19</f>
        <v>896770.05395744927</v>
      </c>
      <c r="O19" s="81">
        <f>'SAM(LEWIE Input)'!O19</f>
        <v>0</v>
      </c>
      <c r="P19" s="81">
        <f>'SAM(LEWIE Input)'!P19</f>
        <v>0</v>
      </c>
      <c r="Q19" s="81">
        <f>'SAM(LEWIE Input)'!Q19</f>
        <v>0</v>
      </c>
      <c r="R19" s="81">
        <f>'SAM(LEWIE Input)'!R19</f>
        <v>0</v>
      </c>
      <c r="S19" s="81">
        <f>'SAM(LEWIE Input)'!S19</f>
        <v>0</v>
      </c>
      <c r="T19" s="81">
        <f>'SAM(LEWIE Input)'!T19</f>
        <v>14733434.913122907</v>
      </c>
      <c r="U19" s="1"/>
      <c r="V19" s="1"/>
      <c r="W19" s="1"/>
      <c r="X19" s="1"/>
      <c r="Y19" s="1"/>
      <c r="Z19" s="1"/>
      <c r="AA19" s="1"/>
      <c r="AB19" s="1"/>
      <c r="AC19" s="1"/>
      <c r="AD19" s="1"/>
      <c r="AE19" s="1"/>
      <c r="AF19" s="1"/>
      <c r="AG19" s="1"/>
    </row>
    <row r="20" spans="1:33" ht="15" customHeight="1" x14ac:dyDescent="0.2">
      <c r="A20" s="60" t="str">
        <f>'SAM(LEWIE Input)'!A20</f>
        <v>ROW</v>
      </c>
      <c r="B20" s="81">
        <f>'SAM(LEWIE Input)'!B20</f>
        <v>21858593.409613457</v>
      </c>
      <c r="C20" s="81">
        <f>'SAM(LEWIE Input)'!C20</f>
        <v>4224292.7396995015</v>
      </c>
      <c r="D20" s="81">
        <f>'SAM(LEWIE Input)'!D20</f>
        <v>123280776.22744894</v>
      </c>
      <c r="E20" s="81">
        <f>'SAM(LEWIE Input)'!E20</f>
        <v>2095296.8474634457</v>
      </c>
      <c r="F20" s="81">
        <f>'SAM(LEWIE Input)'!F20</f>
        <v>0</v>
      </c>
      <c r="G20" s="81">
        <f>'SAM(LEWIE Input)'!G20</f>
        <v>0</v>
      </c>
      <c r="H20" s="81">
        <f>'SAM(LEWIE Input)'!H20</f>
        <v>0</v>
      </c>
      <c r="I20" s="81">
        <f>'SAM(LEWIE Input)'!I20</f>
        <v>0</v>
      </c>
      <c r="J20" s="81">
        <f>'SAM(LEWIE Input)'!J20</f>
        <v>0</v>
      </c>
      <c r="K20" s="81">
        <f>'SAM(LEWIE Input)'!K20</f>
        <v>155549.36565255508</v>
      </c>
      <c r="L20" s="81">
        <f>'SAM(LEWIE Input)'!L20</f>
        <v>11183547.148075158</v>
      </c>
      <c r="M20" s="81">
        <f>'SAM(LEWIE Input)'!M20</f>
        <v>1528927.7141527834</v>
      </c>
      <c r="N20" s="81">
        <f>'SAM(LEWIE Input)'!N20</f>
        <v>13068397.797374872</v>
      </c>
      <c r="O20" s="81">
        <f>'SAM(LEWIE Input)'!O20</f>
        <v>0</v>
      </c>
      <c r="P20" s="81">
        <f>'SAM(LEWIE Input)'!P20</f>
        <v>988306.99815936026</v>
      </c>
      <c r="Q20" s="81">
        <f>'SAM(LEWIE Input)'!Q20</f>
        <v>0</v>
      </c>
      <c r="R20" s="81">
        <f>'SAM(LEWIE Input)'!R20</f>
        <v>14227257.327010907</v>
      </c>
      <c r="S20" s="81">
        <f>'SAM(LEWIE Input)'!S20</f>
        <v>0</v>
      </c>
      <c r="T20" s="81">
        <f>'SAM(LEWIE Input)'!T20</f>
        <v>192610945.574651</v>
      </c>
      <c r="U20" s="1"/>
      <c r="V20" s="1"/>
      <c r="W20" s="1"/>
      <c r="X20" s="1"/>
      <c r="Y20" s="1"/>
      <c r="Z20" s="1"/>
      <c r="AA20" s="1"/>
      <c r="AB20" s="1"/>
      <c r="AC20" s="1"/>
      <c r="AD20" s="1"/>
      <c r="AE20" s="1"/>
      <c r="AF20" s="1"/>
      <c r="AG20" s="1"/>
    </row>
    <row r="21" spans="1:33" ht="15" customHeight="1" x14ac:dyDescent="0.2">
      <c r="A21" s="60" t="str">
        <f>'SAM(LEWIE Input)'!A21</f>
        <v>Total</v>
      </c>
      <c r="B21" s="81">
        <f>'SAM(LEWIE Input)'!B21</f>
        <v>219893092.50601223</v>
      </c>
      <c r="C21" s="81">
        <f>'SAM(LEWIE Input)'!C21</f>
        <v>10552690.698936172</v>
      </c>
      <c r="D21" s="81">
        <f>'SAM(LEWIE Input)'!D21</f>
        <v>506032465.3990944</v>
      </c>
      <c r="E21" s="81">
        <f>'SAM(LEWIE Input)'!E21</f>
        <v>4852805.5512941182</v>
      </c>
      <c r="F21" s="81">
        <f>'SAM(LEWIE Input)'!F21</f>
        <v>44647587.92967996</v>
      </c>
      <c r="G21" s="81">
        <f>'SAM(LEWIE Input)'!G21</f>
        <v>43808746.848388225</v>
      </c>
      <c r="H21" s="81">
        <f>'SAM(LEWIE Input)'!H21</f>
        <v>9740838.3847287465</v>
      </c>
      <c r="I21" s="81">
        <f>'SAM(LEWIE Input)'!I21</f>
        <v>790387.8968782794</v>
      </c>
      <c r="J21" s="81">
        <f>'SAM(LEWIE Input)'!J21</f>
        <v>131955079.34746414</v>
      </c>
      <c r="K21" s="81">
        <f>'SAM(LEWIE Input)'!K21</f>
        <v>14650501.590000004</v>
      </c>
      <c r="L21" s="81">
        <f>'SAM(LEWIE Input)'!L21</f>
        <v>361135797.66000003</v>
      </c>
      <c r="M21" s="81">
        <f>'SAM(LEWIE Input)'!M21</f>
        <v>9416666.9591336958</v>
      </c>
      <c r="N21" s="81">
        <f>'SAM(LEWIE Input)'!N21</f>
        <v>29420519.469024308</v>
      </c>
      <c r="O21" s="81">
        <f>'SAM(LEWIE Input)'!O21</f>
        <v>48293551.09255325</v>
      </c>
      <c r="P21" s="81">
        <f>'SAM(LEWIE Input)'!P21</f>
        <v>3633952.7861120007</v>
      </c>
      <c r="Q21" s="81">
        <f>'SAM(LEWIE Input)'!Q21</f>
        <v>625555.03999999992</v>
      </c>
      <c r="R21" s="81">
        <f>'SAM(LEWIE Input)'!R21</f>
        <v>14733434.913122907</v>
      </c>
      <c r="S21" s="81">
        <f>'SAM(LEWIE Input)'!S21</f>
        <v>67493203.249870941</v>
      </c>
      <c r="T21" s="60">
        <f>'SAM(LEWIE Input)'!T21</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0.12830250990752975</v>
      </c>
      <c r="C24" s="82">
        <f t="shared" si="2"/>
        <v>8.8716145833333149E-2</v>
      </c>
      <c r="D24" s="82">
        <f t="shared" si="2"/>
        <v>0.23643591666666647</v>
      </c>
      <c r="E24" s="82">
        <f t="shared" si="2"/>
        <v>9.6771075019334879E-2</v>
      </c>
      <c r="F24" s="82">
        <f t="shared" si="2"/>
        <v>0</v>
      </c>
      <c r="G24" s="82">
        <f t="shared" si="2"/>
        <v>0</v>
      </c>
      <c r="H24" s="82">
        <f t="shared" si="2"/>
        <v>0</v>
      </c>
      <c r="I24" s="82">
        <f t="shared" si="2"/>
        <v>0</v>
      </c>
      <c r="J24" s="82">
        <f t="shared" si="2"/>
        <v>0</v>
      </c>
      <c r="K24" s="82">
        <f t="shared" si="2"/>
        <v>0.57651154176968999</v>
      </c>
      <c r="L24" s="82">
        <f t="shared" si="2"/>
        <v>0.37234464738995754</v>
      </c>
      <c r="M24" s="82">
        <f t="shared" si="2"/>
        <v>0.33330375000000001</v>
      </c>
      <c r="N24" s="82">
        <f t="shared" si="2"/>
        <v>0.11103243559188596</v>
      </c>
      <c r="O24" s="82">
        <f t="shared" si="2"/>
        <v>0</v>
      </c>
      <c r="P24" s="82">
        <f t="shared" si="2"/>
        <v>2.4003098575566262E-2</v>
      </c>
      <c r="Q24" s="82">
        <f t="shared" si="2"/>
        <v>1.6686117117186268E-2</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0.21851138423662883</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0.17754293262879792</v>
      </c>
      <c r="C26" s="82">
        <f t="shared" si="4"/>
        <v>0.18292222222222254</v>
      </c>
      <c r="D26" s="82">
        <f t="shared" si="4"/>
        <v>0.30794000000000032</v>
      </c>
      <c r="E26" s="82">
        <f t="shared" si="4"/>
        <v>7.7230761794276889E-2</v>
      </c>
      <c r="F26" s="82">
        <f t="shared" si="4"/>
        <v>0</v>
      </c>
      <c r="G26" s="82">
        <f t="shared" si="4"/>
        <v>0</v>
      </c>
      <c r="H26" s="82">
        <f t="shared" si="4"/>
        <v>0</v>
      </c>
      <c r="I26" s="82">
        <f t="shared" si="4"/>
        <v>0</v>
      </c>
      <c r="J26" s="82">
        <f t="shared" si="4"/>
        <v>0</v>
      </c>
      <c r="K26" s="82">
        <f t="shared" si="4"/>
        <v>0.40309152781788449</v>
      </c>
      <c r="L26" s="82">
        <f t="shared" si="4"/>
        <v>0.54485956467579144</v>
      </c>
      <c r="M26" s="82">
        <f t="shared" si="4"/>
        <v>0.156</v>
      </c>
      <c r="N26" s="82">
        <f t="shared" si="4"/>
        <v>0.15090647291884399</v>
      </c>
      <c r="O26" s="82">
        <f t="shared" si="4"/>
        <v>6.6927421946715943E-2</v>
      </c>
      <c r="P26" s="82">
        <f t="shared" si="4"/>
        <v>0.36503972937394014</v>
      </c>
      <c r="Q26" s="82">
        <f t="shared" si="4"/>
        <v>0.51610260360159821</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1.0402906208718631E-2</v>
      </c>
      <c r="C27" s="82">
        <f t="shared" si="5"/>
        <v>5.9144097222222098E-3</v>
      </c>
      <c r="D27" s="82">
        <f t="shared" si="5"/>
        <v>2.9970749999999973E-2</v>
      </c>
      <c r="E27" s="82">
        <f t="shared" si="5"/>
        <v>1.5818348801237433E-2</v>
      </c>
      <c r="F27" s="82">
        <f t="shared" si="5"/>
        <v>0</v>
      </c>
      <c r="G27" s="82">
        <f t="shared" si="5"/>
        <v>0</v>
      </c>
      <c r="H27" s="82">
        <f t="shared" si="5"/>
        <v>0</v>
      </c>
      <c r="I27" s="82">
        <f t="shared" si="5"/>
        <v>0</v>
      </c>
      <c r="J27" s="82">
        <f t="shared" si="5"/>
        <v>0</v>
      </c>
      <c r="K27" s="82">
        <f t="shared" si="5"/>
        <v>0</v>
      </c>
      <c r="L27" s="82">
        <f t="shared" si="5"/>
        <v>7.644895337341708E-3</v>
      </c>
      <c r="M27" s="82">
        <f t="shared" si="5"/>
        <v>5.3696249999999994E-2</v>
      </c>
      <c r="N27" s="82">
        <f t="shared" si="5"/>
        <v>2.048730261481E-2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0.13315719947159846</v>
      </c>
      <c r="C28" s="82">
        <f t="shared" si="6"/>
        <v>2.079336666666666E-2</v>
      </c>
      <c r="D28" s="82">
        <f t="shared" si="6"/>
        <v>2.8064666666666661E-2</v>
      </c>
      <c r="E28" s="82">
        <f t="shared" si="6"/>
        <v>6.4215052204176337E-2</v>
      </c>
      <c r="F28" s="82">
        <f t="shared" si="6"/>
        <v>0</v>
      </c>
      <c r="G28" s="82">
        <f t="shared" si="6"/>
        <v>0</v>
      </c>
      <c r="H28" s="82">
        <f t="shared" si="6"/>
        <v>0</v>
      </c>
      <c r="I28" s="82">
        <f t="shared" si="6"/>
        <v>0</v>
      </c>
      <c r="J28" s="82">
        <f t="shared" si="6"/>
        <v>0</v>
      </c>
      <c r="K28" s="82">
        <f t="shared" si="6"/>
        <v>0</v>
      </c>
      <c r="L28" s="82">
        <f t="shared" si="6"/>
        <v>0</v>
      </c>
      <c r="M28" s="82">
        <f t="shared" si="6"/>
        <v>1.0368E-2</v>
      </c>
      <c r="N28" s="82">
        <f t="shared" si="6"/>
        <v>1.2062978291270047E-2</v>
      </c>
      <c r="O28" s="82">
        <f t="shared" si="6"/>
        <v>0</v>
      </c>
      <c r="P28" s="82">
        <f t="shared" si="6"/>
        <v>9.729397882966965E-4</v>
      </c>
      <c r="Q28" s="82">
        <f t="shared" si="6"/>
        <v>0.28533260270388516</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0.14425363276089834</v>
      </c>
      <c r="C29" s="82">
        <f t="shared" si="7"/>
        <v>2.079336666666666E-2</v>
      </c>
      <c r="D29" s="82">
        <f t="shared" si="7"/>
        <v>2.0920933333333346E-2</v>
      </c>
      <c r="E29" s="82">
        <f t="shared" si="7"/>
        <v>4.756670533642691E-3</v>
      </c>
      <c r="F29" s="82">
        <f t="shared" si="7"/>
        <v>0</v>
      </c>
      <c r="G29" s="82">
        <f t="shared" si="7"/>
        <v>0</v>
      </c>
      <c r="H29" s="82">
        <f t="shared" si="7"/>
        <v>0</v>
      </c>
      <c r="I29" s="82">
        <f t="shared" si="7"/>
        <v>0</v>
      </c>
      <c r="J29" s="82">
        <f t="shared" si="7"/>
        <v>0</v>
      </c>
      <c r="K29" s="82">
        <f t="shared" si="7"/>
        <v>0</v>
      </c>
      <c r="L29" s="82">
        <f t="shared" si="7"/>
        <v>0</v>
      </c>
      <c r="M29" s="82">
        <f t="shared" si="7"/>
        <v>2.7216000000000001E-2</v>
      </c>
      <c r="N29" s="82">
        <f t="shared" si="7"/>
        <v>3.3365684635427759E-2</v>
      </c>
      <c r="O29" s="82">
        <f t="shared" si="7"/>
        <v>0</v>
      </c>
      <c r="P29" s="82">
        <f t="shared" si="7"/>
        <v>1.0810442092185517E-4</v>
      </c>
      <c r="Q29" s="82">
        <f t="shared" si="7"/>
        <v>3.3372234234372536E-2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0</v>
      </c>
      <c r="C30" s="82">
        <f t="shared" si="8"/>
        <v>2.877221666666667E-2</v>
      </c>
      <c r="D30" s="82">
        <f t="shared" si="8"/>
        <v>1.6838800000000004E-2</v>
      </c>
      <c r="E30" s="82">
        <f t="shared" si="8"/>
        <v>7.9277842227378197E-4</v>
      </c>
      <c r="F30" s="82">
        <f t="shared" si="8"/>
        <v>0</v>
      </c>
      <c r="G30" s="82">
        <f t="shared" si="8"/>
        <v>0</v>
      </c>
      <c r="H30" s="82">
        <f t="shared" si="8"/>
        <v>0</v>
      </c>
      <c r="I30" s="82">
        <f t="shared" si="8"/>
        <v>0</v>
      </c>
      <c r="J30" s="82">
        <f t="shared" si="8"/>
        <v>0</v>
      </c>
      <c r="K30" s="82">
        <f t="shared" si="8"/>
        <v>0</v>
      </c>
      <c r="L30" s="82">
        <f t="shared" si="8"/>
        <v>0</v>
      </c>
      <c r="M30" s="82">
        <f t="shared" si="8"/>
        <v>8.4240000000000009E-3</v>
      </c>
      <c r="N30" s="82">
        <f t="shared" si="8"/>
        <v>8.2130916025668493E-3</v>
      </c>
      <c r="O30" s="82">
        <f t="shared" si="8"/>
        <v>0</v>
      </c>
      <c r="P30" s="82">
        <f t="shared" si="8"/>
        <v>0.13718643461714894</v>
      </c>
      <c r="Q30" s="82">
        <f t="shared" si="8"/>
        <v>0.14850644234295776</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0</v>
      </c>
      <c r="C31" s="82">
        <f t="shared" si="9"/>
        <v>6.0445833333333471E-3</v>
      </c>
      <c r="D31" s="82">
        <f t="shared" si="9"/>
        <v>0</v>
      </c>
      <c r="E31" s="82">
        <f t="shared" si="9"/>
        <v>0</v>
      </c>
      <c r="F31" s="82">
        <f t="shared" si="9"/>
        <v>0</v>
      </c>
      <c r="G31" s="82">
        <f t="shared" si="9"/>
        <v>0</v>
      </c>
      <c r="H31" s="82">
        <f t="shared" si="9"/>
        <v>0</v>
      </c>
      <c r="I31" s="82">
        <f t="shared" si="9"/>
        <v>0</v>
      </c>
      <c r="J31" s="82">
        <f t="shared" si="9"/>
        <v>0</v>
      </c>
      <c r="K31" s="82">
        <f t="shared" si="9"/>
        <v>0</v>
      </c>
      <c r="L31" s="82">
        <f t="shared" si="9"/>
        <v>0</v>
      </c>
      <c r="M31" s="82">
        <f t="shared" si="9"/>
        <v>7.1280000000000007E-3</v>
      </c>
      <c r="N31" s="82">
        <f t="shared" si="9"/>
        <v>1.8992774330935845E-2</v>
      </c>
      <c r="O31" s="82">
        <f t="shared" si="9"/>
        <v>0</v>
      </c>
      <c r="P31" s="82">
        <f t="shared" si="9"/>
        <v>2.7711419334818053E-2</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v>
      </c>
      <c r="C32" s="82">
        <f t="shared" si="10"/>
        <v>0.22672222222222232</v>
      </c>
      <c r="D32" s="82">
        <f t="shared" si="10"/>
        <v>9.8999999999999991E-2</v>
      </c>
      <c r="E32" s="82">
        <f t="shared" si="10"/>
        <v>0.27793890177880903</v>
      </c>
      <c r="F32" s="82">
        <f t="shared" si="10"/>
        <v>0</v>
      </c>
      <c r="G32" s="82">
        <f t="shared" si="10"/>
        <v>0</v>
      </c>
      <c r="H32" s="82">
        <f t="shared" si="10"/>
        <v>0</v>
      </c>
      <c r="I32" s="82">
        <f t="shared" si="10"/>
        <v>0</v>
      </c>
      <c r="J32" s="82">
        <f t="shared" si="10"/>
        <v>0</v>
      </c>
      <c r="K32" s="82">
        <f t="shared" si="10"/>
        <v>9.5666123752728687E-3</v>
      </c>
      <c r="L32" s="82">
        <f t="shared" si="10"/>
        <v>1.3505364690285598E-2</v>
      </c>
      <c r="M32" s="82">
        <f t="shared" si="10"/>
        <v>0.22500000000000003</v>
      </c>
      <c r="N32" s="82">
        <f t="shared" si="10"/>
        <v>0.1702648455792701</v>
      </c>
      <c r="O32" s="82">
        <f t="shared" si="10"/>
        <v>0</v>
      </c>
      <c r="P32" s="82">
        <f t="shared" si="10"/>
        <v>8.7177797469115538E-4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3.7248170255649138E-2</v>
      </c>
      <c r="G33" s="82">
        <f t="shared" si="11"/>
        <v>1.8977524153168522E-2</v>
      </c>
      <c r="H33" s="82">
        <f t="shared" si="11"/>
        <v>7.1821134659545607E-2</v>
      </c>
      <c r="I33" s="82">
        <f t="shared" si="11"/>
        <v>6.2199145884218987E-2</v>
      </c>
      <c r="J33" s="82">
        <f t="shared" si="11"/>
        <v>2.4804552413255302E-2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1.9118270383359264E-2</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0.96275182974435092</v>
      </c>
      <c r="G34" s="82">
        <f t="shared" si="12"/>
        <v>0.98102247584683144</v>
      </c>
      <c r="H34" s="82">
        <f t="shared" si="12"/>
        <v>0.92817886534045435</v>
      </c>
      <c r="I34" s="82">
        <f t="shared" si="12"/>
        <v>0.93780085411578107</v>
      </c>
      <c r="J34" s="82">
        <f t="shared" si="12"/>
        <v>0.9751954475867447</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0.26534966465059401</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2.2103952358929112E-2</v>
      </c>
      <c r="M35" s="82">
        <f t="shared" si="13"/>
        <v>0</v>
      </c>
      <c r="N35" s="82">
        <f t="shared" si="13"/>
        <v>0</v>
      </c>
      <c r="O35" s="82">
        <f t="shared" si="13"/>
        <v>2.9696273314105747E-2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0.62009902258782146</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0.71553206496604671</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6.4765897914727893E-2</v>
      </c>
      <c r="P38" s="82">
        <f t="shared" si="16"/>
        <v>0</v>
      </c>
      <c r="Q38" s="82">
        <f t="shared" si="16"/>
        <v>0</v>
      </c>
      <c r="R38" s="82">
        <f t="shared" si="16"/>
        <v>3.4355707891386159E-2</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0.17214176320361249</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6.935270805812418E-3</v>
      </c>
      <c r="C40" s="82">
        <f t="shared" si="18"/>
        <v>1.9016666666666675E-2</v>
      </c>
      <c r="D40" s="82">
        <f t="shared" si="18"/>
        <v>1.7206666666666641E-2</v>
      </c>
      <c r="E40" s="82">
        <f t="shared" si="18"/>
        <v>3.0706206496519724E-2</v>
      </c>
      <c r="F40" s="82">
        <f t="shared" si="18"/>
        <v>0</v>
      </c>
      <c r="G40" s="82">
        <f t="shared" si="18"/>
        <v>0</v>
      </c>
      <c r="H40" s="82">
        <f t="shared" si="18"/>
        <v>0</v>
      </c>
      <c r="I40" s="82">
        <f t="shared" si="18"/>
        <v>0</v>
      </c>
      <c r="J40" s="82">
        <f t="shared" si="18"/>
        <v>0</v>
      </c>
      <c r="K40" s="82">
        <f t="shared" si="18"/>
        <v>2.1297741594620211E-4</v>
      </c>
      <c r="L40" s="82">
        <f t="shared" si="18"/>
        <v>8.5738697136577436E-3</v>
      </c>
      <c r="M40" s="82">
        <f t="shared" si="18"/>
        <v>1.6500000000000001E-2</v>
      </c>
      <c r="N40" s="82">
        <f t="shared" si="18"/>
        <v>3.0481108768375852E-2</v>
      </c>
      <c r="O40" s="82">
        <f t="shared" si="18"/>
        <v>0</v>
      </c>
      <c r="P40" s="82">
        <f t="shared" si="18"/>
        <v>0</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9.9405548216644449E-2</v>
      </c>
      <c r="C41" s="82">
        <f t="shared" si="19"/>
        <v>0.40030479999999974</v>
      </c>
      <c r="D41" s="82">
        <f t="shared" si="19"/>
        <v>0.24362226666666664</v>
      </c>
      <c r="E41" s="82">
        <f t="shared" si="19"/>
        <v>0.43177020494972934</v>
      </c>
      <c r="F41" s="82">
        <f t="shared" si="19"/>
        <v>0</v>
      </c>
      <c r="G41" s="82">
        <f t="shared" si="19"/>
        <v>0</v>
      </c>
      <c r="H41" s="82">
        <f t="shared" si="19"/>
        <v>0</v>
      </c>
      <c r="I41" s="82">
        <f t="shared" si="19"/>
        <v>0</v>
      </c>
      <c r="J41" s="82">
        <f t="shared" si="19"/>
        <v>0</v>
      </c>
      <c r="K41" s="82">
        <f t="shared" si="19"/>
        <v>1.0617340621206338E-2</v>
      </c>
      <c r="L41" s="82">
        <f t="shared" si="19"/>
        <v>3.0967705834036914E-2</v>
      </c>
      <c r="M41" s="82">
        <f t="shared" si="19"/>
        <v>0.16236400000000001</v>
      </c>
      <c r="N41" s="82">
        <f t="shared" si="19"/>
        <v>0.44419330566661364</v>
      </c>
      <c r="O41" s="82">
        <f t="shared" si="19"/>
        <v>0</v>
      </c>
      <c r="P41" s="82">
        <f t="shared" si="19"/>
        <v>0.27196473271100446</v>
      </c>
      <c r="Q41" s="82">
        <f t="shared" si="19"/>
        <v>0</v>
      </c>
      <c r="R41" s="82">
        <f t="shared" si="19"/>
        <v>0.96564429210861391</v>
      </c>
      <c r="S41" s="82">
        <f t="shared" si="19"/>
        <v>0</v>
      </c>
      <c r="T41" s="1"/>
      <c r="U41" s="1"/>
      <c r="V41" s="1"/>
      <c r="W41" s="1"/>
      <c r="X41" s="1"/>
      <c r="Y41" s="1"/>
      <c r="Z41" s="1"/>
      <c r="AA41" s="1"/>
      <c r="AB41" s="1"/>
      <c r="AC41" s="1"/>
      <c r="AD41" s="1"/>
      <c r="AE41" s="1"/>
      <c r="AF41" s="1"/>
      <c r="AG41" s="1"/>
    </row>
    <row r="42" spans="1:33" x14ac:dyDescent="0.2">
      <c r="A42" s="60" t="s">
        <v>349</v>
      </c>
      <c r="B42" s="82">
        <f t="shared" ref="B42:S42" si="20">SUM(B24:B41)</f>
        <v>1</v>
      </c>
      <c r="C42" s="82">
        <f t="shared" si="20"/>
        <v>1</v>
      </c>
      <c r="D42" s="82">
        <f t="shared" si="20"/>
        <v>1</v>
      </c>
      <c r="E42" s="82">
        <f t="shared" si="20"/>
        <v>1</v>
      </c>
      <c r="F42" s="82">
        <f t="shared" si="20"/>
        <v>1</v>
      </c>
      <c r="G42" s="82">
        <f t="shared" si="20"/>
        <v>1</v>
      </c>
      <c r="H42" s="82">
        <f t="shared" si="20"/>
        <v>1</v>
      </c>
      <c r="I42" s="82">
        <f t="shared" si="20"/>
        <v>1</v>
      </c>
      <c r="J42" s="82">
        <f t="shared" si="20"/>
        <v>1</v>
      </c>
      <c r="K42" s="82">
        <f t="shared" si="20"/>
        <v>0.99999999999999989</v>
      </c>
      <c r="L42" s="82">
        <f t="shared" si="20"/>
        <v>1</v>
      </c>
      <c r="M42" s="82">
        <f t="shared" si="20"/>
        <v>1</v>
      </c>
      <c r="N42" s="82">
        <f t="shared" si="20"/>
        <v>1</v>
      </c>
      <c r="O42" s="82">
        <f t="shared" si="20"/>
        <v>0.99999999999999978</v>
      </c>
      <c r="P42" s="82">
        <f t="shared" si="20"/>
        <v>1</v>
      </c>
      <c r="Q42" s="82">
        <f t="shared" si="20"/>
        <v>0.99999999999999989</v>
      </c>
      <c r="R42" s="82">
        <f t="shared" si="20"/>
        <v>1</v>
      </c>
      <c r="S42" s="82">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0.87169749009247022</v>
      </c>
      <c r="C63" s="82">
        <f t="shared" si="25"/>
        <v>-8.8716145833333149E-2</v>
      </c>
      <c r="D63" s="82">
        <f t="shared" si="25"/>
        <v>-0.23643591666666647</v>
      </c>
      <c r="E63" s="82">
        <f t="shared" si="25"/>
        <v>-9.6771075019334879E-2</v>
      </c>
      <c r="F63" s="82">
        <f t="shared" si="25"/>
        <v>0</v>
      </c>
      <c r="G63" s="82">
        <f t="shared" si="25"/>
        <v>0</v>
      </c>
      <c r="H63" s="82">
        <f t="shared" si="25"/>
        <v>0</v>
      </c>
      <c r="I63" s="82">
        <f t="shared" si="25"/>
        <v>0</v>
      </c>
      <c r="J63" s="82">
        <f t="shared" si="25"/>
        <v>0</v>
      </c>
      <c r="K63" s="82">
        <f t="shared" si="25"/>
        <v>-0.57651154176968999</v>
      </c>
      <c r="L63" s="82">
        <f t="shared" si="25"/>
        <v>-0.37234464738995754</v>
      </c>
      <c r="M63" s="82">
        <f t="shared" si="25"/>
        <v>-0.33330375000000001</v>
      </c>
      <c r="N63" s="82">
        <f t="shared" si="25"/>
        <v>-0.11103243559188596</v>
      </c>
      <c r="O63" s="82">
        <f t="shared" si="25"/>
        <v>0</v>
      </c>
      <c r="P63" s="82">
        <f t="shared" si="25"/>
        <v>-2.4003098575566262E-2</v>
      </c>
      <c r="Q63" s="82">
        <f t="shared" si="25"/>
        <v>-1.6686117117186268E-2</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-0.21851138423662883</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-0.17754293262879792</v>
      </c>
      <c r="C65" s="82">
        <f t="shared" si="27"/>
        <v>-0.18292222222222254</v>
      </c>
      <c r="D65" s="82">
        <f t="shared" si="27"/>
        <v>0.69205999999999968</v>
      </c>
      <c r="E65" s="82">
        <f t="shared" si="27"/>
        <v>-7.7230761794276889E-2</v>
      </c>
      <c r="F65" s="82">
        <f t="shared" si="27"/>
        <v>0</v>
      </c>
      <c r="G65" s="82">
        <f t="shared" si="27"/>
        <v>0</v>
      </c>
      <c r="H65" s="82">
        <f t="shared" si="27"/>
        <v>0</v>
      </c>
      <c r="I65" s="82">
        <f t="shared" si="27"/>
        <v>0</v>
      </c>
      <c r="J65" s="82">
        <f t="shared" si="27"/>
        <v>0</v>
      </c>
      <c r="K65" s="82">
        <f t="shared" si="27"/>
        <v>-0.40309152781788449</v>
      </c>
      <c r="L65" s="82">
        <f t="shared" si="27"/>
        <v>-0.54485956467579144</v>
      </c>
      <c r="M65" s="82">
        <f t="shared" si="27"/>
        <v>-0.156</v>
      </c>
      <c r="N65" s="82">
        <f t="shared" si="27"/>
        <v>-0.15090647291884399</v>
      </c>
      <c r="O65" s="82">
        <f t="shared" si="27"/>
        <v>-6.6927421946715943E-2</v>
      </c>
      <c r="P65" s="82">
        <f t="shared" si="27"/>
        <v>-0.36503972937394014</v>
      </c>
      <c r="Q65" s="82">
        <f t="shared" si="27"/>
        <v>-0.51610260360159821</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-1.0402906208718631E-2</v>
      </c>
      <c r="C66" s="82">
        <f t="shared" si="28"/>
        <v>-5.9144097222222098E-3</v>
      </c>
      <c r="D66" s="82">
        <f t="shared" si="28"/>
        <v>-2.9970749999999973E-2</v>
      </c>
      <c r="E66" s="82">
        <f t="shared" si="28"/>
        <v>0.98418165119876255</v>
      </c>
      <c r="F66" s="82">
        <f t="shared" si="28"/>
        <v>0</v>
      </c>
      <c r="G66" s="82">
        <f t="shared" si="28"/>
        <v>0</v>
      </c>
      <c r="H66" s="82">
        <f t="shared" si="28"/>
        <v>0</v>
      </c>
      <c r="I66" s="82">
        <f t="shared" si="28"/>
        <v>0</v>
      </c>
      <c r="J66" s="82">
        <f t="shared" si="28"/>
        <v>0</v>
      </c>
      <c r="K66" s="82">
        <f t="shared" si="28"/>
        <v>0</v>
      </c>
      <c r="L66" s="82">
        <f t="shared" si="28"/>
        <v>-7.644895337341708E-3</v>
      </c>
      <c r="M66" s="82">
        <f t="shared" si="28"/>
        <v>-5.3696249999999994E-2</v>
      </c>
      <c r="N66" s="82">
        <f t="shared" si="28"/>
        <v>-2.048730261481E-2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-0.13315719947159846</v>
      </c>
      <c r="C67" s="82">
        <f t="shared" si="29"/>
        <v>-2.079336666666666E-2</v>
      </c>
      <c r="D67" s="82">
        <f t="shared" si="29"/>
        <v>-2.8064666666666661E-2</v>
      </c>
      <c r="E67" s="82">
        <f t="shared" si="29"/>
        <v>-6.4215052204176337E-2</v>
      </c>
      <c r="F67" s="82">
        <f t="shared" si="29"/>
        <v>1</v>
      </c>
      <c r="G67" s="82">
        <f t="shared" si="29"/>
        <v>0</v>
      </c>
      <c r="H67" s="82">
        <f t="shared" si="29"/>
        <v>0</v>
      </c>
      <c r="I67" s="82">
        <f t="shared" si="29"/>
        <v>0</v>
      </c>
      <c r="J67" s="82">
        <f t="shared" si="29"/>
        <v>0</v>
      </c>
      <c r="K67" s="82">
        <f t="shared" si="29"/>
        <v>0</v>
      </c>
      <c r="L67" s="82">
        <f t="shared" si="29"/>
        <v>0</v>
      </c>
      <c r="M67" s="82">
        <f t="shared" si="29"/>
        <v>-1.0368E-2</v>
      </c>
      <c r="N67" s="82">
        <f t="shared" si="29"/>
        <v>-1.2062978291270047E-2</v>
      </c>
      <c r="O67" s="82">
        <f t="shared" si="29"/>
        <v>0</v>
      </c>
      <c r="P67" s="82">
        <f t="shared" si="29"/>
        <v>-9.729397882966965E-4</v>
      </c>
      <c r="Q67" s="82">
        <f t="shared" si="29"/>
        <v>-0.28533260270388516</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-0.14425363276089834</v>
      </c>
      <c r="C68" s="82">
        <f t="shared" si="30"/>
        <v>-2.079336666666666E-2</v>
      </c>
      <c r="D68" s="82">
        <f t="shared" si="30"/>
        <v>-2.0920933333333346E-2</v>
      </c>
      <c r="E68" s="82">
        <f t="shared" si="30"/>
        <v>-4.756670533642691E-3</v>
      </c>
      <c r="F68" s="82">
        <f t="shared" si="30"/>
        <v>0</v>
      </c>
      <c r="G68" s="82">
        <f t="shared" si="30"/>
        <v>1</v>
      </c>
      <c r="H68" s="82">
        <f t="shared" si="30"/>
        <v>0</v>
      </c>
      <c r="I68" s="82">
        <f t="shared" si="30"/>
        <v>0</v>
      </c>
      <c r="J68" s="82">
        <f t="shared" si="30"/>
        <v>0</v>
      </c>
      <c r="K68" s="82">
        <f t="shared" si="30"/>
        <v>0</v>
      </c>
      <c r="L68" s="82">
        <f t="shared" si="30"/>
        <v>0</v>
      </c>
      <c r="M68" s="82">
        <f t="shared" si="30"/>
        <v>-2.7216000000000001E-2</v>
      </c>
      <c r="N68" s="82">
        <f t="shared" si="30"/>
        <v>-3.3365684635427759E-2</v>
      </c>
      <c r="O68" s="82">
        <f t="shared" si="30"/>
        <v>0</v>
      </c>
      <c r="P68" s="82">
        <f t="shared" si="30"/>
        <v>-1.0810442092185517E-4</v>
      </c>
      <c r="Q68" s="82">
        <f t="shared" si="30"/>
        <v>-3.3372234234372536E-2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0</v>
      </c>
      <c r="C69" s="82">
        <f t="shared" si="31"/>
        <v>-2.877221666666667E-2</v>
      </c>
      <c r="D69" s="82">
        <f t="shared" si="31"/>
        <v>-1.6838800000000004E-2</v>
      </c>
      <c r="E69" s="82">
        <f t="shared" si="31"/>
        <v>-7.9277842227378197E-4</v>
      </c>
      <c r="F69" s="82">
        <f t="shared" si="31"/>
        <v>0</v>
      </c>
      <c r="G69" s="82">
        <f t="shared" si="31"/>
        <v>0</v>
      </c>
      <c r="H69" s="82">
        <f t="shared" si="31"/>
        <v>1</v>
      </c>
      <c r="I69" s="82">
        <f t="shared" si="31"/>
        <v>0</v>
      </c>
      <c r="J69" s="82">
        <f t="shared" si="31"/>
        <v>0</v>
      </c>
      <c r="K69" s="82">
        <f t="shared" si="31"/>
        <v>0</v>
      </c>
      <c r="L69" s="82">
        <f t="shared" si="31"/>
        <v>0</v>
      </c>
      <c r="M69" s="82">
        <f t="shared" si="31"/>
        <v>-8.4240000000000009E-3</v>
      </c>
      <c r="N69" s="82">
        <f t="shared" si="31"/>
        <v>-8.2130916025668493E-3</v>
      </c>
      <c r="O69" s="82">
        <f t="shared" si="31"/>
        <v>0</v>
      </c>
      <c r="P69" s="82">
        <f t="shared" si="31"/>
        <v>-0.13718643461714894</v>
      </c>
      <c r="Q69" s="82">
        <f t="shared" si="31"/>
        <v>-0.14850644234295776</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0</v>
      </c>
      <c r="C70" s="82">
        <f t="shared" si="32"/>
        <v>-6.0445833333333471E-3</v>
      </c>
      <c r="D70" s="82">
        <f t="shared" si="32"/>
        <v>0</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-7.1280000000000007E-3</v>
      </c>
      <c r="N70" s="82">
        <f t="shared" si="32"/>
        <v>-1.8992774330935845E-2</v>
      </c>
      <c r="O70" s="82">
        <f t="shared" si="32"/>
        <v>0</v>
      </c>
      <c r="P70" s="82">
        <f t="shared" si="32"/>
        <v>-2.7711419334818053E-2</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v>
      </c>
      <c r="C71" s="82">
        <f t="shared" si="33"/>
        <v>-0.22672222222222232</v>
      </c>
      <c r="D71" s="82">
        <f t="shared" si="33"/>
        <v>-9.8999999999999991E-2</v>
      </c>
      <c r="E71" s="82">
        <f t="shared" si="33"/>
        <v>-0.27793890177880903</v>
      </c>
      <c r="F71" s="82">
        <f t="shared" si="33"/>
        <v>0</v>
      </c>
      <c r="G71" s="82">
        <f t="shared" si="33"/>
        <v>0</v>
      </c>
      <c r="H71" s="82">
        <f t="shared" si="33"/>
        <v>0</v>
      </c>
      <c r="I71" s="82">
        <f t="shared" si="33"/>
        <v>0</v>
      </c>
      <c r="J71" s="82">
        <f t="shared" si="33"/>
        <v>1</v>
      </c>
      <c r="K71" s="82">
        <f t="shared" si="33"/>
        <v>-9.5666123752728687E-3</v>
      </c>
      <c r="L71" s="82">
        <f t="shared" si="33"/>
        <v>-1.3505364690285598E-2</v>
      </c>
      <c r="M71" s="82">
        <f t="shared" si="33"/>
        <v>-0.22500000000000003</v>
      </c>
      <c r="N71" s="82">
        <f t="shared" si="33"/>
        <v>-0.1702648455792701</v>
      </c>
      <c r="O71" s="82">
        <f t="shared" si="33"/>
        <v>0</v>
      </c>
      <c r="P71" s="82">
        <f t="shared" si="33"/>
        <v>-8.7177797469115538E-4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-3.7248170255649138E-2</v>
      </c>
      <c r="G72" s="82">
        <f t="shared" si="34"/>
        <v>-1.8977524153168522E-2</v>
      </c>
      <c r="H72" s="82">
        <f t="shared" si="34"/>
        <v>-7.1821134659545607E-2</v>
      </c>
      <c r="I72" s="82">
        <f t="shared" si="34"/>
        <v>-6.2199145884218987E-2</v>
      </c>
      <c r="J72" s="82">
        <f t="shared" si="34"/>
        <v>-2.4804552413255302E-2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-0.96275182974435092</v>
      </c>
      <c r="G73" s="82">
        <f t="shared" si="35"/>
        <v>-0.98102247584683144</v>
      </c>
      <c r="H73" s="82">
        <f t="shared" si="35"/>
        <v>-0.92817886534045435</v>
      </c>
      <c r="I73" s="82">
        <f t="shared" si="35"/>
        <v>-0.93780085411578107</v>
      </c>
      <c r="J73" s="82">
        <f t="shared" si="35"/>
        <v>-0.9751954475867447</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-2.2103952358929112E-2</v>
      </c>
      <c r="M74" s="82">
        <f t="shared" si="36"/>
        <v>1</v>
      </c>
      <c r="N74" s="82">
        <f t="shared" si="36"/>
        <v>0</v>
      </c>
      <c r="O74" s="82">
        <f t="shared" si="36"/>
        <v>-2.9696273314105747E-2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-0.62009902258782146</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-6.4765897914727893E-2</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-0.17214176320361249</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2.6359335200863883</v>
      </c>
      <c r="C81" s="82">
        <v>1.039294133509443</v>
      </c>
      <c r="D81" s="82">
        <v>1.3747085458677948</v>
      </c>
      <c r="E81" s="82">
        <v>1.0054441781357633</v>
      </c>
      <c r="F81" s="82">
        <v>1.809919410326444</v>
      </c>
      <c r="G81" s="82">
        <v>1.8045840674752611</v>
      </c>
      <c r="H81" s="82">
        <v>1.820015310462755</v>
      </c>
      <c r="I81" s="82">
        <v>1.8172055242768346</v>
      </c>
      <c r="J81" s="82">
        <v>1.8062856599310895</v>
      </c>
      <c r="K81" s="82">
        <v>2.0910595004731363</v>
      </c>
      <c r="L81" s="82">
        <v>1.7990423040775227</v>
      </c>
      <c r="M81" s="82">
        <v>1.6495875699646425</v>
      </c>
      <c r="N81" s="82">
        <v>0.95977825318940813</v>
      </c>
      <c r="O81" s="82">
        <v>1.0373500536743778</v>
      </c>
      <c r="P81" s="82">
        <v>1.1441606984236736</v>
      </c>
      <c r="Q81" s="1">
        <v>1.6004101721396788</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0.21851138423662883</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2.2370572075752966</v>
      </c>
      <c r="C83" s="82">
        <v>1.4789838515515652</v>
      </c>
      <c r="D83" s="82">
        <v>2.8558586986546275</v>
      </c>
      <c r="E83" s="82">
        <v>1.31857758488813</v>
      </c>
      <c r="F83" s="82">
        <v>2.4752082064060947</v>
      </c>
      <c r="G83" s="82">
        <v>2.4754106165851688</v>
      </c>
      <c r="H83" s="82">
        <v>2.4748251920410373</v>
      </c>
      <c r="I83" s="82">
        <v>2.474931788625534</v>
      </c>
      <c r="J83" s="82">
        <v>2.4753460622269388</v>
      </c>
      <c r="K83" s="82">
        <v>2.4645424221109042</v>
      </c>
      <c r="L83" s="82">
        <v>2.475620857867316</v>
      </c>
      <c r="M83" s="82">
        <v>1.9504120241151843</v>
      </c>
      <c r="N83" s="82">
        <v>1.3076159265118883</v>
      </c>
      <c r="O83" s="82">
        <v>1.5105627266804935</v>
      </c>
      <c r="P83" s="82">
        <v>1.9683403686241516</v>
      </c>
      <c r="Q83" s="1">
        <v>2.6676389758389139</v>
      </c>
      <c r="R83" s="1"/>
      <c r="S83" s="1"/>
      <c r="T83" s="1"/>
      <c r="U83" s="1"/>
      <c r="V83" s="1"/>
      <c r="W83" s="1"/>
      <c r="X83" s="1"/>
      <c r="Y83" s="1"/>
      <c r="Z83" s="1"/>
      <c r="AA83" s="1"/>
      <c r="AB83" s="1"/>
      <c r="AC83" s="1"/>
      <c r="AD83" s="1"/>
      <c r="AE83" s="1"/>
      <c r="AF83" s="1"/>
      <c r="AG83" s="1"/>
    </row>
    <row r="84" spans="1:33" x14ac:dyDescent="0.2">
      <c r="A84" s="60" t="str">
        <f t="shared" si="42"/>
        <v>NatRes</v>
      </c>
      <c r="B84" s="82">
        <v>0.11316946005920518</v>
      </c>
      <c r="C84" s="82">
        <v>7.2457034066890344E-2</v>
      </c>
      <c r="D84" s="82">
        <v>0.11309680948719429</v>
      </c>
      <c r="E84" s="82">
        <v>1.0772899607025324</v>
      </c>
      <c r="F84" s="82">
        <v>0.1166105684688032</v>
      </c>
      <c r="G84" s="82">
        <v>0.11669905227991359</v>
      </c>
      <c r="H84" s="82">
        <v>0.11644313335815183</v>
      </c>
      <c r="I84" s="82">
        <v>0.1164897321610911</v>
      </c>
      <c r="J84" s="82">
        <v>0.11667083227800405</v>
      </c>
      <c r="K84" s="82">
        <v>0.11194801025540126</v>
      </c>
      <c r="L84" s="82">
        <v>0.1167909594655212</v>
      </c>
      <c r="M84" s="82">
        <v>0.1456566315651229</v>
      </c>
      <c r="N84" s="82">
        <v>8.0037463920471882E-2</v>
      </c>
      <c r="O84" s="82">
        <v>8.2745756633265041E-2</v>
      </c>
      <c r="P84" s="82">
        <v>8.3179262810218507E-2</v>
      </c>
      <c r="Q84" s="1">
        <v>0.11471777728189504</v>
      </c>
      <c r="R84" s="1"/>
      <c r="S84" s="1"/>
      <c r="T84" s="1"/>
      <c r="U84" s="1"/>
      <c r="V84" s="1"/>
      <c r="W84" s="1"/>
      <c r="X84" s="1"/>
      <c r="Y84" s="1"/>
      <c r="Z84" s="1"/>
      <c r="AA84" s="1"/>
      <c r="AB84" s="1"/>
      <c r="AC84" s="1"/>
      <c r="AD84" s="1"/>
      <c r="AE84" s="1"/>
      <c r="AF84" s="1"/>
      <c r="AG84" s="1"/>
    </row>
    <row r="85" spans="1:33" x14ac:dyDescent="0.2">
      <c r="A85" s="60" t="str">
        <f t="shared" si="42"/>
        <v>L-MUSK</v>
      </c>
      <c r="B85" s="82">
        <v>0.42148180896818788</v>
      </c>
      <c r="C85" s="82">
        <v>0.20560907990591817</v>
      </c>
      <c r="D85" s="82">
        <v>0.27075977463211098</v>
      </c>
      <c r="E85" s="82">
        <v>0.2403323142797707</v>
      </c>
      <c r="F85" s="82">
        <v>1.318522327982719</v>
      </c>
      <c r="G85" s="82">
        <v>0.31782679377813794</v>
      </c>
      <c r="H85" s="82">
        <v>0.31983846530822962</v>
      </c>
      <c r="I85" s="82">
        <v>0.31947217162207342</v>
      </c>
      <c r="J85" s="82">
        <v>0.31804861940177581</v>
      </c>
      <c r="K85" s="82">
        <v>0.35517274660251913</v>
      </c>
      <c r="L85" s="82">
        <v>0.31710434985947439</v>
      </c>
      <c r="M85" s="82">
        <v>0.29447780611160401</v>
      </c>
      <c r="N85" s="82">
        <v>0.18193815458848936</v>
      </c>
      <c r="O85" s="82">
        <v>0.20166729239776532</v>
      </c>
      <c r="P85" s="82">
        <v>0.2633106210983584</v>
      </c>
      <c r="Q85" s="1">
        <v>0.58109478984719631</v>
      </c>
      <c r="R85" s="1"/>
      <c r="S85" s="1"/>
      <c r="T85" s="1"/>
      <c r="U85" s="1"/>
      <c r="V85" s="1"/>
      <c r="W85" s="1"/>
      <c r="X85" s="1"/>
      <c r="Y85" s="1"/>
      <c r="Z85" s="1"/>
      <c r="AA85" s="1"/>
      <c r="AB85" s="1"/>
      <c r="AC85" s="1"/>
      <c r="AD85" s="1"/>
      <c r="AE85" s="1"/>
      <c r="AF85" s="1"/>
      <c r="AG85" s="1"/>
    </row>
    <row r="86" spans="1:33" x14ac:dyDescent="0.2">
      <c r="A86" s="60" t="str">
        <f t="shared" si="42"/>
        <v>L-FUSK</v>
      </c>
      <c r="B86" s="82">
        <v>0.42873456452761943</v>
      </c>
      <c r="C86" s="82">
        <v>0.20270046215079784</v>
      </c>
      <c r="D86" s="82">
        <v>0.25936940632328692</v>
      </c>
      <c r="E86" s="82">
        <v>0.1784487559607858</v>
      </c>
      <c r="F86" s="82">
        <v>0.31490755662547776</v>
      </c>
      <c r="G86" s="82">
        <v>1.3141518687053577</v>
      </c>
      <c r="H86" s="82">
        <v>0.31633752091991069</v>
      </c>
      <c r="I86" s="82">
        <v>0.31593954809266306</v>
      </c>
      <c r="J86" s="82">
        <v>0.31439287905833835</v>
      </c>
      <c r="K86" s="82">
        <v>0.35472770987734314</v>
      </c>
      <c r="L86" s="82">
        <v>0.31336694376751473</v>
      </c>
      <c r="M86" s="82">
        <v>0.30762865547930263</v>
      </c>
      <c r="N86" s="82">
        <v>0.20017493129132202</v>
      </c>
      <c r="O86" s="82">
        <v>0.2087246629744729</v>
      </c>
      <c r="P86" s="82">
        <v>0.21322447892121496</v>
      </c>
      <c r="Q86" s="1">
        <v>0.32170287759039207</v>
      </c>
      <c r="R86" s="1"/>
      <c r="S86" s="1"/>
      <c r="T86" s="1"/>
      <c r="U86" s="1"/>
      <c r="V86" s="1"/>
      <c r="W86" s="1"/>
      <c r="X86" s="1"/>
      <c r="Y86" s="1"/>
      <c r="Z86" s="1"/>
      <c r="AA86" s="1"/>
      <c r="AB86" s="1"/>
      <c r="AC86" s="1"/>
      <c r="AD86" s="1"/>
      <c r="AE86" s="1"/>
      <c r="AF86" s="1"/>
      <c r="AG86" s="1"/>
    </row>
    <row r="87" spans="1:33" x14ac:dyDescent="0.2">
      <c r="A87" s="60" t="str">
        <f t="shared" si="42"/>
        <v>L-MSK</v>
      </c>
      <c r="B87" s="82">
        <v>3.8115631308284791E-2</v>
      </c>
      <c r="C87" s="82">
        <v>5.3950256544566387E-2</v>
      </c>
      <c r="D87" s="82">
        <v>4.8419552297495894E-2</v>
      </c>
      <c r="E87" s="82">
        <v>2.3273857337418144E-2</v>
      </c>
      <c r="F87" s="82">
        <v>4.2230623140992997E-2</v>
      </c>
      <c r="G87" s="82">
        <v>4.2236979948092807E-2</v>
      </c>
      <c r="H87" s="82">
        <v>1.0422185943564415</v>
      </c>
      <c r="I87" s="82">
        <v>4.2221942082965105E-2</v>
      </c>
      <c r="J87" s="82">
        <v>4.2234952581659962E-2</v>
      </c>
      <c r="K87" s="82">
        <v>4.1895658102956687E-2</v>
      </c>
      <c r="L87" s="82">
        <v>4.2243582695450324E-2</v>
      </c>
      <c r="M87" s="82">
        <v>4.1678092389025069E-2</v>
      </c>
      <c r="N87" s="82">
        <v>3.0487282919676617E-2</v>
      </c>
      <c r="O87" s="82">
        <v>4.7878728307426024E-2</v>
      </c>
      <c r="P87" s="82">
        <v>0.19619227570890507</v>
      </c>
      <c r="Q87" s="1">
        <v>0.19386095048832699</v>
      </c>
      <c r="R87" s="1"/>
      <c r="S87" s="1"/>
      <c r="T87" s="1"/>
      <c r="U87" s="1"/>
      <c r="V87" s="1"/>
      <c r="W87" s="1"/>
      <c r="X87" s="1"/>
      <c r="Y87" s="1"/>
      <c r="Z87" s="1"/>
      <c r="AA87" s="1"/>
      <c r="AB87" s="1"/>
      <c r="AC87" s="1"/>
      <c r="AD87" s="1"/>
      <c r="AE87" s="1"/>
      <c r="AF87" s="1"/>
      <c r="AG87" s="1"/>
    </row>
    <row r="88" spans="1:33" x14ac:dyDescent="0.2">
      <c r="A88" s="60" t="str">
        <f t="shared" si="42"/>
        <v>L-FSK</v>
      </c>
      <c r="B88" s="82">
        <v>3.0169961915970755E-4</v>
      </c>
      <c r="C88" s="82">
        <v>6.2275930623851413E-3</v>
      </c>
      <c r="D88" s="82">
        <v>2.0363380433920675E-4</v>
      </c>
      <c r="E88" s="82">
        <v>1.8322688629956505E-4</v>
      </c>
      <c r="F88" s="82">
        <v>3.8808072132152829E-4</v>
      </c>
      <c r="G88" s="82">
        <v>3.9051621822326415E-4</v>
      </c>
      <c r="H88" s="82">
        <v>3.8347210774447018E-4</v>
      </c>
      <c r="I88" s="82">
        <v>1.000384754729263</v>
      </c>
      <c r="J88" s="82">
        <v>3.8973946904897837E-4</v>
      </c>
      <c r="K88" s="82">
        <v>2.5974486032728658E-4</v>
      </c>
      <c r="L88" s="82">
        <v>3.9304594273428654E-4</v>
      </c>
      <c r="M88" s="82">
        <v>7.3784792762055552E-3</v>
      </c>
      <c r="N88" s="82">
        <v>1.9155283490421136E-2</v>
      </c>
      <c r="O88" s="82">
        <v>1.5279142347255515E-2</v>
      </c>
      <c r="P88" s="82">
        <v>2.7907090495895515E-2</v>
      </c>
      <c r="Q88" s="1">
        <v>2.9084269121989998E-4</v>
      </c>
      <c r="R88" s="1"/>
      <c r="S88" s="1"/>
      <c r="T88" s="1"/>
      <c r="U88" s="1"/>
      <c r="V88" s="1"/>
      <c r="W88" s="1"/>
      <c r="X88" s="1"/>
      <c r="Y88" s="1"/>
      <c r="Z88" s="1"/>
      <c r="AA88" s="1"/>
      <c r="AB88" s="1"/>
      <c r="AC88" s="1"/>
      <c r="AD88" s="1"/>
      <c r="AE88" s="1"/>
      <c r="AF88" s="1"/>
      <c r="AG88" s="1"/>
    </row>
    <row r="89" spans="1:33" x14ac:dyDescent="0.2">
      <c r="A89" s="60" t="str">
        <f t="shared" si="42"/>
        <v>K</v>
      </c>
      <c r="B89" s="82">
        <v>1.0795977299130324</v>
      </c>
      <c r="C89" s="82">
        <v>0.72685574217135029</v>
      </c>
      <c r="D89" s="82">
        <v>0.75081448620971136</v>
      </c>
      <c r="E89" s="82">
        <v>0.7533955360863529</v>
      </c>
      <c r="F89" s="82">
        <v>0.86670924457907683</v>
      </c>
      <c r="G89" s="82">
        <v>0.86526340529641477</v>
      </c>
      <c r="H89" s="82">
        <v>0.86944516041767628</v>
      </c>
      <c r="I89" s="82">
        <v>0.86868372870526345</v>
      </c>
      <c r="J89" s="82">
        <v>1.8657245245317366</v>
      </c>
      <c r="K89" s="82">
        <v>0.94289617344252763</v>
      </c>
      <c r="L89" s="82">
        <v>0.86376162754020336</v>
      </c>
      <c r="M89" s="82">
        <v>0.98325479873034638</v>
      </c>
      <c r="N89" s="82">
        <v>0.62924021922136875</v>
      </c>
      <c r="O89" s="82">
        <v>0.66638547310503349</v>
      </c>
      <c r="P89" s="82">
        <v>0.58547621339042544</v>
      </c>
      <c r="Q89" s="1">
        <v>0.81080599048058577</v>
      </c>
      <c r="R89" s="1"/>
      <c r="S89" s="1"/>
      <c r="T89" s="1"/>
      <c r="U89" s="1"/>
      <c r="V89" s="1"/>
      <c r="W89" s="1"/>
      <c r="X89" s="1"/>
      <c r="Y89" s="1"/>
      <c r="Z89" s="1"/>
      <c r="AA89" s="1"/>
      <c r="AB89" s="1"/>
      <c r="AC89" s="1"/>
      <c r="AD89" s="1"/>
      <c r="AE89" s="1"/>
      <c r="AF89" s="1"/>
      <c r="AG89" s="1"/>
    </row>
    <row r="90" spans="1:33" x14ac:dyDescent="0.2">
      <c r="A90" s="60" t="str">
        <f t="shared" si="42"/>
        <v>Poor</v>
      </c>
      <c r="B90" s="82">
        <v>5.3370958558037626E-2</v>
      </c>
      <c r="C90" s="82">
        <v>3.3796765893932205E-2</v>
      </c>
      <c r="D90" s="82">
        <v>3.7121325667207772E-2</v>
      </c>
      <c r="E90" s="82">
        <v>3.27090449970509E-2</v>
      </c>
      <c r="F90" s="82">
        <v>7.964423436543118E-2</v>
      </c>
      <c r="G90" s="82">
        <v>6.1298084443381244E-2</v>
      </c>
      <c r="H90" s="82">
        <v>0.11436007225347737</v>
      </c>
      <c r="I90" s="82">
        <v>0.10469832041228459</v>
      </c>
      <c r="J90" s="82">
        <v>6.7149193017207731E-2</v>
      </c>
      <c r="K90" s="82">
        <v>1.0463746557827485</v>
      </c>
      <c r="L90" s="82">
        <v>4.224213528260784E-2</v>
      </c>
      <c r="M90" s="82">
        <v>4.4648287883541506E-2</v>
      </c>
      <c r="N90" s="82">
        <v>2.9564783474007306E-2</v>
      </c>
      <c r="O90" s="82">
        <v>3.2391262567191631E-2</v>
      </c>
      <c r="P90" s="82">
        <v>4.4203336011133833E-2</v>
      </c>
      <c r="Q90" s="1">
        <v>6.1802925081601755E-2</v>
      </c>
      <c r="R90" s="1"/>
      <c r="S90" s="1"/>
      <c r="T90" s="1"/>
      <c r="U90" s="1"/>
      <c r="V90" s="1"/>
      <c r="W90" s="1"/>
      <c r="X90" s="1"/>
      <c r="Y90" s="1"/>
      <c r="Z90" s="1"/>
      <c r="AA90" s="1"/>
      <c r="AB90" s="1"/>
      <c r="AC90" s="1"/>
      <c r="AD90" s="1"/>
      <c r="AE90" s="1"/>
      <c r="AF90" s="1"/>
      <c r="AG90" s="1"/>
    </row>
    <row r="91" spans="1:33" x14ac:dyDescent="0.2">
      <c r="A91" s="60" t="str">
        <f t="shared" si="42"/>
        <v>Nonpoor</v>
      </c>
      <c r="B91" s="82">
        <v>1.9148604757782466</v>
      </c>
      <c r="C91" s="82">
        <v>1.1615463679410856</v>
      </c>
      <c r="D91" s="82">
        <v>1.2924455275997366</v>
      </c>
      <c r="E91" s="82">
        <v>1.1629246455535762</v>
      </c>
      <c r="F91" s="82">
        <v>2.4631135986841568</v>
      </c>
      <c r="G91" s="82">
        <v>2.4785714795028451</v>
      </c>
      <c r="H91" s="82">
        <v>2.4338631408565252</v>
      </c>
      <c r="I91" s="82">
        <v>2.4420038248199436</v>
      </c>
      <c r="J91" s="82">
        <v>2.473641522025352</v>
      </c>
      <c r="K91" s="82">
        <v>1.6485773771029255</v>
      </c>
      <c r="L91" s="82">
        <v>2.4946274145227694</v>
      </c>
      <c r="M91" s="82">
        <v>1.5897695441029422</v>
      </c>
      <c r="N91" s="82">
        <v>1.0314310880372706</v>
      </c>
      <c r="O91" s="82">
        <v>1.1075440365647615</v>
      </c>
      <c r="P91" s="82">
        <v>1.2419073436036656</v>
      </c>
      <c r="Q91" s="1">
        <v>1.8459525260161196</v>
      </c>
      <c r="R91" s="1"/>
      <c r="S91" s="1"/>
      <c r="T91" s="1"/>
      <c r="U91" s="1"/>
      <c r="V91" s="1"/>
      <c r="W91" s="1"/>
      <c r="X91" s="1"/>
      <c r="Y91" s="1"/>
      <c r="Z91" s="1"/>
      <c r="AA91" s="1"/>
      <c r="AB91" s="1"/>
      <c r="AC91" s="1"/>
      <c r="AD91" s="1"/>
      <c r="AE91" s="1"/>
      <c r="AF91" s="1"/>
      <c r="AG91" s="1"/>
    </row>
    <row r="92" spans="1:33" x14ac:dyDescent="0.2">
      <c r="A92" s="60" t="str">
        <f t="shared" si="42"/>
        <v>Restaurants</v>
      </c>
      <c r="B92" s="1">
        <v>4.2325984730598697E-2</v>
      </c>
      <c r="C92" s="1">
        <v>2.5674765579656901E-2</v>
      </c>
      <c r="D92" s="1">
        <v>2.8568154368575578E-2</v>
      </c>
      <c r="E92" s="1">
        <v>2.5705230962340776E-2</v>
      </c>
      <c r="F92" s="1">
        <v>5.4444545639945038E-2</v>
      </c>
      <c r="G92" s="1">
        <v>5.478622590113133E-2</v>
      </c>
      <c r="H92" s="1">
        <v>5.3797994913646202E-2</v>
      </c>
      <c r="I92" s="1">
        <v>5.3977936204142707E-2</v>
      </c>
      <c r="J92" s="1">
        <v>5.4677254355917276E-2</v>
      </c>
      <c r="K92" s="1">
        <v>3.644007580349138E-2</v>
      </c>
      <c r="L92" s="1">
        <v>5.5141125523889799E-2</v>
      </c>
      <c r="M92" s="1">
        <v>1.0351401902645279</v>
      </c>
      <c r="N92" s="1">
        <v>2.2798703631494249E-2</v>
      </c>
      <c r="O92" s="1">
        <v>5.417737393374928E-2</v>
      </c>
      <c r="P92" s="1">
        <v>2.745106075721963E-2</v>
      </c>
      <c r="Q92" s="1">
        <v>4.0802846691905155E-2</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0.62009902258782146</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6.4765897914727893E-2</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1.114891586250643E-2</v>
      </c>
      <c r="P96" s="1">
        <v>0.17214176320361249</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350</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4" t="s">
        <v>351</v>
      </c>
      <c r="B2" s="85" t="s">
        <v>352</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6" t="s">
        <v>353</v>
      </c>
      <c r="B3" s="17"/>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7" t="str">
        <f>'Multiplier Matrix (uncorrected)'!A81</f>
        <v>Ag</v>
      </c>
      <c r="B4" s="88">
        <f>'Multiplier Matrix (uncorrected)'!O81</f>
        <v>1.0373500536743778</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7" t="str">
        <f>'Multiplier Matrix (uncorrected)'!A82</f>
        <v>Tourism</v>
      </c>
      <c r="B5" s="88">
        <f>'Multiplier Matrix (uncorrected)'!O82</f>
        <v>0.21851138423662883</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7" t="str">
        <f>'Multiplier Matrix (uncorrected)'!A83</f>
        <v>Nag</v>
      </c>
      <c r="B6" s="88">
        <f>'Multiplier Matrix (uncorrected)'!O83</f>
        <v>1.5105627266804935</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7" t="str">
        <f>'Multiplier Matrix (uncorrected)'!A84</f>
        <v>NatRes</v>
      </c>
      <c r="B7" s="88">
        <f>'Multiplier Matrix (uncorrected)'!O84</f>
        <v>8.2745756633265041E-2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7" t="str">
        <f>'Multiplier Matrix (uncorrected)'!A92</f>
        <v>Restaurants</v>
      </c>
      <c r="B8" s="88">
        <f>'Multiplier Matrix (uncorrected)'!O92</f>
        <v>5.417737393374928E-2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7" t="str">
        <f>'Multiplier Matrix (uncorrected)'!A93</f>
        <v>Lodges</v>
      </c>
      <c r="B9" s="88">
        <f>'Multiplier Matrix (uncorrected)'!O93</f>
        <v>0.62009902258782146</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9" t="s">
        <v>354</v>
      </c>
      <c r="B10" s="90">
        <f>SUM(B4:B9)</f>
        <v>3.5234463177463362</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1" t="s">
        <v>355</v>
      </c>
      <c r="B11" s="92"/>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7" t="s">
        <v>356</v>
      </c>
      <c r="B12" s="93">
        <f>SUM(B13:B16)</f>
        <v>0.47354982602691975</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7" t="str">
        <f>'Multiplier Matrix (uncorrected)'!A85</f>
        <v>L-MUSK</v>
      </c>
      <c r="B13" s="93">
        <f>'Multiplier Matrix (uncorrected)'!O85</f>
        <v>0.20166729239776532</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7" t="str">
        <f>'Multiplier Matrix (uncorrected)'!A86</f>
        <v>L-FUSK</v>
      </c>
      <c r="B14" s="93">
        <f>'Multiplier Matrix (uncorrected)'!O86</f>
        <v>0.2087246629744729</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7" t="str">
        <f>'Multiplier Matrix (uncorrected)'!A87</f>
        <v>L-MSK</v>
      </c>
      <c r="B15" s="93">
        <f>'Multiplier Matrix (uncorrected)'!O87</f>
        <v>4.7878728307426024E-2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7" t="str">
        <f>'Multiplier Matrix (uncorrected)'!A88</f>
        <v>L-FSK</v>
      </c>
      <c r="B16" s="93">
        <f>'Multiplier Matrix (uncorrected)'!O88</f>
        <v>1.5279142347255515E-2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9" t="s">
        <v>357</v>
      </c>
      <c r="B17" s="93">
        <f>'Multiplier Matrix (uncorrected)'!O89</f>
        <v>0.66638547310503349</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1" t="s">
        <v>358</v>
      </c>
      <c r="B18" s="92"/>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7" t="str">
        <f>'Multiplier Matrix (uncorrected)'!A90</f>
        <v>Poor</v>
      </c>
      <c r="B19" s="93">
        <f>'Multiplier Matrix (uncorrected)'!O90</f>
        <v>3.2391262567191631E-2</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7" t="str">
        <f>'Multiplier Matrix (uncorrected)'!A91</f>
        <v>Nonpoor</v>
      </c>
      <c r="B20" s="93">
        <f>'Multiplier Matrix (uncorrected)'!O91</f>
        <v>1.1075440365647615</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4" t="s">
        <v>359</v>
      </c>
      <c r="B21" s="95">
        <f>SUM(B19:B20)</f>
        <v>1.1399352991319531</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360</v>
      </c>
      <c r="B24" s="93">
        <f>SUM(B25:B26)</f>
        <v>577.30810527411097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361</v>
      </c>
      <c r="B25" s="93">
        <f>B27*B19</f>
        <v>16.404210339254572</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362</v>
      </c>
      <c r="B26" s="90">
        <f>B27*B20</f>
        <v>560.90389493485645</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363</v>
      </c>
      <c r="B27" s="100">
        <f>Tourists!C43/SUM(Tourists!C3,Tourists!C7)</f>
        <v>506.43936170212828</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2023-09-27T21:20:42Z</dcterms:modified>
</cp:coreProperties>
</file>