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DB9F248C-1BFA-C743-85B5-77CD88FAE51A}" xr6:coauthVersionLast="47" xr6:coauthVersionMax="47" xr10:uidLastSave="{00000000-0000-0000-0000-000000000000}"/>
  <bookViews>
    <workbookView xWindow="3100" yWindow="1040" windowWidth="31820" windowHeight="19920" activeTab="5"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5" l="1"/>
  <c r="C41" i="2"/>
  <c r="C42" i="3"/>
  <c r="C41" i="4"/>
  <c r="D19" i="4"/>
  <c r="C72" i="10" l="1"/>
  <c r="C21" i="8"/>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43" i="3" l="1"/>
  <c r="C5" i="10"/>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7" i="11"/>
  <c r="C7" i="12" s="1"/>
  <c r="C9" i="11"/>
  <c r="C9" i="12" s="1"/>
  <c r="C8" i="11"/>
  <c r="C8" i="12" s="1"/>
  <c r="C41" i="3"/>
  <c r="N10" i="11"/>
  <c r="N10" i="12" s="1"/>
  <c r="C26" i="7"/>
  <c r="C28" i="7"/>
  <c r="C42" i="7"/>
  <c r="N20" i="11" s="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C41" i="6"/>
  <c r="M20" i="11" s="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<sst xmlns="http://schemas.openxmlformats.org/spreadsheetml/2006/main" count="1196" uniqueCount="551">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</sst>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3">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applyAlignment="1">
      <alignment horizontal="right"/>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0.65632964635760604</c:v>
                </c:pt>
                <c:pt idx="1">
                  <c:v>0.38718026604506822</c:v>
                </c:pt>
                <c:pt idx="2">
                  <c:v>1.3777095393344809</c:v>
                </c:pt>
                <c:pt idx="3">
                  <c:v>3.8856297788266013E-2</c:v>
                </c:pt>
                <c:pt idx="4">
                  <c:v>8.661060353488155E-2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9.3753385041815504E-2</c:v>
                </c:pt>
                <c:pt idx="1">
                  <c:v>9.0016067495432645E-2</c:v>
                </c:pt>
                <c:pt idx="2">
                  <c:v>3.8177552207727623E-2</c:v>
                </c:pt>
                <c:pt idx="3">
                  <c:v>2.8892982321362139E-2</c:v>
                </c:pt>
                <c:pt idx="4">
                  <c:v>0.49187838412498874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7.453550455575822E-2</c:v>
                </c:pt>
                <c:pt idx="1">
                  <c:v>0.66818286663556847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131.13422332712508</c:v>
                </c:pt>
                <c:pt idx="1">
                  <c:v>1175.5691704105877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c r="A13" s="459" t="s">
        <v>546</v>
      </c>
    </row>
    <row r="14" spans="1:2" s="139" customFormat="1" ht="16" x14ac:dyDescent="0.2">
      <c r="B14" s="459" t="s">
        <v>547</v>
      </c>
    </row>
    <row r="15" spans="1:2" s="139" customFormat="1" ht="16" x14ac:dyDescent="0.2">
      <c r="B15" s="459" t="s">
        <v>548</v>
      </c>
    </row>
    <row r="16" spans="1:2" s="139" customFormat="1" ht="16" x14ac:dyDescent="0.2">
      <c r="B16" s="459" t="s">
        <v>549</v>
      </c>
    </row>
    <row r="17" spans="2:2" s="139" customFormat="1" ht="16" x14ac:dyDescent="0.2">
      <c r="B17" s="459" t="s">
        <v>550</v>
      </c>
    </row>
    <row r="18" spans="2:2" s="139" customFormat="1" ht="16" x14ac:dyDescent="0.2"/>
    <row r="19" spans="2:2" s="139" customFormat="1" ht="16" x14ac:dyDescent="0.2"/>
    <row r="20" spans="2:2" s="139" customFormat="1" ht="16" x14ac:dyDescent="0.2"/>
    <row r="21" spans="2:2" s="139" customFormat="1" ht="16" x14ac:dyDescent="0.2"/>
    <row r="22" spans="2:2" s="139" customFormat="1" ht="16" x14ac:dyDescent="0.2"/>
    <row r="23" spans="2:2" s="139" customFormat="1" ht="16" x14ac:dyDescent="0.2"/>
    <row r="24" spans="2:2" s="139" customFormat="1" ht="16" x14ac:dyDescent="0.2"/>
    <row r="25" spans="2:2"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4" zoomScale="117" workbookViewId="0">
      <selection activeCell="B20" sqref="B20"/>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32850</v>
      </c>
      <c r="D3" s="183" t="s">
        <v>7</v>
      </c>
      <c r="E3" s="130">
        <v>32850</v>
      </c>
      <c r="F3" s="130">
        <v>32850</v>
      </c>
      <c r="G3" s="130">
        <v>1</v>
      </c>
      <c r="H3" s="197" t="s">
        <v>485</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62.307692307692299</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18</v>
      </c>
      <c r="C12" s="136">
        <v>409.63954681120686</v>
      </c>
      <c r="D12" s="183" t="s">
        <v>19</v>
      </c>
      <c r="E12" s="130">
        <v>0</v>
      </c>
      <c r="F12" s="130">
        <v>1145</v>
      </c>
      <c r="G12" s="130">
        <v>0.1</v>
      </c>
      <c r="H12" s="1" t="s">
        <v>20</v>
      </c>
    </row>
    <row r="13" spans="1:8" ht="14.25" customHeight="1" x14ac:dyDescent="0.2">
      <c r="A13" s="103"/>
      <c r="B13" s="192" t="s">
        <v>21</v>
      </c>
      <c r="C13" s="136">
        <v>86.842324116100428</v>
      </c>
      <c r="D13" s="183" t="s">
        <v>22</v>
      </c>
      <c r="E13" s="130">
        <v>0</v>
      </c>
      <c r="F13" s="130">
        <v>236</v>
      </c>
      <c r="G13" s="130">
        <v>0.1</v>
      </c>
      <c r="H13" s="8" t="s">
        <v>23</v>
      </c>
    </row>
    <row r="14" spans="1:8" ht="14.25" customHeight="1" x14ac:dyDescent="0.2">
      <c r="A14" s="103"/>
      <c r="B14" s="192" t="s">
        <v>24</v>
      </c>
      <c r="C14" s="136">
        <v>199.40027132349115</v>
      </c>
      <c r="D14" s="183" t="s">
        <v>25</v>
      </c>
      <c r="E14" s="130">
        <v>0</v>
      </c>
      <c r="F14" s="130">
        <v>694</v>
      </c>
      <c r="G14" s="130">
        <v>0.1</v>
      </c>
      <c r="H14" s="8"/>
    </row>
    <row r="15" spans="1:8" ht="14.25" customHeight="1" x14ac:dyDescent="0.2">
      <c r="A15" s="103"/>
      <c r="B15" s="192" t="s">
        <v>26</v>
      </c>
      <c r="C15" s="136">
        <v>206.72012911534654</v>
      </c>
      <c r="D15" s="183" t="s">
        <v>27</v>
      </c>
      <c r="E15" s="130">
        <v>0</v>
      </c>
      <c r="F15" s="130">
        <v>536</v>
      </c>
      <c r="G15" s="130">
        <v>0.1</v>
      </c>
      <c r="H15" s="8"/>
    </row>
    <row r="16" spans="1:8" ht="14.25" customHeight="1" x14ac:dyDescent="0.2">
      <c r="A16" s="103"/>
      <c r="B16" s="192" t="s">
        <v>28</v>
      </c>
      <c r="C16" s="136">
        <v>60.767560767577862</v>
      </c>
      <c r="D16" s="183" t="s">
        <v>29</v>
      </c>
      <c r="E16" s="130">
        <v>0</v>
      </c>
      <c r="F16" s="130">
        <v>225</v>
      </c>
      <c r="G16" s="130">
        <v>0.1</v>
      </c>
      <c r="H16" s="8"/>
    </row>
    <row r="17" spans="1:8" ht="14.25" customHeight="1" x14ac:dyDescent="0.2">
      <c r="A17" s="103"/>
      <c r="B17" s="193" t="s">
        <v>30</v>
      </c>
      <c r="C17" s="136">
        <v>207.83092179064991</v>
      </c>
      <c r="D17" s="191" t="s">
        <v>31</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09" t="s">
        <v>32</v>
      </c>
      <c r="C24" s="410" t="s">
        <v>33</v>
      </c>
      <c r="D24" s="411"/>
      <c r="E24" s="412"/>
      <c r="F24" s="412"/>
      <c r="G24" s="412"/>
      <c r="H24" s="413"/>
    </row>
    <row r="25" spans="1:8" ht="14.25" customHeight="1" x14ac:dyDescent="0.2">
      <c r="B25" s="414" t="s">
        <v>34</v>
      </c>
      <c r="C25" s="415">
        <v>0</v>
      </c>
      <c r="D25" s="416" t="s">
        <v>35</v>
      </c>
      <c r="E25" s="417"/>
      <c r="F25" s="417"/>
      <c r="G25" s="417"/>
      <c r="H25" s="418"/>
    </row>
    <row r="26" spans="1:8" ht="14.25" customHeight="1" x14ac:dyDescent="0.2">
      <c r="B26" s="414" t="s">
        <v>36</v>
      </c>
      <c r="C26" s="419">
        <f>($C$7+$C$4*$C$3)*SUM($C$14:$C$15)</f>
        <v>44174948.006385349</v>
      </c>
      <c r="D26" s="420" t="s">
        <v>37</v>
      </c>
      <c r="E26" s="417"/>
      <c r="F26" s="417"/>
      <c r="G26" s="417"/>
      <c r="H26" s="418"/>
    </row>
    <row r="27" spans="1:8" ht="14.25" customHeight="1" x14ac:dyDescent="0.2">
      <c r="B27" s="414" t="s">
        <v>38</v>
      </c>
      <c r="C27" s="419">
        <f>($C$7+$C$4*$C$3)*SUM($C$16:$C$17)</f>
        <v>29216271.797187515</v>
      </c>
      <c r="D27" s="416" t="s">
        <v>39</v>
      </c>
      <c r="E27" s="417"/>
      <c r="F27" s="417"/>
      <c r="G27" s="417"/>
      <c r="H27" s="418"/>
    </row>
    <row r="28" spans="1:8" ht="14.25" customHeight="1" x14ac:dyDescent="0.2">
      <c r="B28" s="414" t="s">
        <v>40</v>
      </c>
      <c r="C28" s="419">
        <v>0</v>
      </c>
      <c r="D28" s="420" t="s">
        <v>41</v>
      </c>
      <c r="E28" s="417"/>
      <c r="F28" s="417"/>
      <c r="G28" s="417"/>
      <c r="H28" s="418"/>
    </row>
    <row r="29" spans="1:8" ht="14.25" customHeight="1" x14ac:dyDescent="0.2">
      <c r="B29" s="414" t="s">
        <v>42</v>
      </c>
      <c r="C29" s="419">
        <v>0</v>
      </c>
      <c r="D29" s="416" t="s">
        <v>43</v>
      </c>
      <c r="E29" s="417"/>
      <c r="F29" s="417"/>
      <c r="G29" s="417"/>
      <c r="H29" s="418"/>
    </row>
    <row r="30" spans="1:8" ht="15.75" customHeight="1" x14ac:dyDescent="0.2">
      <c r="B30" s="414" t="s">
        <v>44</v>
      </c>
      <c r="C30" s="419">
        <v>0</v>
      </c>
      <c r="D30" s="416" t="s">
        <v>43</v>
      </c>
      <c r="E30" s="417"/>
      <c r="F30" s="417"/>
      <c r="G30" s="417"/>
      <c r="H30" s="418"/>
    </row>
    <row r="31" spans="1:8" ht="15.75" customHeight="1" x14ac:dyDescent="0.2">
      <c r="B31" s="414" t="s">
        <v>45</v>
      </c>
      <c r="C31" s="419">
        <v>0</v>
      </c>
      <c r="D31" s="416" t="s">
        <v>43</v>
      </c>
      <c r="E31" s="417"/>
      <c r="F31" s="417"/>
      <c r="G31" s="417"/>
      <c r="H31" s="418"/>
    </row>
    <row r="32" spans="1:8" ht="15.75" customHeight="1" x14ac:dyDescent="0.2">
      <c r="B32" s="414" t="s">
        <v>46</v>
      </c>
      <c r="C32" s="419">
        <v>0</v>
      </c>
      <c r="D32" s="416" t="s">
        <v>43</v>
      </c>
      <c r="E32" s="417"/>
      <c r="F32" s="417"/>
      <c r="G32" s="417"/>
      <c r="H32" s="418"/>
    </row>
    <row r="33" spans="2:8" ht="15.75" customHeight="1" x14ac:dyDescent="0.2">
      <c r="B33" s="414" t="s">
        <v>47</v>
      </c>
      <c r="C33" s="419">
        <v>0</v>
      </c>
      <c r="D33" s="420" t="s">
        <v>48</v>
      </c>
      <c r="E33" s="417"/>
      <c r="F33" s="417"/>
      <c r="G33" s="417"/>
      <c r="H33" s="418"/>
    </row>
    <row r="34" spans="2:8" ht="14.25" customHeight="1" x14ac:dyDescent="0.2">
      <c r="B34" s="414" t="s">
        <v>49</v>
      </c>
      <c r="C34" s="419">
        <v>0</v>
      </c>
      <c r="D34" s="420" t="s">
        <v>50</v>
      </c>
      <c r="E34" s="417"/>
      <c r="F34" s="417"/>
      <c r="G34" s="417"/>
      <c r="H34" s="418"/>
    </row>
    <row r="35" spans="2:8" ht="14.25" customHeight="1" x14ac:dyDescent="0.2">
      <c r="B35" s="414" t="s">
        <v>51</v>
      </c>
      <c r="C35" s="419">
        <v>0</v>
      </c>
      <c r="D35" s="420" t="s">
        <v>50</v>
      </c>
      <c r="E35" s="417"/>
      <c r="F35" s="417"/>
      <c r="G35" s="417"/>
      <c r="H35" s="418"/>
    </row>
    <row r="36" spans="2:8" ht="14.25" customHeight="1" x14ac:dyDescent="0.2">
      <c r="B36" s="414" t="s">
        <v>52</v>
      </c>
      <c r="C36" s="419">
        <f>(C7+C4*C3)*$C$13</f>
        <v>9446103.0483499356</v>
      </c>
      <c r="D36" s="420" t="s">
        <v>53</v>
      </c>
      <c r="E36" s="417"/>
      <c r="F36" s="417"/>
      <c r="G36" s="417"/>
      <c r="H36" s="418"/>
    </row>
    <row r="37" spans="2:8" ht="14.25" customHeight="1" x14ac:dyDescent="0.2">
      <c r="B37" s="414" t="s">
        <v>54</v>
      </c>
      <c r="C37" s="419">
        <f>C5*C3*$C$6</f>
        <v>4691559.2048400948</v>
      </c>
      <c r="D37" s="420" t="s">
        <v>55</v>
      </c>
      <c r="E37" s="417"/>
      <c r="F37" s="417"/>
      <c r="G37" s="417"/>
      <c r="H37" s="418"/>
    </row>
    <row r="38" spans="2:8" ht="14.25" customHeight="1" x14ac:dyDescent="0.2">
      <c r="B38" s="414" t="s">
        <v>56</v>
      </c>
      <c r="C38" s="419">
        <v>0</v>
      </c>
      <c r="D38" s="420" t="s">
        <v>57</v>
      </c>
      <c r="E38" s="417"/>
      <c r="F38" s="417"/>
      <c r="G38" s="417"/>
      <c r="H38" s="418"/>
    </row>
    <row r="39" spans="2:8" ht="14.25" customHeight="1" x14ac:dyDescent="0.2">
      <c r="B39" s="414" t="s">
        <v>58</v>
      </c>
      <c r="C39" s="419">
        <f>NatParkPA!C5</f>
        <v>26565125</v>
      </c>
      <c r="D39" s="420" t="s">
        <v>495</v>
      </c>
      <c r="E39" s="417"/>
      <c r="F39" s="417"/>
      <c r="G39" s="417"/>
      <c r="H39" s="418"/>
    </row>
    <row r="40" spans="2:8" ht="14.25" customHeight="1" x14ac:dyDescent="0.2">
      <c r="B40" s="414" t="s">
        <v>59</v>
      </c>
      <c r="C40" s="419">
        <v>0</v>
      </c>
      <c r="D40" s="420" t="s">
        <v>60</v>
      </c>
      <c r="E40" s="417"/>
      <c r="F40" s="417"/>
      <c r="G40" s="417"/>
      <c r="H40" s="418"/>
    </row>
    <row r="41" spans="2:8" ht="14.25" customHeight="1" x14ac:dyDescent="0.2">
      <c r="B41" s="414" t="s">
        <v>61</v>
      </c>
      <c r="C41" s="419"/>
      <c r="D41" s="420" t="s">
        <v>62</v>
      </c>
      <c r="E41" s="417"/>
      <c r="F41" s="417"/>
      <c r="G41" s="417"/>
      <c r="H41" s="418"/>
    </row>
    <row r="42" spans="2:8" ht="14.25" customHeight="1" x14ac:dyDescent="0.2">
      <c r="B42" s="421" t="s">
        <v>63</v>
      </c>
      <c r="C42" s="422"/>
      <c r="D42" s="420" t="s">
        <v>64</v>
      </c>
      <c r="E42" s="417"/>
      <c r="F42" s="417"/>
      <c r="G42" s="417"/>
      <c r="H42" s="418"/>
    </row>
    <row r="43" spans="2:8" ht="14.25" customHeight="1" x14ac:dyDescent="0.2">
      <c r="B43" s="414" t="s">
        <v>65</v>
      </c>
      <c r="C43" s="422">
        <f>SUM(C25:C42)</f>
        <v>114094007.05676289</v>
      </c>
      <c r="D43" s="420" t="s">
        <v>66</v>
      </c>
      <c r="E43" s="417"/>
      <c r="F43" s="417"/>
      <c r="G43" s="417"/>
      <c r="H43" s="418"/>
    </row>
    <row r="44" spans="2:8" ht="14.25" customHeight="1" x14ac:dyDescent="0.2">
      <c r="B44" s="414" t="s">
        <v>67</v>
      </c>
      <c r="C44" s="419">
        <f>$C$3*($C$12+$C$4*SUM($C$13:$C$17)+$C$5*$C$6)+$C$7*($C$12+SUM($C$13:$C$17))</f>
        <v>114094006.66746968</v>
      </c>
      <c r="D44" s="420" t="s">
        <v>68</v>
      </c>
      <c r="E44" s="417"/>
      <c r="F44" s="417"/>
      <c r="G44" s="417"/>
      <c r="H44" s="418"/>
    </row>
    <row r="45" spans="2:8" ht="14.25" customHeight="1" x14ac:dyDescent="0.2">
      <c r="B45" s="414" t="s">
        <v>69</v>
      </c>
      <c r="C45" s="419">
        <f>C44-C43</f>
        <v>-0.38929320871829987</v>
      </c>
      <c r="D45" s="420" t="s">
        <v>70</v>
      </c>
      <c r="E45" s="417"/>
      <c r="F45" s="417"/>
      <c r="G45" s="417"/>
      <c r="H45" s="418"/>
    </row>
    <row r="46" spans="2:8" ht="14.25" customHeight="1" thickBot="1" x14ac:dyDescent="0.25">
      <c r="B46" s="423" t="s">
        <v>71</v>
      </c>
      <c r="C46" s="424">
        <f>C45/C44</f>
        <v>-3.4120390727701087E-9</v>
      </c>
      <c r="D46" s="425" t="s">
        <v>72</v>
      </c>
      <c r="E46" s="426"/>
      <c r="F46" s="426"/>
      <c r="G46" s="426"/>
      <c r="H46" s="427"/>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15"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60" t="s">
        <v>529</v>
      </c>
      <c r="B4" s="119" t="s">
        <v>75</v>
      </c>
      <c r="C4" s="121">
        <v>0.182</v>
      </c>
      <c r="D4" s="125">
        <f t="shared" ref="D4:D14" si="0">C4/$C$19*(1-$C$17)</f>
        <v>0.12676616915422884</v>
      </c>
      <c r="E4" s="38" t="s">
        <v>76</v>
      </c>
      <c r="F4" s="103"/>
      <c r="G4" s="103"/>
      <c r="H4" s="117"/>
    </row>
    <row r="5" spans="1:8" ht="33.75" customHeight="1" x14ac:dyDescent="0.2">
      <c r="A5" s="461"/>
      <c r="B5" s="119" t="s">
        <v>77</v>
      </c>
      <c r="C5" s="121">
        <v>0.12</v>
      </c>
      <c r="D5" s="125">
        <f t="shared" si="0"/>
        <v>8.3582089552238795E-2</v>
      </c>
      <c r="F5" s="103"/>
      <c r="G5" s="103"/>
      <c r="H5" s="128"/>
    </row>
    <row r="6" spans="1:8" ht="33.75" customHeight="1" x14ac:dyDescent="0.2">
      <c r="A6" s="461"/>
      <c r="B6" s="119" t="s">
        <v>78</v>
      </c>
      <c r="C6" s="121">
        <v>0.02</v>
      </c>
      <c r="D6" s="125">
        <f t="shared" si="0"/>
        <v>1.3930348258706466E-2</v>
      </c>
      <c r="F6" s="103"/>
      <c r="G6" s="103"/>
      <c r="H6" s="128"/>
    </row>
    <row r="7" spans="1:8" ht="33.75" customHeight="1" x14ac:dyDescent="0.2">
      <c r="A7" s="461"/>
      <c r="B7" s="119" t="s">
        <v>79</v>
      </c>
      <c r="C7" s="121">
        <v>0.01</v>
      </c>
      <c r="D7" s="125">
        <f t="shared" si="0"/>
        <v>6.9651741293532332E-3</v>
      </c>
      <c r="F7" s="103"/>
      <c r="G7" s="103"/>
      <c r="H7" s="128"/>
    </row>
    <row r="8" spans="1:8" ht="33.75" customHeight="1" x14ac:dyDescent="0.2">
      <c r="A8" s="461"/>
      <c r="B8" s="119" t="s">
        <v>80</v>
      </c>
      <c r="C8" s="121">
        <v>0.14244999999999999</v>
      </c>
      <c r="D8" s="163">
        <f t="shared" si="0"/>
        <v>9.9218905472636787E-2</v>
      </c>
      <c r="F8" s="103"/>
      <c r="G8" s="103"/>
      <c r="H8" s="128"/>
    </row>
    <row r="9" spans="1:8" ht="33.75" customHeight="1" x14ac:dyDescent="0.2">
      <c r="A9" s="461"/>
      <c r="B9" s="119" t="s">
        <v>517</v>
      </c>
      <c r="C9" s="121">
        <v>0</v>
      </c>
      <c r="D9" s="163">
        <f t="shared" si="0"/>
        <v>0</v>
      </c>
      <c r="F9" s="103"/>
      <c r="G9" s="103"/>
      <c r="H9" s="128"/>
    </row>
    <row r="10" spans="1:8" ht="33.75" customHeight="1" x14ac:dyDescent="0.2">
      <c r="A10" s="461"/>
      <c r="B10" s="120" t="s">
        <v>81</v>
      </c>
      <c r="C10" s="122">
        <v>1.1550000000000001E-2</v>
      </c>
      <c r="D10" s="163">
        <f t="shared" si="0"/>
        <v>8.044776119402984E-3</v>
      </c>
      <c r="F10" s="103"/>
      <c r="G10" s="103"/>
      <c r="H10" s="128"/>
    </row>
    <row r="11" spans="1:8" ht="33.75" customHeight="1" x14ac:dyDescent="0.2">
      <c r="A11" s="461"/>
      <c r="B11" s="119" t="s">
        <v>82</v>
      </c>
      <c r="C11" s="121">
        <v>0.13500000000000001</v>
      </c>
      <c r="D11" s="163">
        <f t="shared" si="0"/>
        <v>9.4029850746268656E-2</v>
      </c>
      <c r="E11" s="38" t="s">
        <v>83</v>
      </c>
      <c r="F11" s="103"/>
      <c r="G11" s="103"/>
      <c r="H11" s="117"/>
    </row>
    <row r="12" spans="1:8" ht="33.75" customHeight="1" x14ac:dyDescent="0.2">
      <c r="A12" s="461"/>
      <c r="B12" s="119" t="s">
        <v>84</v>
      </c>
      <c r="C12" s="121">
        <v>0.17699999999999999</v>
      </c>
      <c r="D12" s="163">
        <f t="shared" si="0"/>
        <v>0.1232835820895522</v>
      </c>
      <c r="F12" s="103"/>
      <c r="G12" s="103"/>
      <c r="H12" s="128"/>
    </row>
    <row r="13" spans="1:8" ht="33.75" customHeight="1" x14ac:dyDescent="0.2">
      <c r="A13" s="461"/>
      <c r="B13" s="119" t="s">
        <v>85</v>
      </c>
      <c r="C13" s="121">
        <v>0.157</v>
      </c>
      <c r="D13" s="125">
        <f t="shared" si="0"/>
        <v>0.10935323383084576</v>
      </c>
      <c r="F13" s="103"/>
      <c r="G13" s="103"/>
      <c r="H13" s="128"/>
    </row>
    <row r="14" spans="1:8" ht="18" customHeight="1" x14ac:dyDescent="0.2">
      <c r="A14" s="462"/>
      <c r="B14" s="119" t="s">
        <v>86</v>
      </c>
      <c r="C14" s="121">
        <v>0.05</v>
      </c>
      <c r="D14" s="125">
        <f t="shared" si="0"/>
        <v>3.4825870646766163E-2</v>
      </c>
      <c r="F14" s="103"/>
      <c r="G14" s="103"/>
      <c r="H14" s="128"/>
    </row>
    <row r="15" spans="1:8" ht="18" customHeight="1" x14ac:dyDescent="0.2">
      <c r="A15" s="232"/>
      <c r="B15" s="293" t="s">
        <v>87</v>
      </c>
      <c r="C15" s="123">
        <v>1</v>
      </c>
      <c r="D15" s="230">
        <f>C15</f>
        <v>1</v>
      </c>
      <c r="F15" s="103"/>
      <c r="G15" s="103"/>
      <c r="H15" s="128"/>
    </row>
    <row r="16" spans="1:8" ht="18" customHeight="1" x14ac:dyDescent="0.2">
      <c r="A16" s="233"/>
      <c r="B16" s="293" t="s">
        <v>88</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1.0050000000000001</v>
      </c>
      <c r="D19" s="114">
        <f>SUM(D4:D14)</f>
        <v>0.69999999999999984</v>
      </c>
    </row>
    <row r="20" spans="1:8" ht="18" customHeight="1" x14ac:dyDescent="0.2">
      <c r="A20" s="20"/>
      <c r="B20" s="12" t="s">
        <v>484</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6" t="s">
        <v>32</v>
      </c>
      <c r="C24" s="397" t="s">
        <v>34</v>
      </c>
      <c r="D24" s="352"/>
    </row>
    <row r="25" spans="1:8" ht="16.5" customHeight="1" x14ac:dyDescent="0.2">
      <c r="A25" s="20"/>
      <c r="B25" s="398" t="s">
        <v>34</v>
      </c>
      <c r="C25" s="399">
        <f>C43*$D$8</f>
        <v>2939105.7379080518</v>
      </c>
      <c r="D25" s="365" t="s">
        <v>89</v>
      </c>
    </row>
    <row r="26" spans="1:8" ht="14.25" customHeight="1" x14ac:dyDescent="0.2">
      <c r="B26" s="366" t="s">
        <v>36</v>
      </c>
      <c r="C26" s="400">
        <v>0</v>
      </c>
      <c r="D26" s="368" t="s">
        <v>90</v>
      </c>
    </row>
    <row r="27" spans="1:8" ht="16.5" customHeight="1" x14ac:dyDescent="0.2">
      <c r="A27" s="20"/>
      <c r="B27" s="366" t="s">
        <v>38</v>
      </c>
      <c r="C27" s="401">
        <f>SUM($D$11:$D$12)*C43</f>
        <v>6437353.3887491217</v>
      </c>
      <c r="D27" s="365" t="s">
        <v>91</v>
      </c>
    </row>
    <row r="28" spans="1:8" ht="16.5" customHeight="1" x14ac:dyDescent="0.2">
      <c r="A28" s="20"/>
      <c r="B28" s="366" t="s">
        <v>40</v>
      </c>
      <c r="C28" s="401">
        <f>$D$10*$C$43</f>
        <v>238305.87064119344</v>
      </c>
      <c r="D28" s="365" t="s">
        <v>92</v>
      </c>
    </row>
    <row r="29" spans="1:8" ht="16.5" customHeight="1" x14ac:dyDescent="0.2">
      <c r="A29" s="20"/>
      <c r="B29" s="366" t="s">
        <v>42</v>
      </c>
      <c r="C29" s="402">
        <f>$D4*$C$43*C16</f>
        <v>3755122.8101036544</v>
      </c>
      <c r="D29" s="370" t="s">
        <v>93</v>
      </c>
    </row>
    <row r="30" spans="1:8" ht="16.5" customHeight="1" x14ac:dyDescent="0.2">
      <c r="A30" s="20"/>
      <c r="B30" s="366" t="s">
        <v>44</v>
      </c>
      <c r="C30" s="402">
        <f>$D5*$C$43*C16</f>
        <v>2475905.1495188931</v>
      </c>
      <c r="D30" s="370" t="s">
        <v>94</v>
      </c>
    </row>
    <row r="31" spans="1:8" ht="16.5" customHeight="1" x14ac:dyDescent="0.2">
      <c r="A31" s="20"/>
      <c r="B31" s="366" t="s">
        <v>45</v>
      </c>
      <c r="C31" s="402">
        <f>$D6*$C$43*C16</f>
        <v>412650.85825314885</v>
      </c>
      <c r="D31" s="370" t="s">
        <v>95</v>
      </c>
    </row>
    <row r="32" spans="1:8" ht="16.5" customHeight="1" x14ac:dyDescent="0.2">
      <c r="A32" s="20"/>
      <c r="B32" s="366" t="s">
        <v>46</v>
      </c>
      <c r="C32" s="402">
        <f>$D7*$C$43*C16</f>
        <v>206325.42912657443</v>
      </c>
      <c r="D32" s="370" t="s">
        <v>96</v>
      </c>
    </row>
    <row r="33" spans="1:8" ht="16.5" customHeight="1" x14ac:dyDescent="0.2">
      <c r="A33" s="20"/>
      <c r="B33" s="366" t="s">
        <v>47</v>
      </c>
      <c r="C33" s="402">
        <f>D17*C$43*C15</f>
        <v>8886730.9830945991</v>
      </c>
      <c r="D33" s="370" t="s">
        <v>97</v>
      </c>
    </row>
    <row r="34" spans="1:8" ht="16.5" customHeight="1" x14ac:dyDescent="0.2">
      <c r="A34" s="20"/>
      <c r="B34" s="366" t="s">
        <v>49</v>
      </c>
      <c r="C34" s="402">
        <v>0</v>
      </c>
      <c r="D34" s="370" t="s">
        <v>98</v>
      </c>
      <c r="G34" s="111">
        <f>Restaurants!C25</f>
        <v>1977845.3242602397</v>
      </c>
    </row>
    <row r="35" spans="1:8" ht="16.5" customHeight="1" x14ac:dyDescent="0.2">
      <c r="A35" s="20"/>
      <c r="B35" s="366" t="s">
        <v>51</v>
      </c>
      <c r="C35" s="402">
        <v>0</v>
      </c>
      <c r="D35" s="370" t="s">
        <v>98</v>
      </c>
      <c r="G35" s="112">
        <f>+Lodges!C26</f>
        <v>291345.82662056992</v>
      </c>
    </row>
    <row r="36" spans="1:8" ht="16.5" customHeight="1" x14ac:dyDescent="0.2">
      <c r="A36" s="20"/>
      <c r="B36" s="366" t="s">
        <v>52</v>
      </c>
      <c r="C36" s="402">
        <v>0</v>
      </c>
      <c r="D36" s="370" t="s">
        <v>99</v>
      </c>
      <c r="G36" s="112">
        <f>+SUM(Households!C28:D28)</f>
        <v>7869060.7944228984</v>
      </c>
    </row>
    <row r="37" spans="1:8" ht="16.5" customHeight="1" x14ac:dyDescent="0.2">
      <c r="A37" s="20"/>
      <c r="B37" s="366" t="s">
        <v>54</v>
      </c>
      <c r="C37" s="402">
        <v>0</v>
      </c>
      <c r="D37" s="370" t="s">
        <v>100</v>
      </c>
      <c r="G37" s="112">
        <f>+NatParkPA!C26</f>
        <v>103757.84284800001</v>
      </c>
    </row>
    <row r="38" spans="1:8" ht="16.5" customHeight="1" x14ac:dyDescent="0.2">
      <c r="A38" s="20"/>
      <c r="B38" s="366" t="s">
        <v>56</v>
      </c>
      <c r="C38" s="402">
        <v>0</v>
      </c>
      <c r="D38" s="370" t="s">
        <v>101</v>
      </c>
      <c r="G38" s="112">
        <f>+ Tourism!C25</f>
        <v>9188159.1074739527</v>
      </c>
    </row>
    <row r="39" spans="1:8" ht="16.5" customHeight="1" x14ac:dyDescent="0.2">
      <c r="A39" s="20"/>
      <c r="B39" s="366" t="s">
        <v>58</v>
      </c>
      <c r="C39" s="402">
        <v>0</v>
      </c>
      <c r="D39" s="370" t="s">
        <v>102</v>
      </c>
    </row>
    <row r="40" spans="1:8" ht="16.5" customHeight="1" x14ac:dyDescent="0.2">
      <c r="A40" s="20"/>
      <c r="B40" s="366" t="s">
        <v>61</v>
      </c>
      <c r="C40" s="404">
        <f>$C$43*$D$14</f>
        <v>1031627.145632872</v>
      </c>
      <c r="D40" s="370" t="s">
        <v>103</v>
      </c>
    </row>
    <row r="41" spans="1:8" ht="16.5" customHeight="1" x14ac:dyDescent="0.2">
      <c r="A41" s="20"/>
      <c r="B41" s="403" t="s">
        <v>63</v>
      </c>
      <c r="C41" s="404">
        <f>$C$43*$D$13+C43*SUM(D4:D7)*(1-C16)+C43*C17*(1-C15)</f>
        <v>3239309.2372872182</v>
      </c>
      <c r="D41" s="370" t="s">
        <v>104</v>
      </c>
      <c r="G41" s="110">
        <f>(Restaurants!C25+Lodges!C26+SUM(Households!C28:D28)+NatParkPA!C26+ Tourism!C25 + Tourists!C25 + ComRevSh!C25 )/(1-0)</f>
        <v>20007671.613016963</v>
      </c>
    </row>
    <row r="42" spans="1:8" ht="16.5" customHeight="1" x14ac:dyDescent="0.2">
      <c r="A42" s="20"/>
      <c r="B42" s="366" t="s">
        <v>65</v>
      </c>
      <c r="C42" s="404">
        <f>SUM(C25:C41)</f>
        <v>29622436.610315327</v>
      </c>
      <c r="D42" s="370" t="s">
        <v>105</v>
      </c>
    </row>
    <row r="43" spans="1:8" ht="16.5" customHeight="1" x14ac:dyDescent="0.2">
      <c r="A43" s="20"/>
      <c r="B43" s="366" t="s">
        <v>67</v>
      </c>
      <c r="C43" s="405">
        <f>(Restaurants!C25+Lodges!C26+SUM(Households!C28:D28)+NatParkPA!C26+Tourism!C25+Tourists!C25+ComRevSh!C25)/(1-SUM(D8:D12))</f>
        <v>29622436.61031533</v>
      </c>
      <c r="D43" s="370" t="s">
        <v>106</v>
      </c>
      <c r="F43" s="129" t="s">
        <v>481</v>
      </c>
      <c r="G43" s="129"/>
      <c r="H43" s="129"/>
    </row>
    <row r="44" spans="1:8" ht="16.5" customHeight="1" x14ac:dyDescent="0.2">
      <c r="A44" s="20"/>
      <c r="B44" s="366" t="s">
        <v>69</v>
      </c>
      <c r="C44" s="402">
        <f>C43-C42</f>
        <v>0</v>
      </c>
      <c r="D44" s="370" t="s">
        <v>107</v>
      </c>
      <c r="F44" s="129"/>
      <c r="G44" s="162">
        <f>(1-SUM(D8:D12))</f>
        <v>0.67542288557213936</v>
      </c>
    </row>
    <row r="45" spans="1:8" ht="16.5" customHeight="1" x14ac:dyDescent="0.2">
      <c r="A45" s="20"/>
      <c r="B45" s="366" t="s">
        <v>71</v>
      </c>
      <c r="C45" s="406">
        <f>C44/C43</f>
        <v>0</v>
      </c>
      <c r="D45" s="370" t="s">
        <v>108</v>
      </c>
      <c r="G45" s="110">
        <f>(Restaurants!C25+Lodges!C26+SUM(Households!C28:D28)+NatParkPA!C26+ Tourism!C25 + Tourists!C25 + ComRevSh!C25 )/0.6605</f>
        <v>30291705.697224773</v>
      </c>
    </row>
    <row r="46" spans="1:8" ht="33.75" customHeight="1" x14ac:dyDescent="0.2">
      <c r="A46" s="20"/>
      <c r="B46" s="407" t="s">
        <v>109</v>
      </c>
      <c r="C46" s="408">
        <f>C33/C43</f>
        <v>0.3</v>
      </c>
      <c r="D46" s="381"/>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75</v>
      </c>
      <c r="C52" s="178">
        <f>C4*100</f>
        <v>18.2</v>
      </c>
      <c r="D52" s="179" t="s">
        <v>411</v>
      </c>
      <c r="E52" s="180">
        <v>0</v>
      </c>
      <c r="F52" s="180">
        <v>100</v>
      </c>
      <c r="G52" s="181">
        <v>0.01</v>
      </c>
      <c r="H52" s="8"/>
    </row>
    <row r="53" spans="1:8" ht="28" customHeight="1" x14ac:dyDescent="0.2">
      <c r="A53" s="20"/>
      <c r="B53" s="177" t="s">
        <v>77</v>
      </c>
      <c r="C53" s="178">
        <f t="shared" ref="C53:C62" si="1">C5*100</f>
        <v>12</v>
      </c>
      <c r="D53" s="182" t="s">
        <v>412</v>
      </c>
      <c r="E53" s="183">
        <v>0</v>
      </c>
      <c r="F53" s="183">
        <v>100</v>
      </c>
      <c r="G53" s="184">
        <v>0.01</v>
      </c>
      <c r="H53" s="8"/>
    </row>
    <row r="54" spans="1:8" ht="20" customHeight="1" x14ac:dyDescent="0.2">
      <c r="A54" s="20"/>
      <c r="B54" s="177" t="s">
        <v>78</v>
      </c>
      <c r="C54" s="178">
        <f t="shared" si="1"/>
        <v>2</v>
      </c>
      <c r="D54" s="182" t="s">
        <v>413</v>
      </c>
      <c r="E54" s="183">
        <v>0</v>
      </c>
      <c r="F54" s="183">
        <v>100</v>
      </c>
      <c r="G54" s="184">
        <v>0.01</v>
      </c>
      <c r="H54" s="8"/>
    </row>
    <row r="55" spans="1:8" ht="20" customHeight="1" x14ac:dyDescent="0.2">
      <c r="A55" s="20"/>
      <c r="B55" s="177" t="s">
        <v>79</v>
      </c>
      <c r="C55" s="178">
        <f t="shared" si="1"/>
        <v>1</v>
      </c>
      <c r="D55" s="182" t="s">
        <v>414</v>
      </c>
      <c r="E55" s="183">
        <v>0</v>
      </c>
      <c r="F55" s="183">
        <v>100</v>
      </c>
      <c r="G55" s="184">
        <v>0.01</v>
      </c>
      <c r="H55" s="8"/>
    </row>
    <row r="56" spans="1:8" ht="20" customHeight="1" x14ac:dyDescent="0.2">
      <c r="A56" s="20"/>
      <c r="B56" s="177" t="s">
        <v>113</v>
      </c>
      <c r="C56" s="178">
        <f t="shared" si="1"/>
        <v>14.244999999999999</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114</v>
      </c>
      <c r="C58" s="178">
        <f t="shared" si="1"/>
        <v>1.155</v>
      </c>
      <c r="D58" s="182" t="s">
        <v>416</v>
      </c>
      <c r="E58" s="183">
        <v>0</v>
      </c>
      <c r="F58" s="183">
        <v>100</v>
      </c>
      <c r="G58" s="184">
        <v>0.01</v>
      </c>
      <c r="H58" s="8"/>
    </row>
    <row r="59" spans="1:8" ht="20" customHeight="1" x14ac:dyDescent="0.2">
      <c r="A59" s="20"/>
      <c r="B59" s="177" t="s">
        <v>82</v>
      </c>
      <c r="C59" s="178">
        <f t="shared" si="1"/>
        <v>13.5</v>
      </c>
      <c r="D59" s="182" t="s">
        <v>417</v>
      </c>
      <c r="E59" s="183">
        <v>0</v>
      </c>
      <c r="F59" s="183">
        <v>100</v>
      </c>
      <c r="G59" s="184">
        <v>0.01</v>
      </c>
      <c r="H59" s="8"/>
    </row>
    <row r="60" spans="1:8" ht="20" customHeight="1" x14ac:dyDescent="0.2">
      <c r="A60" s="20"/>
      <c r="B60" s="177" t="s">
        <v>115</v>
      </c>
      <c r="C60" s="178">
        <f t="shared" si="1"/>
        <v>17.7</v>
      </c>
      <c r="D60" s="182" t="s">
        <v>418</v>
      </c>
      <c r="E60" s="183">
        <v>0</v>
      </c>
      <c r="F60" s="183">
        <v>100</v>
      </c>
      <c r="G60" s="184">
        <v>0.01</v>
      </c>
      <c r="H60" s="8"/>
    </row>
    <row r="61" spans="1:8" ht="28" customHeight="1" x14ac:dyDescent="0.2">
      <c r="A61" s="20"/>
      <c r="B61" s="177" t="s">
        <v>116</v>
      </c>
      <c r="C61" s="178">
        <f t="shared" si="1"/>
        <v>15.7</v>
      </c>
      <c r="D61" s="182" t="s">
        <v>419</v>
      </c>
      <c r="E61" s="183">
        <v>0</v>
      </c>
      <c r="F61" s="183">
        <v>100</v>
      </c>
      <c r="G61" s="184">
        <v>0.01</v>
      </c>
      <c r="H61" s="8"/>
    </row>
    <row r="62" spans="1:8" ht="20" customHeight="1" x14ac:dyDescent="0.2">
      <c r="A62" s="20"/>
      <c r="B62" s="177" t="s">
        <v>86</v>
      </c>
      <c r="C62" s="178">
        <f t="shared" si="1"/>
        <v>5</v>
      </c>
      <c r="D62" s="182" t="s">
        <v>471</v>
      </c>
      <c r="E62" s="183">
        <v>0</v>
      </c>
      <c r="F62" s="183">
        <v>100</v>
      </c>
      <c r="G62" s="184">
        <v>0.01</v>
      </c>
      <c r="H62" s="8"/>
    </row>
    <row r="63" spans="1:8" ht="20" customHeight="1" x14ac:dyDescent="0.2">
      <c r="A63" s="20"/>
      <c r="B63" s="177" t="s">
        <v>87</v>
      </c>
      <c r="C63" s="178">
        <f t="shared" ref="C63:C64" si="2">D15*100</f>
        <v>100</v>
      </c>
      <c r="D63" s="182" t="s">
        <v>110</v>
      </c>
      <c r="E63" s="183">
        <v>0</v>
      </c>
      <c r="F63" s="183">
        <v>100</v>
      </c>
      <c r="G63" s="184">
        <v>0.01</v>
      </c>
      <c r="H63" s="8"/>
    </row>
    <row r="64" spans="1:8" ht="20" customHeight="1" x14ac:dyDescent="0.2">
      <c r="A64" s="20"/>
      <c r="B64" s="177" t="s">
        <v>88</v>
      </c>
      <c r="C64" s="178">
        <f t="shared" si="2"/>
        <v>100</v>
      </c>
      <c r="D64" s="182" t="s">
        <v>111</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16" zoomScale="125" workbookViewId="0">
      <selection activeCell="C43" sqref="C43"/>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112</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60" t="s">
        <v>529</v>
      </c>
      <c r="B4" s="176" t="s">
        <v>75</v>
      </c>
      <c r="C4" s="169">
        <v>0</v>
      </c>
      <c r="D4" s="216">
        <f t="shared" ref="D4:D14" si="0">C4/$C$19*(1-$C$17)</f>
        <v>0</v>
      </c>
      <c r="E4" s="30"/>
      <c r="F4" s="159"/>
      <c r="G4" s="31"/>
      <c r="H4" s="32" t="s">
        <v>76</v>
      </c>
    </row>
    <row r="5" spans="1:8" ht="36" customHeight="1" x14ac:dyDescent="0.2">
      <c r="A5" s="461"/>
      <c r="B5" s="173" t="s">
        <v>77</v>
      </c>
      <c r="C5" s="169">
        <v>5.3333333333333297E-3</v>
      </c>
      <c r="D5" s="216">
        <f t="shared" si="0"/>
        <v>3.6222222222222168E-3</v>
      </c>
      <c r="F5" s="159"/>
      <c r="G5" s="17"/>
      <c r="H5" s="12"/>
    </row>
    <row r="6" spans="1:8" ht="33.75" customHeight="1" x14ac:dyDescent="0.2">
      <c r="A6" s="461"/>
      <c r="B6" s="173" t="s">
        <v>78</v>
      </c>
      <c r="C6" s="169">
        <v>1.6666666666666701E-2</v>
      </c>
      <c r="D6" s="216">
        <f t="shared" si="0"/>
        <v>1.1319444444444458E-2</v>
      </c>
      <c r="F6" s="159"/>
      <c r="G6" s="17"/>
      <c r="H6" s="12"/>
    </row>
    <row r="7" spans="1:8" ht="33.75" customHeight="1" x14ac:dyDescent="0.2">
      <c r="A7" s="461"/>
      <c r="B7" s="173" t="s">
        <v>79</v>
      </c>
      <c r="C7" s="169">
        <v>3.8666666666666703E-2</v>
      </c>
      <c r="D7" s="216">
        <f t="shared" si="0"/>
        <v>2.6261111111111114E-2</v>
      </c>
      <c r="F7" s="159"/>
      <c r="G7" s="17"/>
      <c r="H7" s="12"/>
    </row>
    <row r="8" spans="1:8" ht="33.75" customHeight="1" x14ac:dyDescent="0.2">
      <c r="A8" s="461"/>
      <c r="B8" s="174" t="s">
        <v>113</v>
      </c>
      <c r="C8" s="169">
        <v>0.3062500000000003</v>
      </c>
      <c r="D8" s="216">
        <f t="shared" si="0"/>
        <v>0.20799479166666668</v>
      </c>
      <c r="F8" s="159"/>
      <c r="G8" s="17"/>
      <c r="H8" s="12"/>
    </row>
    <row r="9" spans="1:8" ht="33.75" customHeight="1" x14ac:dyDescent="0.2">
      <c r="A9" s="461"/>
      <c r="B9" s="174" t="s">
        <v>516</v>
      </c>
      <c r="C9" s="169">
        <v>0</v>
      </c>
      <c r="D9" s="216">
        <f t="shared" si="0"/>
        <v>0</v>
      </c>
      <c r="F9" s="159"/>
      <c r="G9" s="17"/>
      <c r="H9" s="12"/>
    </row>
    <row r="10" spans="1:8" ht="18" customHeight="1" x14ac:dyDescent="0.2">
      <c r="A10" s="461"/>
      <c r="B10" s="174" t="s">
        <v>114</v>
      </c>
      <c r="C10" s="169">
        <v>2.0416666666666687E-2</v>
      </c>
      <c r="D10" s="216">
        <f t="shared" si="0"/>
        <v>1.3866319444444447E-2</v>
      </c>
      <c r="F10" s="159"/>
      <c r="G10" s="17"/>
      <c r="H10" s="12"/>
    </row>
    <row r="11" spans="1:8" ht="27" customHeight="1" x14ac:dyDescent="0.2">
      <c r="A11" s="461"/>
      <c r="B11" s="174" t="s">
        <v>82</v>
      </c>
      <c r="C11" s="169">
        <v>0.23733333333333329</v>
      </c>
      <c r="D11" s="216">
        <f t="shared" si="0"/>
        <v>0.16118888888888872</v>
      </c>
      <c r="F11" s="159"/>
      <c r="G11" s="17"/>
      <c r="H11" s="12"/>
    </row>
    <row r="12" spans="1:8" ht="18" customHeight="1" x14ac:dyDescent="0.2">
      <c r="A12" s="461"/>
      <c r="B12" s="174" t="s">
        <v>115</v>
      </c>
      <c r="C12" s="169">
        <v>0.18666666666666701</v>
      </c>
      <c r="D12" s="216">
        <f t="shared" si="0"/>
        <v>0.12677777777777791</v>
      </c>
      <c r="F12" s="159"/>
      <c r="G12" s="17"/>
      <c r="H12" s="12"/>
    </row>
    <row r="13" spans="1:8" ht="41.25" customHeight="1" x14ac:dyDescent="0.2">
      <c r="A13" s="461"/>
      <c r="B13" s="174" t="s">
        <v>116</v>
      </c>
      <c r="C13" s="169">
        <v>0.16133333333333372</v>
      </c>
      <c r="D13" s="216">
        <f t="shared" si="0"/>
        <v>0.10957222222222239</v>
      </c>
      <c r="F13" s="159"/>
      <c r="G13" s="17"/>
      <c r="H13" s="33"/>
    </row>
    <row r="14" spans="1:8" ht="16.5" customHeight="1" x14ac:dyDescent="0.2">
      <c r="A14" s="462"/>
      <c r="B14" s="174" t="s">
        <v>117</v>
      </c>
      <c r="C14" s="169">
        <v>2.73333333333333E-2</v>
      </c>
      <c r="D14" s="216">
        <f t="shared" si="0"/>
        <v>1.8563888888888852E-2</v>
      </c>
      <c r="G14" s="17"/>
      <c r="H14" s="12"/>
    </row>
    <row r="15" spans="1:8" ht="16.5" customHeight="1" x14ac:dyDescent="0.2">
      <c r="A15" s="236"/>
      <c r="B15" s="167" t="s">
        <v>87</v>
      </c>
      <c r="C15" s="115">
        <v>1</v>
      </c>
      <c r="D15" s="237">
        <f>C15</f>
        <v>1</v>
      </c>
      <c r="G15" s="17"/>
      <c r="H15" s="12"/>
    </row>
    <row r="16" spans="1:8" ht="16.5" customHeight="1" x14ac:dyDescent="0.2">
      <c r="A16" s="236"/>
      <c r="B16" s="241" t="s">
        <v>88</v>
      </c>
      <c r="C16" s="115">
        <v>1</v>
      </c>
      <c r="D16" s="238">
        <f>C16</f>
        <v>1</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3" t="s">
        <v>118</v>
      </c>
      <c r="C24" s="394" t="s">
        <v>36</v>
      </c>
      <c r="D24" s="395"/>
    </row>
    <row r="25" spans="1:8" ht="16.5" customHeight="1" x14ac:dyDescent="0.2">
      <c r="A25" s="20"/>
      <c r="B25" s="334" t="s">
        <v>34</v>
      </c>
      <c r="C25" s="369">
        <f>$D$8*$C$44</f>
        <v>9188159.1074739527</v>
      </c>
      <c r="D25" s="385" t="s">
        <v>119</v>
      </c>
    </row>
    <row r="26" spans="1:8" ht="16.5" customHeight="1" x14ac:dyDescent="0.2">
      <c r="A26" s="20"/>
      <c r="B26" s="334" t="s">
        <v>36</v>
      </c>
      <c r="C26" s="369">
        <v>0</v>
      </c>
      <c r="D26" s="386" t="s">
        <v>120</v>
      </c>
    </row>
    <row r="27" spans="1:8" ht="16.5" customHeight="1" x14ac:dyDescent="0.2">
      <c r="A27" s="20"/>
      <c r="B27" s="334" t="s">
        <v>38</v>
      </c>
      <c r="C27" s="369">
        <f>SUM($D$11:$D$12)*$C$44</f>
        <v>12720912.527572097</v>
      </c>
      <c r="D27" s="385" t="s">
        <v>121</v>
      </c>
    </row>
    <row r="28" spans="1:8" ht="16.5" customHeight="1" x14ac:dyDescent="0.2">
      <c r="A28" s="20"/>
      <c r="B28" s="334" t="s">
        <v>40</v>
      </c>
      <c r="C28" s="369">
        <f>$D$10*$C$44</f>
        <v>612543.94049826358</v>
      </c>
      <c r="D28" s="385" t="s">
        <v>122</v>
      </c>
    </row>
    <row r="29" spans="1:8" ht="16.5" customHeight="1" x14ac:dyDescent="0.2">
      <c r="A29" s="20"/>
      <c r="B29" s="334" t="s">
        <v>42</v>
      </c>
      <c r="C29" s="369">
        <f>D4*$C$44*C16</f>
        <v>0</v>
      </c>
      <c r="D29" s="386" t="s">
        <v>93</v>
      </c>
    </row>
    <row r="30" spans="1:8" ht="16.5" customHeight="1" x14ac:dyDescent="0.2">
      <c r="A30" s="20"/>
      <c r="B30" s="334" t="s">
        <v>44</v>
      </c>
      <c r="C30" s="369">
        <f>D5*$C$44*C16</f>
        <v>160011.47833424003</v>
      </c>
      <c r="D30" s="386" t="s">
        <v>94</v>
      </c>
    </row>
    <row r="31" spans="1:8" ht="16.5" customHeight="1" x14ac:dyDescent="0.2">
      <c r="A31" s="20"/>
      <c r="B31" s="334" t="s">
        <v>45</v>
      </c>
      <c r="C31" s="369">
        <f>D6*$C$44*C16</f>
        <v>500035.86979450146</v>
      </c>
      <c r="D31" s="386" t="s">
        <v>95</v>
      </c>
    </row>
    <row r="32" spans="1:8" ht="16.5" customHeight="1" x14ac:dyDescent="0.2">
      <c r="A32" s="20"/>
      <c r="B32" s="334" t="s">
        <v>46</v>
      </c>
      <c r="C32" s="369">
        <f>D7*$C$44*C16</f>
        <v>1160083.2179232419</v>
      </c>
      <c r="D32" s="386" t="s">
        <v>96</v>
      </c>
    </row>
    <row r="33" spans="1:8" ht="16.5" customHeight="1" x14ac:dyDescent="0.2">
      <c r="A33" s="20"/>
      <c r="B33" s="334" t="s">
        <v>47</v>
      </c>
      <c r="C33" s="369">
        <f>D17*$C$44*C15</f>
        <v>14172795.8187153</v>
      </c>
      <c r="D33" s="386" t="s">
        <v>97</v>
      </c>
    </row>
    <row r="34" spans="1:8" ht="16.5" customHeight="1" x14ac:dyDescent="0.2">
      <c r="A34" s="20"/>
      <c r="B34" s="334" t="s">
        <v>49</v>
      </c>
      <c r="C34" s="369">
        <v>0</v>
      </c>
      <c r="D34" s="386" t="s">
        <v>123</v>
      </c>
    </row>
    <row r="35" spans="1:8" ht="16.5" customHeight="1" x14ac:dyDescent="0.2">
      <c r="A35" s="20"/>
      <c r="B35" s="334" t="s">
        <v>51</v>
      </c>
      <c r="C35" s="387">
        <v>0</v>
      </c>
      <c r="D35" s="386" t="s">
        <v>123</v>
      </c>
    </row>
    <row r="36" spans="1:8" ht="16.5" customHeight="1" x14ac:dyDescent="0.2">
      <c r="A36" s="20"/>
      <c r="B36" s="334" t="s">
        <v>52</v>
      </c>
      <c r="C36" s="387">
        <v>0</v>
      </c>
      <c r="D36" s="386" t="s">
        <v>124</v>
      </c>
    </row>
    <row r="37" spans="1:8" ht="16.5" customHeight="1" x14ac:dyDescent="0.2">
      <c r="A37" s="20"/>
      <c r="B37" s="334" t="s">
        <v>54</v>
      </c>
      <c r="C37" s="387">
        <v>0</v>
      </c>
      <c r="D37" s="386" t="s">
        <v>125</v>
      </c>
    </row>
    <row r="38" spans="1:8" ht="16.5" customHeight="1" x14ac:dyDescent="0.2">
      <c r="A38" s="20"/>
      <c r="B38" s="334" t="s">
        <v>56</v>
      </c>
      <c r="C38" s="387">
        <v>0</v>
      </c>
      <c r="D38" s="386" t="s">
        <v>126</v>
      </c>
    </row>
    <row r="39" spans="1:8" ht="16.5" customHeight="1" x14ac:dyDescent="0.2">
      <c r="A39" s="20"/>
      <c r="B39" s="334" t="s">
        <v>58</v>
      </c>
      <c r="C39" s="387">
        <v>0</v>
      </c>
      <c r="D39" s="386" t="s">
        <v>127</v>
      </c>
    </row>
    <row r="40" spans="1:8" ht="16.5" customHeight="1" x14ac:dyDescent="0.2">
      <c r="A40" s="20"/>
      <c r="B40" s="334" t="s">
        <v>59</v>
      </c>
      <c r="C40" s="369">
        <v>0</v>
      </c>
      <c r="D40" s="386" t="s">
        <v>128</v>
      </c>
    </row>
    <row r="41" spans="1:8" ht="16.5" customHeight="1" x14ac:dyDescent="0.2">
      <c r="A41" s="20"/>
      <c r="B41" s="334" t="s">
        <v>61</v>
      </c>
      <c r="C41" s="369">
        <f>$D$14*$C$44</f>
        <v>820058.82646297978</v>
      </c>
      <c r="D41" s="386" t="s">
        <v>129</v>
      </c>
    </row>
    <row r="42" spans="1:8" ht="16.5" customHeight="1" x14ac:dyDescent="0.2">
      <c r="A42" s="20"/>
      <c r="B42" s="388" t="s">
        <v>63</v>
      </c>
      <c r="C42" s="369">
        <f>$D$13*$C$44 + C44*SUM(D4:D7)*(1-C16) + C44*C17*(1-C15)</f>
        <v>4840347.2196107758</v>
      </c>
      <c r="D42" s="386" t="s">
        <v>130</v>
      </c>
    </row>
    <row r="43" spans="1:8" ht="16.5" customHeight="1" x14ac:dyDescent="0.2">
      <c r="A43" s="20"/>
      <c r="B43" s="334" t="s">
        <v>65</v>
      </c>
      <c r="C43" s="389">
        <f>SUM($C$25:$C$42)</f>
        <v>44174948.006385349</v>
      </c>
      <c r="D43" s="386" t="s">
        <v>66</v>
      </c>
    </row>
    <row r="44" spans="1:8" ht="33" customHeight="1" x14ac:dyDescent="0.2">
      <c r="A44" s="20"/>
      <c r="B44" s="334" t="s">
        <v>67</v>
      </c>
      <c r="C44" s="387">
        <f>SUM(Tourists!C26)</f>
        <v>44174948.006385349</v>
      </c>
      <c r="D44" s="386" t="s">
        <v>131</v>
      </c>
    </row>
    <row r="45" spans="1:8" ht="16.5" customHeight="1" x14ac:dyDescent="0.2">
      <c r="A45" s="20"/>
      <c r="B45" s="334" t="s">
        <v>69</v>
      </c>
      <c r="C45" s="387">
        <f>C44-C43</f>
        <v>0</v>
      </c>
      <c r="D45" s="386" t="s">
        <v>107</v>
      </c>
    </row>
    <row r="46" spans="1:8" ht="16.5" customHeight="1" x14ac:dyDescent="0.2">
      <c r="A46" s="20"/>
      <c r="B46" s="390" t="s">
        <v>71</v>
      </c>
      <c r="C46" s="391">
        <f>C45/C44</f>
        <v>0</v>
      </c>
      <c r="D46" s="392" t="s">
        <v>108</v>
      </c>
    </row>
    <row r="47" spans="1:8" ht="27" customHeight="1" x14ac:dyDescent="0.2">
      <c r="A47" s="20"/>
      <c r="B47" s="311" t="s">
        <v>109</v>
      </c>
      <c r="C47" s="312">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v>
      </c>
      <c r="D52" s="202" t="s">
        <v>420</v>
      </c>
      <c r="E52" s="202">
        <v>0</v>
      </c>
      <c r="F52" s="202">
        <v>100</v>
      </c>
      <c r="G52" s="203">
        <v>0.01</v>
      </c>
      <c r="H52" s="8"/>
    </row>
    <row r="53" spans="1:8" ht="27" customHeight="1" x14ac:dyDescent="0.2">
      <c r="A53" s="20"/>
      <c r="B53" s="200" t="s">
        <v>77</v>
      </c>
      <c r="C53" s="201">
        <f t="shared" ref="C53:C62" si="1">C5*100</f>
        <v>0.53333333333333299</v>
      </c>
      <c r="D53" s="183" t="s">
        <v>421</v>
      </c>
      <c r="E53" s="183">
        <v>0</v>
      </c>
      <c r="F53" s="183">
        <v>100</v>
      </c>
      <c r="G53" s="204">
        <v>0.01</v>
      </c>
      <c r="H53" s="8"/>
    </row>
    <row r="54" spans="1:8" ht="27" customHeight="1" x14ac:dyDescent="0.2">
      <c r="A54" s="20"/>
      <c r="B54" s="200" t="s">
        <v>78</v>
      </c>
      <c r="C54" s="201">
        <f t="shared" si="1"/>
        <v>1.6666666666666701</v>
      </c>
      <c r="D54" s="202" t="s">
        <v>422</v>
      </c>
      <c r="E54" s="183">
        <v>0</v>
      </c>
      <c r="F54" s="183">
        <v>100</v>
      </c>
      <c r="G54" s="204">
        <v>0.01</v>
      </c>
      <c r="H54" s="8"/>
    </row>
    <row r="55" spans="1:8" ht="27" customHeight="1" x14ac:dyDescent="0.2">
      <c r="A55" s="20"/>
      <c r="B55" s="200" t="s">
        <v>79</v>
      </c>
      <c r="C55" s="201">
        <f t="shared" si="1"/>
        <v>3.8666666666666702</v>
      </c>
      <c r="D55" s="183" t="s">
        <v>423</v>
      </c>
      <c r="E55" s="183">
        <v>0</v>
      </c>
      <c r="F55" s="183">
        <v>100</v>
      </c>
      <c r="G55" s="204">
        <v>0.01</v>
      </c>
      <c r="H55" s="8"/>
    </row>
    <row r="56" spans="1:8" ht="27" customHeight="1" x14ac:dyDescent="0.2">
      <c r="A56" s="20"/>
      <c r="B56" s="200" t="s">
        <v>113</v>
      </c>
      <c r="C56" s="201">
        <f t="shared" si="1"/>
        <v>30.625000000000028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114</v>
      </c>
      <c r="C58" s="201">
        <f t="shared" si="1"/>
        <v>2.0416666666666687</v>
      </c>
      <c r="D58" s="183" t="s">
        <v>426</v>
      </c>
      <c r="E58" s="183">
        <v>0</v>
      </c>
      <c r="F58" s="183">
        <v>100</v>
      </c>
      <c r="G58" s="205">
        <v>0.01</v>
      </c>
      <c r="H58" s="8"/>
    </row>
    <row r="59" spans="1:8" ht="27" customHeight="1" x14ac:dyDescent="0.2">
      <c r="A59" s="20"/>
      <c r="B59" s="200" t="s">
        <v>82</v>
      </c>
      <c r="C59" s="201">
        <f t="shared" si="1"/>
        <v>23.733333333333327</v>
      </c>
      <c r="D59" s="183" t="s">
        <v>427</v>
      </c>
      <c r="E59" s="183">
        <v>0</v>
      </c>
      <c r="F59" s="183">
        <v>100</v>
      </c>
      <c r="G59" s="205">
        <v>0.01</v>
      </c>
      <c r="H59" s="8"/>
    </row>
    <row r="60" spans="1:8" ht="27" customHeight="1" x14ac:dyDescent="0.2">
      <c r="A60" s="20"/>
      <c r="B60" s="200" t="s">
        <v>115</v>
      </c>
      <c r="C60" s="201">
        <f t="shared" si="1"/>
        <v>18.6666666666667</v>
      </c>
      <c r="D60" s="183" t="s">
        <v>428</v>
      </c>
      <c r="E60" s="183">
        <v>0</v>
      </c>
      <c r="F60" s="183">
        <v>100</v>
      </c>
      <c r="G60" s="205">
        <v>0.01</v>
      </c>
      <c r="H60" s="8"/>
    </row>
    <row r="61" spans="1:8" ht="27" customHeight="1" x14ac:dyDescent="0.2">
      <c r="A61" s="20"/>
      <c r="B61" s="200" t="s">
        <v>116</v>
      </c>
      <c r="C61" s="201">
        <f t="shared" si="1"/>
        <v>16.133333333333372</v>
      </c>
      <c r="D61" s="183" t="s">
        <v>429</v>
      </c>
      <c r="E61" s="183">
        <v>0</v>
      </c>
      <c r="F61" s="183">
        <v>100</v>
      </c>
      <c r="G61" s="205">
        <v>0.01</v>
      </c>
      <c r="H61" s="8"/>
    </row>
    <row r="62" spans="1:8" ht="27" customHeight="1" x14ac:dyDescent="0.2">
      <c r="A62" s="20"/>
      <c r="B62" s="207" t="s">
        <v>132</v>
      </c>
      <c r="C62" s="201">
        <f t="shared" si="1"/>
        <v>2.7333333333333298</v>
      </c>
      <c r="D62" s="183" t="s">
        <v>472</v>
      </c>
      <c r="E62" s="183">
        <v>0</v>
      </c>
      <c r="F62" s="183">
        <v>100</v>
      </c>
      <c r="G62" s="205">
        <v>0.01</v>
      </c>
      <c r="H62" s="8"/>
    </row>
    <row r="63" spans="1:8" ht="27" customHeight="1" x14ac:dyDescent="0.2">
      <c r="A63" s="20"/>
      <c r="B63" s="207" t="s">
        <v>87</v>
      </c>
      <c r="C63" s="201">
        <f t="shared" ref="C63:C64" si="2">D15*100</f>
        <v>100</v>
      </c>
      <c r="D63" s="183" t="s">
        <v>519</v>
      </c>
      <c r="E63" s="183">
        <v>0</v>
      </c>
      <c r="F63" s="183">
        <v>100</v>
      </c>
      <c r="G63" s="205">
        <v>0.01</v>
      </c>
      <c r="H63" s="8"/>
    </row>
    <row r="64" spans="1:8" ht="27" customHeight="1" x14ac:dyDescent="0.2">
      <c r="A64" s="20"/>
      <c r="B64" s="207" t="s">
        <v>88</v>
      </c>
      <c r="C64" s="201">
        <f t="shared" si="2"/>
        <v>100</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15" zoomScale="125" workbookViewId="0">
      <selection activeCell="C42" sqref="C42"/>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134</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60" t="s">
        <v>529</v>
      </c>
      <c r="B4" s="215" t="s">
        <v>75</v>
      </c>
      <c r="C4" s="212">
        <v>5.3333333333333297E-3</v>
      </c>
      <c r="D4" s="216">
        <f t="shared" ref="D4:D14" si="0">C4/$C$19*(1-$C$17)</f>
        <v>4.7466666666666603E-3</v>
      </c>
      <c r="E4" s="30"/>
      <c r="F4" s="30"/>
      <c r="G4" s="31"/>
      <c r="H4" s="32" t="s">
        <v>76</v>
      </c>
    </row>
    <row r="5" spans="1:8" ht="36" customHeight="1" x14ac:dyDescent="0.2">
      <c r="A5" s="461"/>
      <c r="B5" s="217" t="s">
        <v>77</v>
      </c>
      <c r="C5" s="213">
        <v>4.7333333333333297E-2</v>
      </c>
      <c r="D5" s="216">
        <f t="shared" si="0"/>
        <v>4.2126666666666604E-2</v>
      </c>
      <c r="G5" s="17"/>
      <c r="H5" s="12"/>
    </row>
    <row r="6" spans="1:8" ht="33.75" customHeight="1" x14ac:dyDescent="0.2">
      <c r="A6" s="461"/>
      <c r="B6" s="217" t="s">
        <v>78</v>
      </c>
      <c r="C6" s="213">
        <v>0</v>
      </c>
      <c r="D6" s="216">
        <f t="shared" si="0"/>
        <v>0</v>
      </c>
      <c r="G6" s="17"/>
      <c r="H6" s="12"/>
    </row>
    <row r="7" spans="1:8" ht="33.75" customHeight="1" x14ac:dyDescent="0.2">
      <c r="A7" s="461"/>
      <c r="B7" s="217" t="s">
        <v>79</v>
      </c>
      <c r="C7" s="213">
        <v>0.01</v>
      </c>
      <c r="D7" s="216">
        <f t="shared" si="0"/>
        <v>8.8999999999999947E-3</v>
      </c>
      <c r="G7" s="17"/>
      <c r="H7" s="12"/>
    </row>
    <row r="8" spans="1:8" ht="33.75" customHeight="1" x14ac:dyDescent="0.2">
      <c r="A8" s="461"/>
      <c r="B8" s="218" t="s">
        <v>113</v>
      </c>
      <c r="C8" s="213">
        <v>0.15146666666666697</v>
      </c>
      <c r="D8" s="216">
        <f t="shared" si="0"/>
        <v>0.1348053333333335</v>
      </c>
      <c r="G8" s="17"/>
      <c r="H8" s="12"/>
    </row>
    <row r="9" spans="1:8" ht="33.75" customHeight="1" x14ac:dyDescent="0.2">
      <c r="A9" s="461"/>
      <c r="B9" s="218" t="s">
        <v>517</v>
      </c>
      <c r="C9" s="213">
        <v>0</v>
      </c>
      <c r="D9" s="216">
        <f t="shared" si="0"/>
        <v>0</v>
      </c>
      <c r="G9" s="17"/>
      <c r="H9" s="12"/>
    </row>
    <row r="10" spans="1:8" ht="18" customHeight="1" x14ac:dyDescent="0.2">
      <c r="A10" s="461"/>
      <c r="B10" s="218" t="s">
        <v>114</v>
      </c>
      <c r="C10" s="213">
        <v>1.9200000000000036E-2</v>
      </c>
      <c r="D10" s="216">
        <f t="shared" si="0"/>
        <v>1.708800000000002E-2</v>
      </c>
      <c r="G10" s="17"/>
      <c r="H10" s="12"/>
    </row>
    <row r="11" spans="1:8" ht="27" customHeight="1" x14ac:dyDescent="0.2">
      <c r="A11" s="461"/>
      <c r="B11" s="218" t="s">
        <v>82</v>
      </c>
      <c r="C11" s="213">
        <v>0.106</v>
      </c>
      <c r="D11" s="216">
        <f t="shared" si="0"/>
        <v>9.4339999999999938E-2</v>
      </c>
      <c r="G11" s="17"/>
      <c r="H11" s="12"/>
    </row>
    <row r="12" spans="1:8" ht="18" customHeight="1" x14ac:dyDescent="0.2">
      <c r="A12" s="461"/>
      <c r="B12" s="218" t="s">
        <v>115</v>
      </c>
      <c r="C12" s="213">
        <v>0.212666666666667</v>
      </c>
      <c r="D12" s="216">
        <f t="shared" si="0"/>
        <v>0.18927333333333352</v>
      </c>
      <c r="G12" s="17"/>
      <c r="H12" s="12"/>
    </row>
    <row r="13" spans="1:8" ht="41.25" customHeight="1" x14ac:dyDescent="0.2">
      <c r="A13" s="461"/>
      <c r="B13" s="218" t="s">
        <v>116</v>
      </c>
      <c r="C13" s="213">
        <v>0.42333333333333334</v>
      </c>
      <c r="D13" s="216">
        <f t="shared" si="0"/>
        <v>0.37676666666666642</v>
      </c>
      <c r="G13" s="17"/>
      <c r="H13" s="33"/>
    </row>
    <row r="14" spans="1:8" ht="16.5" customHeight="1" x14ac:dyDescent="0.2">
      <c r="A14" s="462"/>
      <c r="B14" s="219" t="s">
        <v>132</v>
      </c>
      <c r="C14" s="213">
        <v>2.4666666666666698E-2</v>
      </c>
      <c r="D14" s="216">
        <f t="shared" si="0"/>
        <v>2.1953333333333346E-2</v>
      </c>
      <c r="G14" s="17"/>
      <c r="H14" s="12"/>
    </row>
    <row r="15" spans="1:8" ht="16.5" customHeight="1" x14ac:dyDescent="0.2">
      <c r="A15" s="234"/>
      <c r="B15" s="222" t="s">
        <v>87</v>
      </c>
      <c r="C15" s="214">
        <v>0.93333333333333302</v>
      </c>
      <c r="D15" s="224">
        <f>C15</f>
        <v>0.93333333333333302</v>
      </c>
      <c r="G15" s="17"/>
      <c r="H15" s="12"/>
    </row>
    <row r="16" spans="1:8" ht="16.5" customHeight="1" x14ac:dyDescent="0.2">
      <c r="A16" s="234"/>
      <c r="B16" s="222" t="s">
        <v>88</v>
      </c>
      <c r="C16" s="221">
        <v>0.47</v>
      </c>
      <c r="D16" s="225">
        <f>C16</f>
        <v>0.47</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1.0000000000000007</v>
      </c>
      <c r="D19" s="160">
        <f>SUM(D4:D14)+D17</f>
        <v>1</v>
      </c>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3" t="s">
        <v>118</v>
      </c>
      <c r="C24" s="394" t="s">
        <v>38</v>
      </c>
      <c r="D24" s="395"/>
    </row>
    <row r="25" spans="1:8" ht="16.5" customHeight="1" x14ac:dyDescent="0.2">
      <c r="A25" s="20"/>
      <c r="B25" s="334" t="s">
        <v>34</v>
      </c>
      <c r="C25" s="389">
        <f>$D$8*$C$43</f>
        <v>14044772.578309705</v>
      </c>
      <c r="D25" s="385" t="s">
        <v>135</v>
      </c>
    </row>
    <row r="26" spans="1:8" ht="14.25" customHeight="1" x14ac:dyDescent="0.2">
      <c r="B26" s="334" t="s">
        <v>36</v>
      </c>
      <c r="C26" s="387">
        <v>0</v>
      </c>
      <c r="D26" s="336" t="s">
        <v>136</v>
      </c>
    </row>
    <row r="27" spans="1:8" ht="16.5" customHeight="1" x14ac:dyDescent="0.2">
      <c r="A27" s="20"/>
      <c r="B27" s="334" t="s">
        <v>38</v>
      </c>
      <c r="C27" s="389">
        <f>SUM($D$11:$D$12)*$C$43</f>
        <v>29548421.181479018</v>
      </c>
      <c r="D27" s="385" t="s">
        <v>137</v>
      </c>
    </row>
    <row r="28" spans="1:8" ht="16.5" customHeight="1" x14ac:dyDescent="0.2">
      <c r="A28" s="20"/>
      <c r="B28" s="334" t="s">
        <v>40</v>
      </c>
      <c r="C28" s="389">
        <f>$D$10*$C$43</f>
        <v>1780323.2845744696</v>
      </c>
      <c r="D28" s="385" t="s">
        <v>398</v>
      </c>
    </row>
    <row r="29" spans="1:8" ht="16.5" customHeight="1" x14ac:dyDescent="0.2">
      <c r="A29" s="20"/>
      <c r="B29" s="334" t="s">
        <v>42</v>
      </c>
      <c r="C29" s="389">
        <f>D4*$C$43*C16</f>
        <v>232431.09548611072</v>
      </c>
      <c r="D29" s="386" t="s">
        <v>93</v>
      </c>
    </row>
    <row r="30" spans="1:8" ht="16.5" customHeight="1" x14ac:dyDescent="0.2">
      <c r="A30" s="20"/>
      <c r="B30" s="334" t="s">
        <v>44</v>
      </c>
      <c r="C30" s="389">
        <f>D5*$C$43*C16</f>
        <v>2062825.9724392323</v>
      </c>
      <c r="D30" s="386" t="s">
        <v>94</v>
      </c>
    </row>
    <row r="31" spans="1:8" ht="16.5" customHeight="1" x14ac:dyDescent="0.2">
      <c r="A31" s="20"/>
      <c r="B31" s="334" t="s">
        <v>45</v>
      </c>
      <c r="C31" s="389">
        <f>D6*$C$43*C16</f>
        <v>0</v>
      </c>
      <c r="D31" s="386" t="s">
        <v>95</v>
      </c>
    </row>
    <row r="32" spans="1:8" ht="16.5" customHeight="1" x14ac:dyDescent="0.2">
      <c r="A32" s="20"/>
      <c r="B32" s="334" t="s">
        <v>46</v>
      </c>
      <c r="C32" s="389">
        <f>D7*$C$43*C16</f>
        <v>435808.30403645791</v>
      </c>
      <c r="D32" s="386" t="s">
        <v>96</v>
      </c>
    </row>
    <row r="33" spans="1:8" ht="16.5" customHeight="1" x14ac:dyDescent="0.2">
      <c r="A33" s="20"/>
      <c r="B33" s="334" t="s">
        <v>47</v>
      </c>
      <c r="C33" s="389">
        <f>$C$43*D17*C15</f>
        <v>10696386.775299154</v>
      </c>
      <c r="D33" s="386" t="s">
        <v>97</v>
      </c>
    </row>
    <row r="34" spans="1:8" ht="16.5" customHeight="1" x14ac:dyDescent="0.2">
      <c r="A34" s="20"/>
      <c r="B34" s="334" t="s">
        <v>49</v>
      </c>
      <c r="C34" s="389">
        <v>0</v>
      </c>
      <c r="D34" s="386" t="s">
        <v>138</v>
      </c>
    </row>
    <row r="35" spans="1:8" ht="16.5" customHeight="1" x14ac:dyDescent="0.2">
      <c r="A35" s="20"/>
      <c r="B35" s="334" t="s">
        <v>51</v>
      </c>
      <c r="C35" s="387">
        <v>0</v>
      </c>
      <c r="D35" s="386" t="s">
        <v>138</v>
      </c>
    </row>
    <row r="36" spans="1:8" ht="16.5" customHeight="1" x14ac:dyDescent="0.2">
      <c r="A36" s="20"/>
      <c r="B36" s="334" t="s">
        <v>52</v>
      </c>
      <c r="C36" s="387">
        <v>0</v>
      </c>
      <c r="D36" s="386" t="s">
        <v>139</v>
      </c>
    </row>
    <row r="37" spans="1:8" ht="16.5" customHeight="1" x14ac:dyDescent="0.2">
      <c r="A37" s="20"/>
      <c r="B37" s="334" t="s">
        <v>54</v>
      </c>
      <c r="C37" s="387">
        <v>0</v>
      </c>
      <c r="D37" s="386" t="s">
        <v>140</v>
      </c>
    </row>
    <row r="38" spans="1:8" ht="16.5" customHeight="1" x14ac:dyDescent="0.2">
      <c r="A38" s="20"/>
      <c r="B38" s="334" t="s">
        <v>56</v>
      </c>
      <c r="C38" s="387">
        <v>0</v>
      </c>
      <c r="D38" s="386" t="s">
        <v>141</v>
      </c>
    </row>
    <row r="39" spans="1:8" ht="16.5" customHeight="1" x14ac:dyDescent="0.2">
      <c r="A39" s="20"/>
      <c r="B39" s="334" t="s">
        <v>58</v>
      </c>
      <c r="C39" s="387">
        <v>0</v>
      </c>
      <c r="D39" s="386" t="s">
        <v>142</v>
      </c>
    </row>
    <row r="40" spans="1:8" ht="16.5" customHeight="1" x14ac:dyDescent="0.2">
      <c r="A40" s="20"/>
      <c r="B40" s="334" t="s">
        <v>61</v>
      </c>
      <c r="C40" s="389">
        <f>$D$14*$C$43</f>
        <v>2287220.8864324768</v>
      </c>
      <c r="D40" s="386" t="s">
        <v>143</v>
      </c>
    </row>
    <row r="41" spans="1:8" ht="16.5" customHeight="1" x14ac:dyDescent="0.2">
      <c r="A41" s="20"/>
      <c r="B41" s="388" t="s">
        <v>63</v>
      </c>
      <c r="C41" s="389">
        <f>$D$13*$C$43 + C43*SUM(D4:D7)*(1-C16) + C43*C17*(1-C15)</f>
        <v>43097395.395636462</v>
      </c>
      <c r="D41" s="386" t="s">
        <v>144</v>
      </c>
    </row>
    <row r="42" spans="1:8" ht="16.5" customHeight="1" x14ac:dyDescent="0.2">
      <c r="A42" s="20"/>
      <c r="B42" s="334" t="s">
        <v>65</v>
      </c>
      <c r="C42" s="389">
        <f>SUM($C$25:$C$41)</f>
        <v>104185585.47369309</v>
      </c>
      <c r="D42" s="386" t="s">
        <v>66</v>
      </c>
    </row>
    <row r="43" spans="1:8" ht="33" customHeight="1" x14ac:dyDescent="0.2">
      <c r="A43" s="20"/>
      <c r="B43" s="334" t="s">
        <v>67</v>
      </c>
      <c r="C43" s="387">
        <f>SUM(Tourists!C27, Tourism!C27, Lodges!C28,Restaurants!C27,SUM(Households!C30:D30) + NatParkPA!C28  + ComRevSh!C27)/(1-SUM(D8:D12))</f>
        <v>104185585.47369309</v>
      </c>
      <c r="D43" s="386" t="s">
        <v>145</v>
      </c>
      <c r="E43" s="129" t="s">
        <v>399</v>
      </c>
    </row>
    <row r="44" spans="1:8" ht="16.5" customHeight="1" x14ac:dyDescent="0.2">
      <c r="A44" s="20"/>
      <c r="B44" s="334" t="s">
        <v>69</v>
      </c>
      <c r="C44" s="387">
        <f>C43-C42</f>
        <v>0</v>
      </c>
      <c r="D44" s="386" t="s">
        <v>107</v>
      </c>
    </row>
    <row r="45" spans="1:8" ht="16.5" customHeight="1" x14ac:dyDescent="0.2">
      <c r="A45" s="20"/>
      <c r="B45" s="390" t="s">
        <v>71</v>
      </c>
      <c r="C45" s="391">
        <f>C44/C43</f>
        <v>0</v>
      </c>
      <c r="D45" s="392" t="s">
        <v>108</v>
      </c>
    </row>
    <row r="46" spans="1:8" ht="27" customHeight="1" x14ac:dyDescent="0.2">
      <c r="A46" s="20"/>
      <c r="B46" s="21" t="s">
        <v>109</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0.53333333333333299</v>
      </c>
      <c r="D52" s="202" t="s">
        <v>430</v>
      </c>
      <c r="E52" s="202">
        <v>0</v>
      </c>
      <c r="F52" s="202">
        <v>100</v>
      </c>
      <c r="G52" s="203">
        <v>0.01</v>
      </c>
      <c r="H52" s="8"/>
    </row>
    <row r="53" spans="1:8" ht="27" customHeight="1" x14ac:dyDescent="0.2">
      <c r="A53" s="20"/>
      <c r="B53" s="200" t="s">
        <v>77</v>
      </c>
      <c r="C53" s="201">
        <f t="shared" ref="C53:C62" si="1">C5*100</f>
        <v>4.7333333333333298</v>
      </c>
      <c r="D53" s="183" t="s">
        <v>431</v>
      </c>
      <c r="E53" s="183">
        <v>0</v>
      </c>
      <c r="F53" s="183">
        <v>100</v>
      </c>
      <c r="G53" s="204">
        <v>0.01</v>
      </c>
      <c r="H53" s="8"/>
    </row>
    <row r="54" spans="1:8" ht="27" customHeight="1" x14ac:dyDescent="0.2">
      <c r="A54" s="20"/>
      <c r="B54" s="200" t="s">
        <v>78</v>
      </c>
      <c r="C54" s="201">
        <f t="shared" si="1"/>
        <v>0</v>
      </c>
      <c r="D54" s="202" t="s">
        <v>432</v>
      </c>
      <c r="E54" s="183">
        <v>0</v>
      </c>
      <c r="F54" s="183">
        <v>100</v>
      </c>
      <c r="G54" s="204">
        <v>0.01</v>
      </c>
      <c r="H54" s="8"/>
    </row>
    <row r="55" spans="1:8" ht="27" customHeight="1" x14ac:dyDescent="0.2">
      <c r="A55" s="20"/>
      <c r="B55" s="200" t="s">
        <v>79</v>
      </c>
      <c r="C55" s="201">
        <f t="shared" si="1"/>
        <v>1</v>
      </c>
      <c r="D55" s="183" t="s">
        <v>433</v>
      </c>
      <c r="E55" s="183">
        <v>0</v>
      </c>
      <c r="F55" s="183">
        <v>100</v>
      </c>
      <c r="G55" s="204">
        <v>0.01</v>
      </c>
      <c r="H55" s="8"/>
    </row>
    <row r="56" spans="1:8" ht="27" customHeight="1" x14ac:dyDescent="0.2">
      <c r="A56" s="20"/>
      <c r="B56" s="200" t="s">
        <v>113</v>
      </c>
      <c r="C56" s="201">
        <f t="shared" si="1"/>
        <v>15.146666666666697</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114</v>
      </c>
      <c r="C58" s="201">
        <f t="shared" si="1"/>
        <v>1.9200000000000037</v>
      </c>
      <c r="D58" s="183" t="s">
        <v>436</v>
      </c>
      <c r="E58" s="183">
        <v>0</v>
      </c>
      <c r="F58" s="183">
        <v>100</v>
      </c>
      <c r="G58" s="205">
        <v>0.01</v>
      </c>
      <c r="H58" s="8"/>
    </row>
    <row r="59" spans="1:8" ht="27" customHeight="1" x14ac:dyDescent="0.2">
      <c r="A59" s="20"/>
      <c r="B59" s="200" t="s">
        <v>82</v>
      </c>
      <c r="C59" s="201">
        <f t="shared" si="1"/>
        <v>10.6</v>
      </c>
      <c r="D59" s="183" t="s">
        <v>437</v>
      </c>
      <c r="E59" s="183">
        <v>0</v>
      </c>
      <c r="F59" s="183">
        <v>100</v>
      </c>
      <c r="G59" s="205">
        <v>0.01</v>
      </c>
      <c r="H59" s="8"/>
    </row>
    <row r="60" spans="1:8" ht="27" customHeight="1" x14ac:dyDescent="0.2">
      <c r="A60" s="20"/>
      <c r="B60" s="200" t="s">
        <v>115</v>
      </c>
      <c r="C60" s="201">
        <f t="shared" si="1"/>
        <v>21.266666666666701</v>
      </c>
      <c r="D60" s="183" t="s">
        <v>438</v>
      </c>
      <c r="E60" s="183">
        <v>0</v>
      </c>
      <c r="F60" s="183">
        <v>100</v>
      </c>
      <c r="G60" s="205">
        <v>0.01</v>
      </c>
      <c r="H60" s="8"/>
    </row>
    <row r="61" spans="1:8" ht="27" customHeight="1" x14ac:dyDescent="0.2">
      <c r="A61" s="20"/>
      <c r="B61" s="200" t="s">
        <v>116</v>
      </c>
      <c r="C61" s="201">
        <f t="shared" si="1"/>
        <v>42.333333333333336</v>
      </c>
      <c r="D61" s="183" t="s">
        <v>439</v>
      </c>
      <c r="E61" s="183">
        <v>0</v>
      </c>
      <c r="F61" s="183">
        <v>100</v>
      </c>
      <c r="G61" s="205">
        <v>0.01</v>
      </c>
      <c r="H61" s="8"/>
    </row>
    <row r="62" spans="1:8" ht="27" customHeight="1" x14ac:dyDescent="0.2">
      <c r="A62" s="20"/>
      <c r="B62" s="207" t="s">
        <v>132</v>
      </c>
      <c r="C62" s="201">
        <f t="shared" si="1"/>
        <v>2.4666666666666699</v>
      </c>
      <c r="D62" s="183" t="s">
        <v>473</v>
      </c>
      <c r="E62" s="183">
        <v>0</v>
      </c>
      <c r="F62" s="183">
        <v>100</v>
      </c>
      <c r="G62" s="205">
        <v>0.01</v>
      </c>
      <c r="H62" s="8"/>
    </row>
    <row r="63" spans="1:8" ht="27" customHeight="1" x14ac:dyDescent="0.2">
      <c r="A63" s="20"/>
      <c r="B63" s="207" t="s">
        <v>87</v>
      </c>
      <c r="C63" s="201">
        <f t="shared" ref="C63:C64" si="2">D15*100</f>
        <v>93.3333333333333</v>
      </c>
      <c r="D63" s="183" t="s">
        <v>522</v>
      </c>
      <c r="E63" s="183">
        <v>0</v>
      </c>
      <c r="F63" s="183">
        <v>100</v>
      </c>
      <c r="G63" s="205">
        <v>0.01</v>
      </c>
      <c r="H63" s="8"/>
    </row>
    <row r="64" spans="1:8" ht="27" customHeight="1" x14ac:dyDescent="0.2">
      <c r="A64" s="20"/>
      <c r="B64" s="207" t="s">
        <v>88</v>
      </c>
      <c r="C64" s="201">
        <f t="shared" si="2"/>
        <v>47</v>
      </c>
      <c r="D64" s="191" t="s">
        <v>133</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abSelected="1" topLeftCell="A10" zoomScale="108" workbookViewId="0">
      <selection activeCell="H16" sqref="H16"/>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146</v>
      </c>
      <c r="C1" s="29"/>
      <c r="H1" s="8"/>
    </row>
    <row r="2" spans="1:8" ht="63" customHeight="1" x14ac:dyDescent="0.2">
      <c r="A2" s="250"/>
      <c r="B2" s="251" t="s">
        <v>147</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60" t="s">
        <v>529</v>
      </c>
      <c r="B4" s="173" t="s">
        <v>75</v>
      </c>
      <c r="C4" s="244">
        <v>0</v>
      </c>
      <c r="D4" s="216">
        <f t="shared" ref="D4:D14" si="0">IF($C$19&lt;&gt;0,C4/$C$19*(1-$C$17),0)</f>
        <v>0</v>
      </c>
      <c r="H4" s="12" t="s">
        <v>76</v>
      </c>
    </row>
    <row r="5" spans="1:8" ht="32.25" customHeight="1" x14ac:dyDescent="0.2">
      <c r="A5" s="461"/>
      <c r="B5" s="173" t="s">
        <v>77</v>
      </c>
      <c r="C5" s="243">
        <v>0</v>
      </c>
      <c r="D5" s="216">
        <f t="shared" si="0"/>
        <v>0</v>
      </c>
      <c r="H5" s="12"/>
    </row>
    <row r="6" spans="1:8" ht="33" customHeight="1" x14ac:dyDescent="0.2">
      <c r="A6" s="461"/>
      <c r="B6" s="173" t="s">
        <v>78</v>
      </c>
      <c r="C6" s="243">
        <v>0</v>
      </c>
      <c r="D6" s="216">
        <f t="shared" si="0"/>
        <v>0</v>
      </c>
      <c r="H6" s="12"/>
    </row>
    <row r="7" spans="1:8" ht="33" customHeight="1" x14ac:dyDescent="0.2">
      <c r="A7" s="461"/>
      <c r="B7" s="173" t="s">
        <v>79</v>
      </c>
      <c r="C7" s="243">
        <v>0</v>
      </c>
      <c r="D7" s="216">
        <f t="shared" si="0"/>
        <v>0</v>
      </c>
      <c r="H7" s="12"/>
    </row>
    <row r="8" spans="1:8" ht="33" customHeight="1" x14ac:dyDescent="0.2">
      <c r="A8" s="461"/>
      <c r="B8" s="174" t="s">
        <v>148</v>
      </c>
      <c r="C8" s="243">
        <v>0</v>
      </c>
      <c r="D8" s="216">
        <f t="shared" si="0"/>
        <v>0</v>
      </c>
      <c r="H8" s="12"/>
    </row>
    <row r="9" spans="1:8" ht="33" customHeight="1" x14ac:dyDescent="0.2">
      <c r="A9" s="461"/>
      <c r="B9" s="174" t="s">
        <v>518</v>
      </c>
      <c r="C9" s="243">
        <v>0</v>
      </c>
      <c r="D9" s="216">
        <f t="shared" si="0"/>
        <v>0</v>
      </c>
      <c r="H9" s="12"/>
    </row>
    <row r="10" spans="1:8" ht="53.25" customHeight="1" x14ac:dyDescent="0.2">
      <c r="A10" s="461"/>
      <c r="B10" s="174" t="s">
        <v>149</v>
      </c>
      <c r="C10" s="243">
        <v>0</v>
      </c>
      <c r="D10" s="216">
        <f t="shared" si="0"/>
        <v>0</v>
      </c>
      <c r="H10" s="12"/>
    </row>
    <row r="11" spans="1:8" ht="30" customHeight="1" x14ac:dyDescent="0.2">
      <c r="A11" s="461"/>
      <c r="B11" s="174" t="s">
        <v>150</v>
      </c>
      <c r="C11" s="243">
        <v>0</v>
      </c>
      <c r="D11" s="216">
        <f t="shared" si="0"/>
        <v>0</v>
      </c>
      <c r="H11" s="463"/>
    </row>
    <row r="12" spans="1:8" ht="30" customHeight="1" x14ac:dyDescent="0.2">
      <c r="A12" s="461"/>
      <c r="B12" s="174" t="s">
        <v>151</v>
      </c>
      <c r="C12" s="243">
        <v>0</v>
      </c>
      <c r="D12" s="216">
        <f t="shared" si="0"/>
        <v>0</v>
      </c>
      <c r="H12" s="464"/>
    </row>
    <row r="13" spans="1:8" ht="56.25" customHeight="1" x14ac:dyDescent="0.2">
      <c r="A13" s="461"/>
      <c r="B13" s="174" t="s">
        <v>152</v>
      </c>
      <c r="C13" s="243">
        <v>1</v>
      </c>
      <c r="D13" s="216">
        <f t="shared" si="0"/>
        <v>1</v>
      </c>
      <c r="E13" s="129" t="s">
        <v>511</v>
      </c>
      <c r="H13" s="158"/>
    </row>
    <row r="14" spans="1:8" ht="18.75" customHeight="1" x14ac:dyDescent="0.2">
      <c r="A14" s="462"/>
      <c r="B14" s="175" t="s">
        <v>153</v>
      </c>
      <c r="C14" s="243">
        <v>0</v>
      </c>
      <c r="D14" s="216">
        <f t="shared" si="0"/>
        <v>0</v>
      </c>
      <c r="F14" s="116"/>
      <c r="G14" s="116"/>
      <c r="H14" s="12"/>
    </row>
    <row r="15" spans="1:8" ht="18.75" customHeight="1" x14ac:dyDescent="0.2">
      <c r="A15" s="236"/>
      <c r="B15" s="167" t="s">
        <v>154</v>
      </c>
      <c r="C15" s="115">
        <v>1</v>
      </c>
      <c r="D15" s="245">
        <v>1</v>
      </c>
      <c r="E15" s="129" t="s">
        <v>512</v>
      </c>
      <c r="H15" s="12"/>
    </row>
    <row r="16" spans="1:8" ht="18.75" customHeight="1" x14ac:dyDescent="0.2">
      <c r="A16" s="236"/>
      <c r="B16" s="167" t="s">
        <v>155</v>
      </c>
      <c r="C16" s="115">
        <v>1</v>
      </c>
      <c r="D16" s="245">
        <v>1</v>
      </c>
      <c r="E16" s="129" t="s">
        <v>512</v>
      </c>
      <c r="H16" s="12"/>
    </row>
    <row r="17" spans="1:8" ht="27" customHeight="1" x14ac:dyDescent="0.2">
      <c r="A17" s="239"/>
      <c r="B17" s="240" t="s">
        <v>401</v>
      </c>
      <c r="C17" s="220">
        <v>0</v>
      </c>
      <c r="D17" s="226">
        <f>C17</f>
        <v>0</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2" t="s">
        <v>118</v>
      </c>
      <c r="C24" s="383" t="s">
        <v>156</v>
      </c>
      <c r="D24" s="384"/>
    </row>
    <row r="25" spans="1:8" ht="16.5" customHeight="1" x14ac:dyDescent="0.2">
      <c r="A25" s="20"/>
      <c r="B25" s="334" t="s">
        <v>34</v>
      </c>
      <c r="C25" s="369">
        <f>$C$43*$D$8</f>
        <v>0</v>
      </c>
      <c r="D25" s="385" t="s">
        <v>157</v>
      </c>
    </row>
    <row r="26" spans="1:8" ht="14.25" customHeight="1" x14ac:dyDescent="0.2">
      <c r="B26" s="334" t="s">
        <v>36</v>
      </c>
      <c r="C26" s="367">
        <v>0</v>
      </c>
      <c r="D26" s="336" t="s">
        <v>158</v>
      </c>
    </row>
    <row r="27" spans="1:8" ht="16.5" customHeight="1" x14ac:dyDescent="0.2">
      <c r="A27" s="20"/>
      <c r="B27" s="334" t="s">
        <v>38</v>
      </c>
      <c r="C27" s="369">
        <f>$C$43*$D$12</f>
        <v>0</v>
      </c>
      <c r="D27" s="385" t="s">
        <v>159</v>
      </c>
    </row>
    <row r="28" spans="1:8" ht="16.5" customHeight="1" x14ac:dyDescent="0.2">
      <c r="A28" s="20"/>
      <c r="B28" s="334" t="s">
        <v>40</v>
      </c>
      <c r="C28" s="369">
        <f>$C$43*D10</f>
        <v>0</v>
      </c>
      <c r="D28" s="385" t="s">
        <v>160</v>
      </c>
    </row>
    <row r="29" spans="1:8" ht="16.5" customHeight="1" x14ac:dyDescent="0.2">
      <c r="A29" s="20"/>
      <c r="B29" s="334" t="s">
        <v>42</v>
      </c>
      <c r="C29" s="369">
        <f>D4*$C$43*C16</f>
        <v>0</v>
      </c>
      <c r="D29" s="386" t="s">
        <v>93</v>
      </c>
    </row>
    <row r="30" spans="1:8" ht="16.5" customHeight="1" x14ac:dyDescent="0.2">
      <c r="A30" s="20"/>
      <c r="B30" s="334" t="s">
        <v>44</v>
      </c>
      <c r="C30" s="369">
        <f>D5*$C$43*C16</f>
        <v>0</v>
      </c>
      <c r="D30" s="386" t="s">
        <v>94</v>
      </c>
    </row>
    <row r="31" spans="1:8" ht="16.5" customHeight="1" x14ac:dyDescent="0.2">
      <c r="A31" s="20"/>
      <c r="B31" s="334" t="s">
        <v>45</v>
      </c>
      <c r="C31" s="369">
        <f>D6*$C$43*C16</f>
        <v>0</v>
      </c>
      <c r="D31" s="386" t="s">
        <v>95</v>
      </c>
    </row>
    <row r="32" spans="1:8" ht="16.5" customHeight="1" x14ac:dyDescent="0.2">
      <c r="A32" s="20"/>
      <c r="B32" s="334" t="s">
        <v>46</v>
      </c>
      <c r="C32" s="369">
        <f>D7*$C$43*C16</f>
        <v>0</v>
      </c>
      <c r="D32" s="386" t="s">
        <v>96</v>
      </c>
    </row>
    <row r="33" spans="1:8" ht="16.5" customHeight="1" x14ac:dyDescent="0.2">
      <c r="A33" s="20"/>
      <c r="B33" s="334" t="s">
        <v>47</v>
      </c>
      <c r="C33" s="369">
        <f>D17*C$43*C15</f>
        <v>0</v>
      </c>
      <c r="D33" s="386" t="s">
        <v>97</v>
      </c>
      <c r="G33" s="112">
        <f>SUM(Lodges!C29,Restaurants!C28,SUM(Households!C31:D31),NatParkPA!C29,Tourism!C28,ComRevSh!C28)/(1-C10-C8-C11-C12)</f>
        <v>1040118.85523884</v>
      </c>
    </row>
    <row r="34" spans="1:8" ht="16.5" customHeight="1" x14ac:dyDescent="0.2">
      <c r="A34" s="20"/>
      <c r="B34" s="334" t="s">
        <v>49</v>
      </c>
      <c r="C34" s="387">
        <v>0</v>
      </c>
      <c r="D34" s="386" t="s">
        <v>161</v>
      </c>
      <c r="G34" s="112">
        <f>SUM(Lodges!C29,Restaurants!C28,SUM(Households!C31:D31),NatParkPA!C29,Tourism!C28,ComRevSh!C28)</f>
        <v>1040118.85523884</v>
      </c>
    </row>
    <row r="35" spans="1:8" ht="16.5" customHeight="1" x14ac:dyDescent="0.2">
      <c r="A35" s="20"/>
      <c r="B35" s="334" t="s">
        <v>51</v>
      </c>
      <c r="C35" s="387">
        <v>0</v>
      </c>
      <c r="D35" s="386" t="s">
        <v>161</v>
      </c>
      <c r="G35" s="112"/>
    </row>
    <row r="36" spans="1:8" ht="16.5" customHeight="1" x14ac:dyDescent="0.2">
      <c r="A36" s="20"/>
      <c r="B36" s="334" t="s">
        <v>52</v>
      </c>
      <c r="C36" s="387">
        <v>0</v>
      </c>
      <c r="D36" s="386" t="s">
        <v>162</v>
      </c>
      <c r="G36" s="112"/>
    </row>
    <row r="37" spans="1:8" ht="16.5" customHeight="1" x14ac:dyDescent="0.2">
      <c r="A37" s="20"/>
      <c r="B37" s="334" t="s">
        <v>54</v>
      </c>
      <c r="C37" s="387">
        <v>0</v>
      </c>
      <c r="D37" s="386" t="s">
        <v>163</v>
      </c>
      <c r="G37" s="112"/>
    </row>
    <row r="38" spans="1:8" ht="16.5" customHeight="1" x14ac:dyDescent="0.2">
      <c r="A38" s="20"/>
      <c r="B38" s="334" t="s">
        <v>56</v>
      </c>
      <c r="C38" s="387">
        <v>0</v>
      </c>
      <c r="D38" s="386" t="s">
        <v>164</v>
      </c>
      <c r="G38" s="112"/>
    </row>
    <row r="39" spans="1:8" ht="16.5" customHeight="1" x14ac:dyDescent="0.2">
      <c r="A39" s="20"/>
      <c r="B39" s="334" t="s">
        <v>58</v>
      </c>
      <c r="C39" s="369">
        <v>0</v>
      </c>
      <c r="D39" s="386" t="s">
        <v>165</v>
      </c>
      <c r="G39" s="112"/>
    </row>
    <row r="40" spans="1:8" ht="16.5" customHeight="1" x14ac:dyDescent="0.2">
      <c r="A40" s="20"/>
      <c r="B40" s="334" t="s">
        <v>61</v>
      </c>
      <c r="C40" s="369">
        <f>$C$43*$D$14</f>
        <v>0</v>
      </c>
      <c r="D40" s="386" t="s">
        <v>406</v>
      </c>
      <c r="G40" s="112"/>
    </row>
    <row r="41" spans="1:8" ht="16.5" customHeight="1" x14ac:dyDescent="0.2">
      <c r="A41" s="20"/>
      <c r="B41" s="388" t="s">
        <v>63</v>
      </c>
      <c r="C41" s="369">
        <f>$C$43*$D$13 + C43*SUM(D4:D7)*(1-D16) + C43*D17*(1-D15)</f>
        <v>1040118.85523884</v>
      </c>
      <c r="D41" s="386" t="s">
        <v>166</v>
      </c>
      <c r="G41" s="112"/>
    </row>
    <row r="42" spans="1:8" ht="16.5" customHeight="1" x14ac:dyDescent="0.2">
      <c r="A42" s="20"/>
      <c r="B42" s="334" t="s">
        <v>65</v>
      </c>
      <c r="C42" s="389">
        <f>SUM(C25:C41)</f>
        <v>1040118.85523884</v>
      </c>
      <c r="D42" s="386" t="s">
        <v>66</v>
      </c>
      <c r="G42" s="112"/>
    </row>
    <row r="43" spans="1:8" ht="47.25" customHeight="1" x14ac:dyDescent="0.2">
      <c r="A43" s="20"/>
      <c r="B43" s="334" t="s">
        <v>67</v>
      </c>
      <c r="C43" s="387">
        <f>SUM(Lodges!C29,Restaurants!C28,SUM(Households!C31:D31),NatParkPA!C29,Tourism!C28,ComRevSh!C28)/(1-SUM(D8:D12))</f>
        <v>1040118.85523884</v>
      </c>
      <c r="D43" s="386" t="s">
        <v>167</v>
      </c>
      <c r="F43" s="129" t="s">
        <v>399</v>
      </c>
    </row>
    <row r="44" spans="1:8" ht="16.5" customHeight="1" x14ac:dyDescent="0.2">
      <c r="A44" s="20"/>
      <c r="B44" s="334" t="s">
        <v>69</v>
      </c>
      <c r="C44" s="387">
        <f>C43-C42</f>
        <v>0</v>
      </c>
      <c r="D44" s="386" t="s">
        <v>107</v>
      </c>
    </row>
    <row r="45" spans="1:8" ht="16.5" customHeight="1" x14ac:dyDescent="0.2">
      <c r="A45" s="20"/>
      <c r="B45" s="390" t="s">
        <v>71</v>
      </c>
      <c r="C45" s="391">
        <f>C44/C43</f>
        <v>0</v>
      </c>
      <c r="D45" s="392"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75</v>
      </c>
      <c r="C52" s="201">
        <f>C4*100</f>
        <v>0</v>
      </c>
      <c r="D52" s="183" t="s">
        <v>441</v>
      </c>
      <c r="E52" s="183">
        <v>0</v>
      </c>
      <c r="F52" s="183">
        <v>100</v>
      </c>
      <c r="G52" s="183">
        <v>0.01</v>
      </c>
      <c r="H52" s="8"/>
    </row>
    <row r="53" spans="1:8" ht="15.75" customHeight="1" x14ac:dyDescent="0.2">
      <c r="A53" s="20"/>
      <c r="B53" s="200" t="s">
        <v>77</v>
      </c>
      <c r="C53" s="201">
        <f t="shared" ref="C53:C62" si="1">C5*100</f>
        <v>0</v>
      </c>
      <c r="D53" s="183" t="s">
        <v>442</v>
      </c>
      <c r="E53" s="183">
        <v>0</v>
      </c>
      <c r="F53" s="183">
        <v>100</v>
      </c>
      <c r="G53" s="183">
        <v>0.01</v>
      </c>
      <c r="H53" s="8"/>
    </row>
    <row r="54" spans="1:8" ht="15.75" customHeight="1" x14ac:dyDescent="0.2">
      <c r="A54" s="20"/>
      <c r="B54" s="200" t="s">
        <v>78</v>
      </c>
      <c r="C54" s="201">
        <f t="shared" si="1"/>
        <v>0</v>
      </c>
      <c r="D54" s="183" t="s">
        <v>443</v>
      </c>
      <c r="E54" s="183">
        <v>0</v>
      </c>
      <c r="F54" s="183">
        <v>100</v>
      </c>
      <c r="G54" s="183">
        <v>0.01</v>
      </c>
      <c r="H54" s="8"/>
    </row>
    <row r="55" spans="1:8" ht="15.75" customHeight="1" x14ac:dyDescent="0.2">
      <c r="A55" s="20"/>
      <c r="B55" s="200" t="s">
        <v>79</v>
      </c>
      <c r="C55" s="201">
        <f t="shared" si="1"/>
        <v>0</v>
      </c>
      <c r="D55" s="183" t="s">
        <v>444</v>
      </c>
      <c r="E55" s="183">
        <v>0</v>
      </c>
      <c r="F55" s="183">
        <v>100</v>
      </c>
      <c r="G55" s="183">
        <v>0.01</v>
      </c>
      <c r="H55" s="8"/>
    </row>
    <row r="56" spans="1:8" ht="15.75" customHeight="1" x14ac:dyDescent="0.2">
      <c r="A56" s="20"/>
      <c r="B56" s="200" t="s">
        <v>148</v>
      </c>
      <c r="C56" s="201">
        <f t="shared" si="1"/>
        <v>0</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149</v>
      </c>
      <c r="C58" s="201">
        <f t="shared" si="1"/>
        <v>0</v>
      </c>
      <c r="D58" s="183" t="s">
        <v>447</v>
      </c>
      <c r="E58" s="183">
        <v>0</v>
      </c>
      <c r="F58" s="183">
        <v>100</v>
      </c>
      <c r="G58" s="183">
        <v>0.01</v>
      </c>
      <c r="H58" s="8"/>
    </row>
    <row r="59" spans="1:8" ht="15.75" customHeight="1" x14ac:dyDescent="0.2">
      <c r="A59" s="20"/>
      <c r="B59" s="200" t="s">
        <v>150</v>
      </c>
      <c r="C59" s="201">
        <f t="shared" si="1"/>
        <v>0</v>
      </c>
      <c r="D59" s="183" t="s">
        <v>448</v>
      </c>
      <c r="E59" s="183">
        <v>0</v>
      </c>
      <c r="F59" s="183">
        <v>100</v>
      </c>
      <c r="G59" s="183">
        <v>0.01</v>
      </c>
      <c r="H59" s="8"/>
    </row>
    <row r="60" spans="1:8" ht="15.75" customHeight="1" x14ac:dyDescent="0.2">
      <c r="A60" s="20"/>
      <c r="B60" s="200" t="s">
        <v>151</v>
      </c>
      <c r="C60" s="201">
        <f t="shared" si="1"/>
        <v>0</v>
      </c>
      <c r="D60" s="183" t="s">
        <v>449</v>
      </c>
      <c r="E60" s="183">
        <v>0</v>
      </c>
      <c r="F60" s="183">
        <v>100</v>
      </c>
      <c r="G60" s="183">
        <v>0.01</v>
      </c>
      <c r="H60" s="8"/>
    </row>
    <row r="61" spans="1:8" ht="15.75" customHeight="1" x14ac:dyDescent="0.2">
      <c r="A61" s="20"/>
      <c r="B61" s="200" t="s">
        <v>152</v>
      </c>
      <c r="C61" s="201">
        <f t="shared" si="1"/>
        <v>100</v>
      </c>
      <c r="D61" s="183" t="s">
        <v>450</v>
      </c>
      <c r="E61" s="183">
        <v>0</v>
      </c>
      <c r="F61" s="183">
        <v>100</v>
      </c>
      <c r="G61" s="183">
        <v>0.01</v>
      </c>
      <c r="H61" s="8"/>
    </row>
    <row r="62" spans="1:8" ht="15.75" customHeight="1" x14ac:dyDescent="0.2">
      <c r="A62" s="20"/>
      <c r="B62" s="207" t="s">
        <v>153</v>
      </c>
      <c r="C62" s="201">
        <f t="shared" si="1"/>
        <v>0</v>
      </c>
      <c r="D62" s="183" t="s">
        <v>474</v>
      </c>
      <c r="E62" s="183">
        <v>0</v>
      </c>
      <c r="F62" s="183">
        <v>100</v>
      </c>
      <c r="G62" s="183">
        <v>0.01</v>
      </c>
      <c r="H62" s="8"/>
    </row>
    <row r="63" spans="1:8" ht="15.75" customHeight="1" x14ac:dyDescent="0.2">
      <c r="A63" s="20"/>
      <c r="B63" s="207" t="s">
        <v>154</v>
      </c>
      <c r="C63" s="201">
        <f t="shared" ref="C63:C64" si="2">D15*100</f>
        <v>100</v>
      </c>
      <c r="D63" s="183" t="s">
        <v>521</v>
      </c>
      <c r="E63" s="183">
        <v>0</v>
      </c>
      <c r="F63" s="183">
        <v>100</v>
      </c>
      <c r="G63" s="183">
        <v>0.01</v>
      </c>
      <c r="H63" s="8"/>
    </row>
    <row r="64" spans="1:8" ht="15.75" customHeight="1" x14ac:dyDescent="0.2">
      <c r="A64" s="20"/>
      <c r="B64" s="207" t="s">
        <v>155</v>
      </c>
      <c r="C64" s="201">
        <f t="shared" si="2"/>
        <v>100</v>
      </c>
      <c r="D64" s="183" t="s">
        <v>168</v>
      </c>
      <c r="E64" s="183">
        <v>0</v>
      </c>
      <c r="F64" s="183">
        <v>100</v>
      </c>
      <c r="G64" s="183">
        <v>0.01</v>
      </c>
      <c r="H64" s="8"/>
    </row>
    <row r="65" spans="1:8" ht="15.75" customHeight="1" x14ac:dyDescent="0.2">
      <c r="A65" s="20"/>
      <c r="B65" s="209" t="s">
        <v>401</v>
      </c>
      <c r="C65" s="210">
        <f>C17*100</f>
        <v>0</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169</v>
      </c>
    </row>
    <row r="2" spans="1:8" ht="47.25" customHeight="1" x14ac:dyDescent="0.2">
      <c r="A2" s="247"/>
      <c r="B2" s="272" t="s">
        <v>170</v>
      </c>
      <c r="C2" s="273" t="s">
        <v>74</v>
      </c>
      <c r="D2" s="253"/>
    </row>
    <row r="3" spans="1:8" ht="26.25" customHeight="1" x14ac:dyDescent="0.2">
      <c r="A3" s="271"/>
      <c r="B3" s="261" t="s">
        <v>0</v>
      </c>
      <c r="C3" s="256" t="s">
        <v>1</v>
      </c>
      <c r="D3" s="274" t="s">
        <v>528</v>
      </c>
      <c r="E3" s="11"/>
      <c r="F3" s="11"/>
      <c r="G3" s="11"/>
      <c r="H3" s="11" t="s">
        <v>6</v>
      </c>
    </row>
    <row r="4" spans="1:8" ht="30.75" customHeight="1" x14ac:dyDescent="0.2">
      <c r="A4" s="460" t="s">
        <v>529</v>
      </c>
      <c r="B4" s="176" t="s">
        <v>75</v>
      </c>
      <c r="C4" s="212">
        <v>4.2999999999999997E-2</v>
      </c>
      <c r="D4" s="246">
        <f t="shared" ref="D4:D14" si="0">C4/$C$19*(1-$C$17)</f>
        <v>3.2250000000000001E-2</v>
      </c>
      <c r="E4" s="1"/>
      <c r="F4" s="1"/>
      <c r="G4" s="1"/>
      <c r="H4" s="38" t="s">
        <v>76</v>
      </c>
    </row>
    <row r="5" spans="1:8" ht="30.75" customHeight="1" x14ac:dyDescent="0.2">
      <c r="A5" s="461"/>
      <c r="B5" s="173" t="s">
        <v>77</v>
      </c>
      <c r="C5" s="213">
        <v>3.5000000000000003E-2</v>
      </c>
      <c r="D5" s="246">
        <f t="shared" si="0"/>
        <v>2.6250000000000009E-2</v>
      </c>
      <c r="E5" s="1"/>
      <c r="F5" s="1"/>
      <c r="G5" s="1"/>
      <c r="H5" s="12"/>
    </row>
    <row r="6" spans="1:8" ht="30.75" customHeight="1" x14ac:dyDescent="0.2">
      <c r="A6" s="461"/>
      <c r="B6" s="173" t="s">
        <v>78</v>
      </c>
      <c r="C6" s="213">
        <v>7.2999999999999995E-2</v>
      </c>
      <c r="D6" s="246">
        <f t="shared" si="0"/>
        <v>5.4750000000000007E-2</v>
      </c>
      <c r="E6" s="1"/>
      <c r="F6" s="1"/>
      <c r="G6" s="1"/>
      <c r="H6" s="12"/>
    </row>
    <row r="7" spans="1:8" ht="30.75" customHeight="1" x14ac:dyDescent="0.2">
      <c r="A7" s="461"/>
      <c r="B7" s="173" t="s">
        <v>79</v>
      </c>
      <c r="C7" s="213">
        <v>7.1999999999999995E-2</v>
      </c>
      <c r="D7" s="246">
        <f t="shared" si="0"/>
        <v>5.4000000000000006E-2</v>
      </c>
      <c r="E7" s="1"/>
      <c r="F7" s="1"/>
      <c r="G7" s="1"/>
      <c r="H7" s="12"/>
    </row>
    <row r="8" spans="1:8" ht="39" customHeight="1" x14ac:dyDescent="0.2">
      <c r="A8" s="461"/>
      <c r="B8" s="174" t="s">
        <v>171</v>
      </c>
      <c r="C8" s="213">
        <v>0.27646124999999999</v>
      </c>
      <c r="D8" s="246">
        <f t="shared" si="0"/>
        <v>0.20734593750000002</v>
      </c>
      <c r="E8" s="1"/>
      <c r="F8" s="1"/>
      <c r="G8" s="1"/>
      <c r="H8" s="38" t="s">
        <v>83</v>
      </c>
    </row>
    <row r="9" spans="1:8" ht="39" customHeight="1" x14ac:dyDescent="0.2">
      <c r="A9" s="461"/>
      <c r="B9" s="174" t="s">
        <v>518</v>
      </c>
      <c r="C9" s="213">
        <v>0</v>
      </c>
      <c r="D9" s="246">
        <f t="shared" si="0"/>
        <v>0</v>
      </c>
      <c r="E9" s="1"/>
      <c r="F9" s="1"/>
      <c r="G9" s="1"/>
      <c r="H9" s="38"/>
    </row>
    <row r="10" spans="1:8" ht="26.25" customHeight="1" x14ac:dyDescent="0.2">
      <c r="A10" s="461"/>
      <c r="B10" s="174" t="s">
        <v>114</v>
      </c>
      <c r="C10" s="213">
        <v>4.4538749999999995E-2</v>
      </c>
      <c r="D10" s="246">
        <f t="shared" si="0"/>
        <v>3.3404062499999998E-2</v>
      </c>
      <c r="E10" s="1"/>
      <c r="F10" s="1"/>
      <c r="G10" s="1"/>
      <c r="H10" s="12"/>
    </row>
    <row r="11" spans="1:8" ht="26.25" customHeight="1" x14ac:dyDescent="0.2">
      <c r="A11" s="461"/>
      <c r="B11" s="174" t="s">
        <v>172</v>
      </c>
      <c r="C11" s="213">
        <v>0.16299999999999998</v>
      </c>
      <c r="D11" s="246">
        <f t="shared" si="0"/>
        <v>0.12225</v>
      </c>
      <c r="E11" s="1"/>
      <c r="F11" s="1"/>
      <c r="G11" s="1"/>
      <c r="H11" s="12"/>
    </row>
    <row r="12" spans="1:8" ht="26.25" customHeight="1" x14ac:dyDescent="0.2">
      <c r="A12" s="461"/>
      <c r="B12" s="174" t="s">
        <v>115</v>
      </c>
      <c r="C12" s="213">
        <v>0.127</v>
      </c>
      <c r="D12" s="246">
        <f t="shared" si="0"/>
        <v>9.5250000000000029E-2</v>
      </c>
      <c r="E12" s="1"/>
      <c r="F12" s="1"/>
      <c r="G12" s="1"/>
      <c r="H12" s="12"/>
    </row>
    <row r="13" spans="1:8" ht="26.25" customHeight="1" x14ac:dyDescent="0.2">
      <c r="A13" s="461"/>
      <c r="B13" s="174" t="s">
        <v>173</v>
      </c>
      <c r="C13" s="213">
        <v>0.14799999999999999</v>
      </c>
      <c r="D13" s="246">
        <f t="shared" si="0"/>
        <v>0.11100000000000002</v>
      </c>
      <c r="E13" s="1"/>
      <c r="F13" s="1"/>
      <c r="G13" s="1"/>
      <c r="H13" s="33">
        <f>SUM(C4:C14)</f>
        <v>0.99999999999999989</v>
      </c>
    </row>
    <row r="14" spans="1:8" ht="26.25" customHeight="1" x14ac:dyDescent="0.2">
      <c r="A14" s="462"/>
      <c r="B14" s="174" t="s">
        <v>174</v>
      </c>
      <c r="C14" s="213">
        <v>1.7999999999999999E-2</v>
      </c>
      <c r="D14" s="246">
        <f t="shared" si="0"/>
        <v>1.3500000000000002E-2</v>
      </c>
      <c r="E14" s="1"/>
      <c r="F14" s="1"/>
      <c r="G14" s="1"/>
      <c r="H14" s="12"/>
    </row>
    <row r="15" spans="1:8" ht="26.25" customHeight="1" x14ac:dyDescent="0.2">
      <c r="A15" s="247"/>
      <c r="B15" s="167" t="s">
        <v>175</v>
      </c>
      <c r="C15" s="115">
        <v>1</v>
      </c>
      <c r="D15" s="242">
        <f>C15</f>
        <v>1</v>
      </c>
      <c r="E15" s="1"/>
      <c r="F15" s="1"/>
      <c r="G15" s="1"/>
      <c r="H15" s="12"/>
    </row>
    <row r="16" spans="1:8" ht="26.25" customHeight="1" x14ac:dyDescent="0.2">
      <c r="A16" s="275"/>
      <c r="B16" s="241" t="s">
        <v>88</v>
      </c>
      <c r="C16" s="115">
        <v>0.8</v>
      </c>
      <c r="D16" s="276">
        <f>C16</f>
        <v>0.8</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1" t="s">
        <v>176</v>
      </c>
      <c r="C24" s="362" t="s">
        <v>52</v>
      </c>
      <c r="D24" s="363"/>
    </row>
    <row r="25" spans="1:9" ht="15.75" customHeight="1" x14ac:dyDescent="0.2">
      <c r="B25" s="364" t="s">
        <v>34</v>
      </c>
      <c r="C25" s="340">
        <f>$D8*$C$43</f>
        <v>1977845.3242602397</v>
      </c>
      <c r="D25" s="365" t="s">
        <v>177</v>
      </c>
    </row>
    <row r="26" spans="1:9" ht="14.25" customHeight="1" x14ac:dyDescent="0.2">
      <c r="B26" s="366" t="s">
        <v>36</v>
      </c>
      <c r="C26" s="367">
        <v>0</v>
      </c>
      <c r="D26" s="368" t="s">
        <v>178</v>
      </c>
    </row>
    <row r="27" spans="1:9" ht="15.75" customHeight="1" x14ac:dyDescent="0.2">
      <c r="B27" s="364" t="s">
        <v>38</v>
      </c>
      <c r="C27" s="340">
        <f>($D11+$D$12)*$C$43</f>
        <v>2074703.5761267429</v>
      </c>
      <c r="D27" s="365" t="s">
        <v>179</v>
      </c>
    </row>
    <row r="28" spans="1:9" ht="15.75" customHeight="1" x14ac:dyDescent="0.2">
      <c r="B28" s="364" t="s">
        <v>40</v>
      </c>
      <c r="C28" s="340">
        <f>$D10*$C$43</f>
        <v>318636.91000418947</v>
      </c>
      <c r="D28" s="365" t="s">
        <v>180</v>
      </c>
    </row>
    <row r="29" spans="1:9" ht="15.75" customHeight="1" x14ac:dyDescent="0.2">
      <c r="B29" s="366" t="s">
        <v>42</v>
      </c>
      <c r="C29" s="369">
        <f>D4*$C$43*C16</f>
        <v>246102.76903020672</v>
      </c>
      <c r="D29" s="370" t="s">
        <v>93</v>
      </c>
    </row>
    <row r="30" spans="1:9" ht="15.75" customHeight="1" x14ac:dyDescent="0.2">
      <c r="B30" s="366" t="s">
        <v>44</v>
      </c>
      <c r="C30" s="369">
        <f>D5*$C$43*C16</f>
        <v>200316.20735016835</v>
      </c>
      <c r="D30" s="370" t="s">
        <v>94</v>
      </c>
    </row>
    <row r="31" spans="1:9" ht="15.75" customHeight="1" x14ac:dyDescent="0.2">
      <c r="B31" s="366" t="s">
        <v>45</v>
      </c>
      <c r="C31" s="369">
        <f>D6*$C$43*C16</f>
        <v>417802.375330351</v>
      </c>
      <c r="D31" s="370" t="s">
        <v>95</v>
      </c>
    </row>
    <row r="32" spans="1:9" ht="15.75" customHeight="1" x14ac:dyDescent="0.2">
      <c r="B32" s="366" t="s">
        <v>46</v>
      </c>
      <c r="C32" s="369">
        <f>D7*$C$43*C16</f>
        <v>412079.05512034619</v>
      </c>
      <c r="D32" s="370" t="s">
        <v>96</v>
      </c>
    </row>
    <row r="33" spans="2:5" ht="15.75" customHeight="1" x14ac:dyDescent="0.2">
      <c r="B33" s="364" t="s">
        <v>47</v>
      </c>
      <c r="C33" s="340">
        <f>D17*C43*C15</f>
        <v>2384716.7541686697</v>
      </c>
      <c r="D33" s="370" t="s">
        <v>97</v>
      </c>
    </row>
    <row r="34" spans="2:5" ht="15.75" customHeight="1" x14ac:dyDescent="0.2">
      <c r="B34" s="364" t="s">
        <v>49</v>
      </c>
      <c r="C34" s="371">
        <v>0</v>
      </c>
      <c r="D34" s="370" t="s">
        <v>181</v>
      </c>
    </row>
    <row r="35" spans="2:5" ht="15.75" customHeight="1" x14ac:dyDescent="0.2">
      <c r="B35" s="364" t="s">
        <v>51</v>
      </c>
      <c r="C35" s="371">
        <v>0</v>
      </c>
      <c r="D35" s="370" t="s">
        <v>181</v>
      </c>
    </row>
    <row r="36" spans="2:5" ht="15.75" customHeight="1" x14ac:dyDescent="0.2">
      <c r="B36" s="364" t="s">
        <v>52</v>
      </c>
      <c r="C36" s="372">
        <v>0</v>
      </c>
      <c r="D36" s="370" t="s">
        <v>182</v>
      </c>
    </row>
    <row r="37" spans="2:5" ht="15.75" customHeight="1" x14ac:dyDescent="0.2">
      <c r="B37" s="364" t="s">
        <v>54</v>
      </c>
      <c r="C37" s="372">
        <v>0</v>
      </c>
      <c r="D37" s="370" t="s">
        <v>183</v>
      </c>
    </row>
    <row r="38" spans="2:5" ht="15.75" customHeight="1" x14ac:dyDescent="0.2">
      <c r="B38" s="364" t="s">
        <v>56</v>
      </c>
      <c r="C38" s="372">
        <v>0</v>
      </c>
      <c r="D38" s="370" t="s">
        <v>184</v>
      </c>
    </row>
    <row r="39" spans="2:5" ht="15.75" customHeight="1" x14ac:dyDescent="0.2">
      <c r="B39" s="364" t="s">
        <v>58</v>
      </c>
      <c r="C39" s="372">
        <v>0</v>
      </c>
      <c r="D39" s="370" t="s">
        <v>185</v>
      </c>
    </row>
    <row r="40" spans="2:5" ht="15.75" customHeight="1" x14ac:dyDescent="0.2">
      <c r="B40" s="364" t="s">
        <v>61</v>
      </c>
      <c r="C40" s="340">
        <f>D14*C43</f>
        <v>128774.70472510818</v>
      </c>
      <c r="D40" s="373" t="s">
        <v>186</v>
      </c>
    </row>
    <row r="41" spans="2:5" ht="15.75" customHeight="1" x14ac:dyDescent="0.2">
      <c r="B41" s="374" t="s">
        <v>63</v>
      </c>
      <c r="C41" s="340">
        <f>D13*C43</f>
        <v>1058814.2388508895</v>
      </c>
      <c r="D41" s="375" t="s">
        <v>187</v>
      </c>
    </row>
    <row r="42" spans="2:5" ht="15.75" customHeight="1" x14ac:dyDescent="0.2">
      <c r="B42" s="364" t="s">
        <v>65</v>
      </c>
      <c r="C42" s="340">
        <f>SUM(C25:C41)</f>
        <v>9219791.9149669111</v>
      </c>
      <c r="D42" s="373" t="s">
        <v>188</v>
      </c>
    </row>
    <row r="43" spans="2:5" ht="15.75" customHeight="1" x14ac:dyDescent="0.2">
      <c r="B43" s="364" t="s">
        <v>67</v>
      </c>
      <c r="C43" s="340">
        <f>Tourists!$C$36+SUM(Households!C39:D39) + Ag!C36 + Tourism!C36 + Nonag!C36 + Fishing!C36 + Lodges!C37 + ComRevSh!C36 + NatParkPA!C37</f>
        <v>9538867.0166746788</v>
      </c>
      <c r="D43" s="373" t="s">
        <v>189</v>
      </c>
      <c r="E43" s="43" t="s">
        <v>400</v>
      </c>
    </row>
    <row r="44" spans="2:5" ht="15.75" customHeight="1" x14ac:dyDescent="0.2">
      <c r="B44" s="364" t="s">
        <v>69</v>
      </c>
      <c r="C44" s="371">
        <f>C43-C42</f>
        <v>319075.1017077677</v>
      </c>
      <c r="D44" s="376"/>
    </row>
    <row r="45" spans="2:5" ht="15.75" customHeight="1" x14ac:dyDescent="0.2">
      <c r="B45" s="364" t="s">
        <v>71</v>
      </c>
      <c r="C45" s="377">
        <f>C44/C43</f>
        <v>3.3449999999999966E-2</v>
      </c>
      <c r="D45" s="376"/>
    </row>
    <row r="46" spans="2:5" ht="15.75" customHeight="1" x14ac:dyDescent="0.2">
      <c r="B46" s="374" t="s">
        <v>63</v>
      </c>
      <c r="C46" s="378"/>
      <c r="D46" s="376"/>
    </row>
    <row r="47" spans="2:5" ht="15.75" customHeight="1" x14ac:dyDescent="0.2">
      <c r="B47" s="379" t="s">
        <v>190</v>
      </c>
      <c r="C47" s="380"/>
      <c r="D47" s="381"/>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75</v>
      </c>
      <c r="C52" s="201">
        <f>C4*100</f>
        <v>4.3</v>
      </c>
      <c r="D52" s="183" t="s">
        <v>451</v>
      </c>
      <c r="E52" s="183">
        <v>0</v>
      </c>
      <c r="F52" s="183">
        <v>100</v>
      </c>
      <c r="G52" s="183">
        <v>0.01</v>
      </c>
    </row>
    <row r="53" spans="2:7" ht="15" customHeight="1" x14ac:dyDescent="0.2">
      <c r="B53" s="200" t="s">
        <v>77</v>
      </c>
      <c r="C53" s="201">
        <f t="shared" ref="C53:C62" si="1">C5*100</f>
        <v>3.5000000000000004</v>
      </c>
      <c r="D53" s="183" t="s">
        <v>452</v>
      </c>
      <c r="E53" s="183">
        <v>0</v>
      </c>
      <c r="F53" s="183">
        <v>100</v>
      </c>
      <c r="G53" s="183">
        <v>0.01</v>
      </c>
    </row>
    <row r="54" spans="2:7" ht="15" customHeight="1" x14ac:dyDescent="0.2">
      <c r="B54" s="200" t="s">
        <v>78</v>
      </c>
      <c r="C54" s="201">
        <f t="shared" si="1"/>
        <v>7.3</v>
      </c>
      <c r="D54" s="183" t="s">
        <v>453</v>
      </c>
      <c r="E54" s="183">
        <v>0</v>
      </c>
      <c r="F54" s="183">
        <v>100</v>
      </c>
      <c r="G54" s="183">
        <v>0.01</v>
      </c>
    </row>
    <row r="55" spans="2:7" ht="15" customHeight="1" x14ac:dyDescent="0.2">
      <c r="B55" s="200" t="s">
        <v>79</v>
      </c>
      <c r="C55" s="201">
        <f t="shared" si="1"/>
        <v>7.1999999999999993</v>
      </c>
      <c r="D55" s="183" t="s">
        <v>454</v>
      </c>
      <c r="E55" s="183">
        <v>0</v>
      </c>
      <c r="F55" s="183">
        <v>100</v>
      </c>
      <c r="G55" s="183">
        <v>0.01</v>
      </c>
    </row>
    <row r="56" spans="2:7" ht="15" customHeight="1" x14ac:dyDescent="0.2">
      <c r="B56" s="200" t="s">
        <v>171</v>
      </c>
      <c r="C56" s="201">
        <f t="shared" si="1"/>
        <v>27.646124999999998</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114</v>
      </c>
      <c r="C58" s="201">
        <f t="shared" si="1"/>
        <v>4.4538749999999991</v>
      </c>
      <c r="D58" s="183" t="s">
        <v>457</v>
      </c>
      <c r="E58" s="183">
        <v>0</v>
      </c>
      <c r="F58" s="183">
        <v>100</v>
      </c>
      <c r="G58" s="183">
        <v>0.01</v>
      </c>
    </row>
    <row r="59" spans="2:7" ht="15" customHeight="1" x14ac:dyDescent="0.2">
      <c r="B59" s="200" t="s">
        <v>172</v>
      </c>
      <c r="C59" s="201">
        <f t="shared" si="1"/>
        <v>16.299999999999997</v>
      </c>
      <c r="D59" s="183" t="s">
        <v>458</v>
      </c>
      <c r="E59" s="183">
        <v>0</v>
      </c>
      <c r="F59" s="183">
        <v>100</v>
      </c>
      <c r="G59" s="183">
        <v>0.01</v>
      </c>
    </row>
    <row r="60" spans="2:7" ht="15" customHeight="1" x14ac:dyDescent="0.2">
      <c r="B60" s="200" t="s">
        <v>115</v>
      </c>
      <c r="C60" s="201">
        <f t="shared" si="1"/>
        <v>12.7</v>
      </c>
      <c r="D60" s="183" t="s">
        <v>459</v>
      </c>
      <c r="E60" s="183">
        <v>0</v>
      </c>
      <c r="F60" s="183">
        <v>100</v>
      </c>
      <c r="G60" s="183">
        <v>0.01</v>
      </c>
    </row>
    <row r="61" spans="2:7" ht="15" customHeight="1" x14ac:dyDescent="0.2">
      <c r="B61" s="200" t="s">
        <v>173</v>
      </c>
      <c r="C61" s="201">
        <f t="shared" si="1"/>
        <v>14.799999999999999</v>
      </c>
      <c r="D61" s="183" t="s">
        <v>460</v>
      </c>
      <c r="E61" s="183">
        <v>0</v>
      </c>
      <c r="F61" s="183">
        <v>100</v>
      </c>
      <c r="G61" s="183">
        <v>0.01</v>
      </c>
    </row>
    <row r="62" spans="2:7" ht="15" customHeight="1" x14ac:dyDescent="0.2">
      <c r="B62" s="200" t="s">
        <v>174</v>
      </c>
      <c r="C62" s="201">
        <f t="shared" si="1"/>
        <v>1.7999999999999998</v>
      </c>
      <c r="D62" s="183" t="s">
        <v>475</v>
      </c>
      <c r="E62" s="183">
        <v>0</v>
      </c>
      <c r="F62" s="183">
        <v>100</v>
      </c>
      <c r="G62" s="183">
        <v>0.01</v>
      </c>
    </row>
    <row r="63" spans="2:7" ht="15" customHeight="1" x14ac:dyDescent="0.2">
      <c r="B63" s="207" t="s">
        <v>175</v>
      </c>
      <c r="C63" s="201">
        <f t="shared" ref="C63:C64" si="2">D15*100</f>
        <v>100</v>
      </c>
      <c r="D63" s="183" t="s">
        <v>520</v>
      </c>
      <c r="E63" s="183">
        <v>0</v>
      </c>
      <c r="F63" s="183">
        <v>100</v>
      </c>
      <c r="G63" s="183">
        <v>0.01</v>
      </c>
    </row>
    <row r="64" spans="2:7" ht="15" customHeight="1" x14ac:dyDescent="0.2">
      <c r="B64" s="207" t="s">
        <v>88</v>
      </c>
      <c r="C64" s="201">
        <f t="shared" si="2"/>
        <v>80</v>
      </c>
      <c r="D64" s="183" t="s">
        <v>191</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192</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193</v>
      </c>
      <c r="C2" s="249" t="s">
        <v>74</v>
      </c>
      <c r="D2" s="278"/>
      <c r="E2" s="38"/>
      <c r="F2" s="38"/>
      <c r="G2" s="38"/>
      <c r="H2" s="12" t="s">
        <v>194</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60" t="s">
        <v>529</v>
      </c>
      <c r="B4" s="173" t="s">
        <v>75</v>
      </c>
      <c r="C4" s="280">
        <v>4.8000000000000001E-2</v>
      </c>
      <c r="D4" s="172">
        <f t="shared" ref="D4:D14" si="0">C4/$C$19*(1-$C$17)</f>
        <v>2.5920000000000002E-2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461"/>
      <c r="B5" s="173" t="s">
        <v>77</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1"/>
      <c r="B6" s="173" t="s">
        <v>78</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1"/>
      <c r="B7" s="173" t="s">
        <v>79</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1"/>
      <c r="B8" s="174" t="s">
        <v>195</v>
      </c>
      <c r="C8" s="281">
        <v>0.115</v>
      </c>
      <c r="D8" s="172">
        <f t="shared" si="0"/>
        <v>6.2100000000000009E-2</v>
      </c>
      <c r="E8" s="38"/>
      <c r="F8" s="38"/>
      <c r="G8" s="38"/>
      <c r="H8" s="37" t="s">
        <v>196</v>
      </c>
      <c r="J8" s="38"/>
      <c r="K8" s="38"/>
      <c r="L8" s="38"/>
      <c r="M8" s="38"/>
      <c r="N8" s="38"/>
      <c r="O8" s="38"/>
      <c r="P8" s="38"/>
      <c r="Q8" s="38"/>
      <c r="R8" s="38"/>
      <c r="S8" s="38"/>
      <c r="T8" s="38"/>
      <c r="U8" s="38"/>
      <c r="V8" s="38"/>
      <c r="W8" s="38"/>
      <c r="X8" s="38"/>
      <c r="Y8" s="38"/>
      <c r="Z8" s="38"/>
    </row>
    <row r="9" spans="1:26" ht="14.25" customHeight="1" x14ac:dyDescent="0.2">
      <c r="A9" s="461"/>
      <c r="B9" s="174" t="s">
        <v>498</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1"/>
      <c r="B10" s="174" t="s">
        <v>499</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1"/>
      <c r="B11" s="174" t="s">
        <v>197</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1"/>
      <c r="B12" s="174" t="s">
        <v>115</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1"/>
      <c r="B13" s="174" t="s">
        <v>198</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2"/>
      <c r="B14" s="174" t="s">
        <v>199</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200</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88</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4" t="s">
        <v>176</v>
      </c>
      <c r="C25" s="345" t="s">
        <v>54</v>
      </c>
      <c r="D25" s="346"/>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2" t="s">
        <v>34</v>
      </c>
      <c r="C26" s="347">
        <f>$D$8*$C$44</f>
        <v>291345.82662056992</v>
      </c>
      <c r="D26" s="358" t="s">
        <v>201</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4" t="s">
        <v>36</v>
      </c>
      <c r="C27" s="349">
        <v>0</v>
      </c>
      <c r="D27" s="350" t="s">
        <v>202</v>
      </c>
    </row>
    <row r="28" spans="1:26" ht="14.25" customHeight="1" x14ac:dyDescent="0.2">
      <c r="B28" s="332" t="s">
        <v>38</v>
      </c>
      <c r="C28" s="347">
        <f>(D11+D12)*C44</f>
        <v>544690.02368193504</v>
      </c>
      <c r="D28" s="358" t="s">
        <v>203</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2" t="s">
        <v>40</v>
      </c>
      <c r="C29" s="347">
        <f>D9*C44</f>
        <v>108938.00473638701</v>
      </c>
      <c r="D29" s="358" t="s">
        <v>204</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4" t="s">
        <v>42</v>
      </c>
      <c r="C30" s="351">
        <f>D4*$C$44*C16</f>
        <v>97284.171671564225</v>
      </c>
      <c r="D30" s="352"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4" t="s">
        <v>44</v>
      </c>
      <c r="C31" s="351">
        <f>D5*$C$44*C16</f>
        <v>190514.83619014663</v>
      </c>
      <c r="D31" s="352"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4" t="s">
        <v>45</v>
      </c>
      <c r="C32" s="351">
        <f>D6*$C$44*C16</f>
        <v>113498.20028349159</v>
      </c>
      <c r="D32" s="352"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4" t="s">
        <v>46</v>
      </c>
      <c r="C33" s="351">
        <f>D7*$C$44*C16</f>
        <v>247263.93633189239</v>
      </c>
      <c r="D33" s="352"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2" t="s">
        <v>47</v>
      </c>
      <c r="C34" s="347">
        <f>D17*C44*C15</f>
        <v>356089.34364736325</v>
      </c>
      <c r="D34" s="358" t="s">
        <v>205</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2" t="s">
        <v>49</v>
      </c>
      <c r="C35" s="353">
        <v>0</v>
      </c>
      <c r="D35" s="350" t="s">
        <v>206</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2" t="s">
        <v>51</v>
      </c>
      <c r="C36" s="353">
        <v>0</v>
      </c>
      <c r="D36" s="350" t="s">
        <v>206</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2" t="s">
        <v>52</v>
      </c>
      <c r="C37" s="354">
        <v>0</v>
      </c>
      <c r="D37" s="350" t="s">
        <v>207</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2" t="s">
        <v>54</v>
      </c>
      <c r="C38" s="354">
        <v>0</v>
      </c>
      <c r="D38" s="350" t="s">
        <v>208</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2" t="s">
        <v>56</v>
      </c>
      <c r="C39" s="354">
        <v>0</v>
      </c>
      <c r="D39" s="350" t="s">
        <v>209</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2" t="s">
        <v>58</v>
      </c>
      <c r="C40" s="354">
        <v>0</v>
      </c>
      <c r="D40" s="350" t="s">
        <v>210</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2" t="s">
        <v>61</v>
      </c>
      <c r="C41" s="354">
        <f>$D$14*$C$44</f>
        <v>81070.143059636845</v>
      </c>
      <c r="D41" s="358" t="s">
        <v>211</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7" t="s">
        <v>63</v>
      </c>
      <c r="C42" s="347">
        <f>D13*C44</f>
        <v>648561.14447709476</v>
      </c>
      <c r="D42" s="359" t="s">
        <v>212</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2" t="s">
        <v>65</v>
      </c>
      <c r="C43" s="347">
        <f>SUM(C26:C42)</f>
        <v>2679255.6307000816</v>
      </c>
      <c r="D43" s="358" t="s">
        <v>188</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2" t="s">
        <v>67</v>
      </c>
      <c r="C44" s="347">
        <f>Tourists!C37</f>
        <v>4691559.2048400948</v>
      </c>
      <c r="D44" s="358" t="s">
        <v>213</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2" t="s">
        <v>69</v>
      </c>
      <c r="C45" s="353">
        <f>C44-C43</f>
        <v>2012303.5741400132</v>
      </c>
      <c r="D45" s="346"/>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1" t="s">
        <v>71</v>
      </c>
      <c r="C46" s="343">
        <f>C45/C44</f>
        <v>0.42891999999999997</v>
      </c>
      <c r="D46" s="360"/>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75</v>
      </c>
      <c r="C52" s="313">
        <f>C4*100</f>
        <v>4.8</v>
      </c>
      <c r="D52" s="314" t="s">
        <v>461</v>
      </c>
      <c r="E52" s="314">
        <v>0</v>
      </c>
      <c r="F52" s="314">
        <v>100</v>
      </c>
      <c r="G52" s="314">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77</v>
      </c>
      <c r="C53" s="313">
        <f t="shared" ref="C53:C62" si="1">C5*100</f>
        <v>9.4</v>
      </c>
      <c r="D53" s="314" t="s">
        <v>462</v>
      </c>
      <c r="E53" s="314">
        <v>0</v>
      </c>
      <c r="F53" s="314">
        <v>100</v>
      </c>
      <c r="G53" s="314">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78</v>
      </c>
      <c r="C54" s="313">
        <f t="shared" si="1"/>
        <v>5.6000000000000005</v>
      </c>
      <c r="D54" s="314" t="s">
        <v>463</v>
      </c>
      <c r="E54" s="314">
        <v>0</v>
      </c>
      <c r="F54" s="314">
        <v>100</v>
      </c>
      <c r="G54" s="314">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79</v>
      </c>
      <c r="C55" s="313">
        <f t="shared" si="1"/>
        <v>12.2</v>
      </c>
      <c r="D55" s="314" t="s">
        <v>464</v>
      </c>
      <c r="E55" s="314">
        <v>0</v>
      </c>
      <c r="F55" s="314">
        <v>100</v>
      </c>
      <c r="G55" s="314">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195</v>
      </c>
      <c r="C56" s="313">
        <f t="shared" si="1"/>
        <v>11.5</v>
      </c>
      <c r="D56" s="314" t="s">
        <v>465</v>
      </c>
      <c r="E56" s="314">
        <v>0</v>
      </c>
      <c r="F56" s="314">
        <v>100</v>
      </c>
      <c r="G56" s="314">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3">
        <f t="shared" si="1"/>
        <v>4.3</v>
      </c>
      <c r="D57" s="183" t="s">
        <v>466</v>
      </c>
      <c r="E57" s="183">
        <v>0</v>
      </c>
      <c r="F57" s="314">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114</v>
      </c>
      <c r="C58" s="313">
        <f t="shared" si="1"/>
        <v>1.9</v>
      </c>
      <c r="D58" s="314" t="s">
        <v>467</v>
      </c>
      <c r="E58" s="314">
        <v>0</v>
      </c>
      <c r="F58" s="314">
        <v>100</v>
      </c>
      <c r="G58" s="314">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197</v>
      </c>
      <c r="C59" s="313">
        <f t="shared" si="1"/>
        <v>10</v>
      </c>
      <c r="D59" s="314" t="s">
        <v>468</v>
      </c>
      <c r="E59" s="314">
        <v>0</v>
      </c>
      <c r="F59" s="314">
        <v>100</v>
      </c>
      <c r="G59" s="314">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115</v>
      </c>
      <c r="C60" s="313">
        <f t="shared" si="1"/>
        <v>11.5</v>
      </c>
      <c r="D60" s="314" t="s">
        <v>469</v>
      </c>
      <c r="E60" s="314">
        <v>0</v>
      </c>
      <c r="F60" s="314">
        <v>100</v>
      </c>
      <c r="G60" s="314">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198</v>
      </c>
      <c r="C61" s="313">
        <f t="shared" si="1"/>
        <v>25.6</v>
      </c>
      <c r="D61" s="314" t="s">
        <v>470</v>
      </c>
      <c r="E61" s="314">
        <v>0</v>
      </c>
      <c r="F61" s="314">
        <v>100</v>
      </c>
      <c r="G61" s="314">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199</v>
      </c>
      <c r="C62" s="313">
        <f t="shared" si="1"/>
        <v>3.2</v>
      </c>
      <c r="D62" s="314" t="s">
        <v>476</v>
      </c>
      <c r="E62" s="314">
        <v>0</v>
      </c>
      <c r="F62" s="314">
        <v>100</v>
      </c>
      <c r="G62" s="314">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200</v>
      </c>
      <c r="C63" s="313">
        <f t="shared" ref="C63:C64" si="2">D15*100</f>
        <v>16.5</v>
      </c>
      <c r="D63" s="314" t="s">
        <v>523</v>
      </c>
      <c r="E63" s="314">
        <v>0</v>
      </c>
      <c r="F63" s="314">
        <v>100</v>
      </c>
      <c r="G63" s="314">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88</v>
      </c>
      <c r="C64" s="313">
        <f t="shared" si="2"/>
        <v>80</v>
      </c>
      <c r="D64" s="314" t="s">
        <v>214</v>
      </c>
      <c r="E64" s="314">
        <v>0</v>
      </c>
      <c r="F64" s="314">
        <v>100</v>
      </c>
      <c r="G64" s="314">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5">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215</v>
      </c>
    </row>
    <row r="2" spans="1:7" ht="26.25" customHeight="1" x14ac:dyDescent="0.2">
      <c r="A2" s="5"/>
      <c r="B2" s="1" t="s">
        <v>216</v>
      </c>
    </row>
    <row r="3" spans="1:7" ht="26.25" customHeight="1" x14ac:dyDescent="0.2">
      <c r="B3" s="166" t="s">
        <v>0</v>
      </c>
      <c r="C3" s="170" t="s">
        <v>1</v>
      </c>
      <c r="E3" s="11"/>
      <c r="F3" s="11"/>
      <c r="G3" s="11"/>
    </row>
    <row r="4" spans="1:7" ht="26.25" customHeight="1" x14ac:dyDescent="0.2">
      <c r="A4" s="165"/>
      <c r="B4" s="284" t="s">
        <v>217</v>
      </c>
      <c r="C4" s="285">
        <f>NatParkPA!C41</f>
        <v>5313025</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60" t="s">
        <v>531</v>
      </c>
      <c r="B9" s="173" t="s">
        <v>500</v>
      </c>
      <c r="C9" s="213">
        <v>7.3913043478260859E-2</v>
      </c>
      <c r="D9" s="12"/>
      <c r="F9" s="287">
        <v>62254.150565008706</v>
      </c>
      <c r="G9" s="288">
        <f>F9/SUM($F$9:$F$17)</f>
        <v>7.3913043478260859E-2</v>
      </c>
    </row>
    <row r="10" spans="1:7" ht="34.5" customHeight="1" x14ac:dyDescent="0.2">
      <c r="A10" s="461"/>
      <c r="B10" s="173" t="s">
        <v>501</v>
      </c>
      <c r="C10" s="213">
        <v>3.4782608695652167E-2</v>
      </c>
      <c r="D10" s="463"/>
      <c r="F10" s="287">
        <v>29296.070854121743</v>
      </c>
      <c r="G10" s="288">
        <f t="shared" ref="G10:G18" si="0">F10/SUM($F$9:$F$17)</f>
        <v>3.4782608695652167E-2</v>
      </c>
    </row>
    <row r="11" spans="1:7" ht="30.75" customHeight="1" x14ac:dyDescent="0.2">
      <c r="A11" s="461"/>
      <c r="B11" s="173" t="s">
        <v>502</v>
      </c>
      <c r="C11" s="213">
        <v>0.32608695652173914</v>
      </c>
      <c r="D11" s="464"/>
      <c r="F11" s="287">
        <v>274650.66425739136</v>
      </c>
      <c r="G11" s="288">
        <f t="shared" si="0"/>
        <v>0.32608695652173914</v>
      </c>
    </row>
    <row r="12" spans="1:7" ht="30.75" customHeight="1" x14ac:dyDescent="0.2">
      <c r="A12" s="461"/>
      <c r="B12" s="173" t="s">
        <v>503</v>
      </c>
      <c r="C12" s="213">
        <v>0</v>
      </c>
      <c r="D12" s="464"/>
      <c r="F12" s="287">
        <v>0</v>
      </c>
      <c r="G12" s="288">
        <f t="shared" si="0"/>
        <v>0</v>
      </c>
    </row>
    <row r="13" spans="1:7" ht="30.75" customHeight="1" x14ac:dyDescent="0.2">
      <c r="A13" s="461"/>
      <c r="B13" s="173" t="s">
        <v>504</v>
      </c>
      <c r="C13" s="213">
        <v>0</v>
      </c>
      <c r="D13" s="464"/>
      <c r="F13" s="287">
        <v>0</v>
      </c>
      <c r="G13" s="288">
        <f t="shared" si="0"/>
        <v>0</v>
      </c>
    </row>
    <row r="14" spans="1:7" ht="27" customHeight="1" x14ac:dyDescent="0.2">
      <c r="A14" s="461"/>
      <c r="B14" s="173" t="s">
        <v>505</v>
      </c>
      <c r="C14" s="213">
        <v>0.10869565217391303</v>
      </c>
      <c r="D14" s="12"/>
      <c r="F14" s="287">
        <v>91550.221419130437</v>
      </c>
      <c r="G14" s="288">
        <f t="shared" si="0"/>
        <v>0.10869565217391303</v>
      </c>
    </row>
    <row r="15" spans="1:7" ht="26.25" customHeight="1" x14ac:dyDescent="0.2">
      <c r="A15" s="461"/>
      <c r="B15" s="173" t="s">
        <v>506</v>
      </c>
      <c r="C15" s="213">
        <v>0</v>
      </c>
      <c r="D15" s="463"/>
      <c r="F15" s="287">
        <v>0</v>
      </c>
      <c r="G15" s="288">
        <f t="shared" si="0"/>
        <v>0</v>
      </c>
    </row>
    <row r="16" spans="1:7" ht="26.25" customHeight="1" x14ac:dyDescent="0.2">
      <c r="A16" s="461"/>
      <c r="B16" s="173" t="s">
        <v>507</v>
      </c>
      <c r="C16" s="213">
        <v>4.3478260869565202E-2</v>
      </c>
      <c r="D16" s="464"/>
      <c r="F16" s="287">
        <v>36620.088567652172</v>
      </c>
      <c r="G16" s="288">
        <f t="shared" si="0"/>
        <v>4.3478260869565202E-2</v>
      </c>
    </row>
    <row r="17" spans="1:8" ht="33" customHeight="1" x14ac:dyDescent="0.2">
      <c r="A17" s="461"/>
      <c r="B17" s="173" t="s">
        <v>508</v>
      </c>
      <c r="C17" s="213">
        <v>0.41304347826086957</v>
      </c>
      <c r="D17" s="464"/>
      <c r="F17" s="287">
        <v>347890.84139269573</v>
      </c>
      <c r="G17" s="288">
        <f t="shared" si="0"/>
        <v>0.41304347826086957</v>
      </c>
    </row>
    <row r="18" spans="1:8" ht="20.25" customHeight="1" x14ac:dyDescent="0.2">
      <c r="A18" s="462"/>
      <c r="B18" s="173" t="s">
        <v>509</v>
      </c>
      <c r="C18" s="213">
        <v>0</v>
      </c>
      <c r="D18" s="464"/>
      <c r="F18" s="287">
        <v>0</v>
      </c>
      <c r="G18" s="288">
        <f t="shared" si="0"/>
        <v>0</v>
      </c>
    </row>
    <row r="19" spans="1:8" ht="20.25" customHeight="1" x14ac:dyDescent="0.2">
      <c r="A19" s="247"/>
      <c r="B19" s="290" t="s">
        <v>221</v>
      </c>
      <c r="C19" s="291">
        <v>1</v>
      </c>
      <c r="D19" s="46"/>
    </row>
    <row r="20" spans="1:8" ht="20.25" customHeight="1" x14ac:dyDescent="0.2">
      <c r="C20" s="129" t="s">
        <v>536</v>
      </c>
      <c r="H20" s="51"/>
    </row>
    <row r="21" spans="1:8" ht="26.25" customHeight="1" x14ac:dyDescent="0.2">
      <c r="B21" s="295" t="s">
        <v>532</v>
      </c>
      <c r="C21" s="292">
        <f>SUM(C9:C18)</f>
        <v>1</v>
      </c>
      <c r="D21" s="51"/>
    </row>
    <row r="22" spans="1:8" ht="15.75" customHeight="1" x14ac:dyDescent="0.2">
      <c r="B22" s="12"/>
      <c r="D22" s="53"/>
    </row>
    <row r="23" spans="1:8" ht="15.75" customHeight="1" x14ac:dyDescent="0.2">
      <c r="B23" s="158" t="s">
        <v>539</v>
      </c>
      <c r="D23" s="53"/>
    </row>
    <row r="24" spans="1:8" ht="15.75" customHeight="1" x14ac:dyDescent="0.2">
      <c r="B24" s="344" t="s">
        <v>176</v>
      </c>
      <c r="C24" s="345" t="s">
        <v>222</v>
      </c>
      <c r="D24" s="346"/>
    </row>
    <row r="25" spans="1:8" ht="15.75" customHeight="1" x14ac:dyDescent="0.2">
      <c r="B25" s="332" t="s">
        <v>34</v>
      </c>
      <c r="C25" s="347">
        <f>C14*C4</f>
        <v>577502.71739130421</v>
      </c>
      <c r="D25" s="348" t="s">
        <v>223</v>
      </c>
    </row>
    <row r="26" spans="1:8" ht="14.25" customHeight="1" x14ac:dyDescent="0.2">
      <c r="B26" s="334" t="s">
        <v>36</v>
      </c>
      <c r="C26" s="349">
        <v>0</v>
      </c>
      <c r="D26" s="350" t="s">
        <v>224</v>
      </c>
    </row>
    <row r="27" spans="1:8" ht="15.75" customHeight="1" x14ac:dyDescent="0.2">
      <c r="B27" s="332" t="s">
        <v>38</v>
      </c>
      <c r="C27" s="347">
        <f>SUM(C16:C17)*C4</f>
        <v>2425511.413043478</v>
      </c>
      <c r="D27" s="348" t="s">
        <v>225</v>
      </c>
    </row>
    <row r="28" spans="1:8" ht="15.75" customHeight="1" x14ac:dyDescent="0.2">
      <c r="B28" s="332" t="s">
        <v>40</v>
      </c>
      <c r="C28" s="347">
        <f>C15*C4</f>
        <v>0</v>
      </c>
      <c r="D28" s="348" t="s">
        <v>226</v>
      </c>
    </row>
    <row r="29" spans="1:8" ht="15.75" customHeight="1" x14ac:dyDescent="0.2">
      <c r="B29" s="334" t="s">
        <v>42</v>
      </c>
      <c r="C29" s="351">
        <f>C9*C4</f>
        <v>392701.84782608692</v>
      </c>
      <c r="D29" s="352" t="s">
        <v>93</v>
      </c>
    </row>
    <row r="30" spans="1:8" ht="15.75" customHeight="1" x14ac:dyDescent="0.2">
      <c r="B30" s="334" t="s">
        <v>44</v>
      </c>
      <c r="C30" s="351">
        <f>C10*C4</f>
        <v>184800.86956521735</v>
      </c>
      <c r="D30" s="352" t="s">
        <v>94</v>
      </c>
    </row>
    <row r="31" spans="1:8" ht="15.75" customHeight="1" x14ac:dyDescent="0.2">
      <c r="B31" s="334" t="s">
        <v>45</v>
      </c>
      <c r="C31" s="351">
        <f>C11*C4</f>
        <v>1732508.1521739131</v>
      </c>
      <c r="D31" s="352" t="s">
        <v>95</v>
      </c>
    </row>
    <row r="32" spans="1:8" ht="15.75" customHeight="1" x14ac:dyDescent="0.2">
      <c r="B32" s="334" t="s">
        <v>46</v>
      </c>
      <c r="C32" s="351">
        <f>C12*C4</f>
        <v>0</v>
      </c>
      <c r="D32" s="352" t="s">
        <v>96</v>
      </c>
    </row>
    <row r="33" spans="2:5" ht="15.75" customHeight="1" x14ac:dyDescent="0.2">
      <c r="B33" s="332" t="s">
        <v>47</v>
      </c>
      <c r="C33" s="347">
        <f>C13*C4</f>
        <v>0</v>
      </c>
      <c r="D33" s="352" t="s">
        <v>97</v>
      </c>
    </row>
    <row r="34" spans="2:5" ht="15.75" customHeight="1" x14ac:dyDescent="0.2">
      <c r="B34" s="332" t="s">
        <v>49</v>
      </c>
      <c r="C34" s="353">
        <v>0</v>
      </c>
      <c r="D34" s="352" t="s">
        <v>227</v>
      </c>
    </row>
    <row r="35" spans="2:5" ht="15.75" customHeight="1" x14ac:dyDescent="0.2">
      <c r="B35" s="332" t="s">
        <v>51</v>
      </c>
      <c r="C35" s="353">
        <v>0</v>
      </c>
      <c r="D35" s="352" t="s">
        <v>227</v>
      </c>
    </row>
    <row r="36" spans="2:5" ht="15.75" customHeight="1" x14ac:dyDescent="0.2">
      <c r="B36" s="332" t="s">
        <v>52</v>
      </c>
      <c r="C36" s="354">
        <v>0</v>
      </c>
      <c r="D36" s="352" t="s">
        <v>228</v>
      </c>
    </row>
    <row r="37" spans="2:5" ht="15.75" customHeight="1" x14ac:dyDescent="0.2">
      <c r="B37" s="332" t="s">
        <v>54</v>
      </c>
      <c r="C37" s="354">
        <v>0</v>
      </c>
      <c r="D37" s="352" t="s">
        <v>229</v>
      </c>
    </row>
    <row r="38" spans="2:5" ht="15.75" customHeight="1" x14ac:dyDescent="0.2">
      <c r="B38" s="332" t="s">
        <v>56</v>
      </c>
      <c r="C38" s="354">
        <v>0</v>
      </c>
      <c r="D38" s="352" t="s">
        <v>230</v>
      </c>
    </row>
    <row r="39" spans="2:5" ht="15.75" customHeight="1" x14ac:dyDescent="0.2">
      <c r="B39" s="332" t="s">
        <v>58</v>
      </c>
      <c r="C39" s="354">
        <v>0</v>
      </c>
      <c r="D39" s="352" t="s">
        <v>228</v>
      </c>
    </row>
    <row r="40" spans="2:5" ht="15.75" customHeight="1" x14ac:dyDescent="0.2">
      <c r="B40" s="332" t="s">
        <v>59</v>
      </c>
      <c r="C40" s="347">
        <v>0</v>
      </c>
      <c r="D40" s="355"/>
    </row>
    <row r="41" spans="2:5" ht="15.75" customHeight="1" x14ac:dyDescent="0.2">
      <c r="B41" s="332" t="s">
        <v>61</v>
      </c>
      <c r="C41" s="347">
        <f>IF(C6&gt;0,C6,0)*C4</f>
        <v>0</v>
      </c>
      <c r="D41" s="355" t="s">
        <v>231</v>
      </c>
    </row>
    <row r="42" spans="2:5" ht="15.75" customHeight="1" x14ac:dyDescent="0.2">
      <c r="B42" s="337" t="s">
        <v>63</v>
      </c>
      <c r="C42" s="347">
        <f>C18</f>
        <v>0</v>
      </c>
      <c r="D42" s="356" t="s">
        <v>187</v>
      </c>
    </row>
    <row r="43" spans="2:5" ht="15.75" customHeight="1" x14ac:dyDescent="0.2">
      <c r="B43" s="332" t="s">
        <v>65</v>
      </c>
      <c r="C43" s="347">
        <f>SUM(C25:C42)</f>
        <v>5313025</v>
      </c>
      <c r="D43" s="355" t="s">
        <v>188</v>
      </c>
      <c r="E43" s="54">
        <f>C4-C45</f>
        <v>0</v>
      </c>
    </row>
    <row r="44" spans="2:5" ht="15.75" customHeight="1" x14ac:dyDescent="0.2">
      <c r="B44" s="332" t="s">
        <v>67</v>
      </c>
      <c r="C44" s="347">
        <f>C5</f>
        <v>0</v>
      </c>
      <c r="D44" s="355" t="s">
        <v>397</v>
      </c>
    </row>
    <row r="45" spans="2:5" ht="15.75" customHeight="1" x14ac:dyDescent="0.2">
      <c r="B45" s="332" t="s">
        <v>232</v>
      </c>
      <c r="C45" s="353">
        <f>-1*(C44-C43)</f>
        <v>5313025</v>
      </c>
      <c r="D45" s="346"/>
    </row>
    <row r="46" spans="2:5" ht="15.75" customHeight="1" x14ac:dyDescent="0.2">
      <c r="B46" s="332" t="s">
        <v>233</v>
      </c>
      <c r="C46" s="357">
        <f>C45/C43</f>
        <v>1</v>
      </c>
      <c r="D46" s="346"/>
    </row>
    <row r="47" spans="2:5" ht="15.75" customHeight="1" x14ac:dyDescent="0.2">
      <c r="B47" s="39" t="s">
        <v>63</v>
      </c>
      <c r="C47" s="309"/>
      <c r="D47" s="211"/>
    </row>
    <row r="48" spans="2:5" ht="15.75" customHeight="1" x14ac:dyDescent="0.2">
      <c r="B48" s="40" t="s">
        <v>190</v>
      </c>
      <c r="C48" s="310"/>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75</v>
      </c>
      <c r="C59" s="313">
        <f t="shared" ref="C59:C64" si="1">C9*100</f>
        <v>7.391304347826086</v>
      </c>
      <c r="D59" s="183" t="s">
        <v>365</v>
      </c>
      <c r="E59" s="183">
        <v>0</v>
      </c>
      <c r="F59" s="183">
        <v>100</v>
      </c>
      <c r="G59" s="183">
        <v>1</v>
      </c>
      <c r="H59" s="12"/>
    </row>
    <row r="60" spans="2:8" ht="26.25" customHeight="1" x14ac:dyDescent="0.2">
      <c r="B60" s="200" t="s">
        <v>77</v>
      </c>
      <c r="C60" s="313">
        <f t="shared" si="1"/>
        <v>3.4782608695652169</v>
      </c>
      <c r="D60" s="183" t="s">
        <v>366</v>
      </c>
      <c r="E60" s="183">
        <v>0</v>
      </c>
      <c r="F60" s="183">
        <v>100</v>
      </c>
      <c r="G60" s="183">
        <v>1</v>
      </c>
      <c r="H60" s="463"/>
    </row>
    <row r="61" spans="2:8" ht="26.25" customHeight="1" x14ac:dyDescent="0.2">
      <c r="B61" s="200" t="s">
        <v>78</v>
      </c>
      <c r="C61" s="313">
        <f t="shared" si="1"/>
        <v>32.608695652173914</v>
      </c>
      <c r="D61" s="183" t="s">
        <v>367</v>
      </c>
      <c r="E61" s="183">
        <v>0</v>
      </c>
      <c r="F61" s="183">
        <v>100</v>
      </c>
      <c r="G61" s="183">
        <v>1</v>
      </c>
      <c r="H61" s="463"/>
    </row>
    <row r="62" spans="2:8" ht="26.25" customHeight="1" x14ac:dyDescent="0.2">
      <c r="B62" s="200" t="s">
        <v>79</v>
      </c>
      <c r="C62" s="313">
        <f t="shared" si="1"/>
        <v>0</v>
      </c>
      <c r="D62" s="183" t="s">
        <v>368</v>
      </c>
      <c r="E62" s="183">
        <v>0</v>
      </c>
      <c r="F62" s="183">
        <v>100</v>
      </c>
      <c r="G62" s="183">
        <v>1</v>
      </c>
      <c r="H62" s="463"/>
    </row>
    <row r="63" spans="2:8" ht="26.25" customHeight="1" x14ac:dyDescent="0.2">
      <c r="B63" s="316" t="s">
        <v>218</v>
      </c>
      <c r="C63" s="313">
        <f t="shared" si="1"/>
        <v>0</v>
      </c>
      <c r="D63" s="183" t="s">
        <v>395</v>
      </c>
      <c r="E63" s="183">
        <v>0</v>
      </c>
      <c r="F63" s="183">
        <v>100</v>
      </c>
      <c r="G63" s="183">
        <v>1</v>
      </c>
      <c r="H63" s="464"/>
    </row>
    <row r="64" spans="2:8" ht="26.25" customHeight="1" x14ac:dyDescent="0.2">
      <c r="B64" s="317" t="s">
        <v>370</v>
      </c>
      <c r="C64" s="313">
        <f t="shared" si="1"/>
        <v>10.869565217391303</v>
      </c>
      <c r="D64" s="183" t="s">
        <v>375</v>
      </c>
      <c r="E64" s="183">
        <v>0</v>
      </c>
      <c r="F64" s="183">
        <v>100</v>
      </c>
      <c r="G64" s="183">
        <v>1</v>
      </c>
      <c r="H64" s="12"/>
    </row>
    <row r="65" spans="2:8" ht="26.25" customHeight="1" x14ac:dyDescent="0.2">
      <c r="B65" s="200" t="s">
        <v>514</v>
      </c>
      <c r="C65" s="313">
        <v>0</v>
      </c>
      <c r="D65" s="183" t="s">
        <v>369</v>
      </c>
      <c r="E65" s="183">
        <v>0</v>
      </c>
      <c r="F65" s="183">
        <v>100</v>
      </c>
      <c r="G65" s="183">
        <v>1</v>
      </c>
      <c r="H65" s="12"/>
    </row>
    <row r="66" spans="2:8" ht="26.25" customHeight="1" x14ac:dyDescent="0.2">
      <c r="B66" s="200" t="s">
        <v>371</v>
      </c>
      <c r="C66" s="313">
        <f>C15*100</f>
        <v>0</v>
      </c>
      <c r="D66" s="183" t="s">
        <v>376</v>
      </c>
      <c r="E66" s="183">
        <v>0</v>
      </c>
      <c r="F66" s="183">
        <v>100</v>
      </c>
      <c r="G66" s="183">
        <v>1</v>
      </c>
      <c r="H66" s="12"/>
    </row>
    <row r="67" spans="2:8" ht="26.25" customHeight="1" x14ac:dyDescent="0.2">
      <c r="B67" s="200" t="s">
        <v>372</v>
      </c>
      <c r="C67" s="313">
        <f t="shared" ref="C67:C69" si="2">C16*100</f>
        <v>4.3478260869565206</v>
      </c>
      <c r="D67" s="183" t="s">
        <v>377</v>
      </c>
      <c r="E67" s="183">
        <v>0</v>
      </c>
      <c r="F67" s="183">
        <v>100</v>
      </c>
      <c r="G67" s="183">
        <v>1</v>
      </c>
      <c r="H67" s="38"/>
    </row>
    <row r="68" spans="2:8" ht="26.25" customHeight="1" x14ac:dyDescent="0.2">
      <c r="B68" s="200" t="s">
        <v>373</v>
      </c>
      <c r="C68" s="313">
        <f t="shared" si="2"/>
        <v>41.304347826086953</v>
      </c>
      <c r="D68" s="183" t="s">
        <v>378</v>
      </c>
      <c r="E68" s="183">
        <v>0</v>
      </c>
      <c r="F68" s="183">
        <v>100</v>
      </c>
      <c r="G68" s="183">
        <v>1</v>
      </c>
    </row>
    <row r="69" spans="2:8" ht="26.25" customHeight="1" x14ac:dyDescent="0.2">
      <c r="B69" s="200" t="s">
        <v>374</v>
      </c>
      <c r="C69" s="313">
        <f t="shared" si="2"/>
        <v>0</v>
      </c>
      <c r="D69" s="183" t="s">
        <v>379</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F19" sqref="F19"/>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3" t="s">
        <v>245</v>
      </c>
      <c r="C1" s="434" t="s">
        <v>246</v>
      </c>
      <c r="D1" s="434" t="s">
        <v>247</v>
      </c>
      <c r="E1" s="457" t="s">
        <v>536</v>
      </c>
      <c r="F1" s="1" t="s">
        <v>248</v>
      </c>
      <c r="H1" s="1">
        <v>590</v>
      </c>
      <c r="I1" s="1" t="s">
        <v>249</v>
      </c>
      <c r="J1" s="1" t="s">
        <v>250</v>
      </c>
    </row>
    <row r="2" spans="1:11" ht="14.25" customHeight="1" x14ac:dyDescent="0.2">
      <c r="A2" s="235"/>
      <c r="B2" s="432" t="s">
        <v>251</v>
      </c>
      <c r="C2" s="435">
        <v>29452.7</v>
      </c>
      <c r="D2" s="435">
        <v>47447.3</v>
      </c>
      <c r="E2" s="457"/>
      <c r="F2" s="56">
        <v>4.2</v>
      </c>
      <c r="G2" s="57">
        <v>3.44</v>
      </c>
      <c r="H2" s="58">
        <v>0.14199999999999999</v>
      </c>
      <c r="I2" s="1" t="s">
        <v>252</v>
      </c>
      <c r="J2" s="1">
        <v>2840.6945945945945</v>
      </c>
      <c r="K2" s="1">
        <v>7820.8297297297295</v>
      </c>
    </row>
    <row r="3" spans="1:11" ht="14.25" customHeight="1" x14ac:dyDescent="0.2">
      <c r="A3" s="235"/>
      <c r="B3" s="432" t="s">
        <v>253</v>
      </c>
      <c r="C3" s="435">
        <v>4691.5803648998108</v>
      </c>
      <c r="D3" s="435">
        <v>10584.396796704888</v>
      </c>
      <c r="E3" s="165"/>
    </row>
    <row r="4" spans="1:11" ht="14.25" customHeight="1" x14ac:dyDescent="0.2">
      <c r="A4" s="235"/>
      <c r="B4" s="432" t="s">
        <v>254</v>
      </c>
      <c r="C4" s="436">
        <v>110.15215893266695</v>
      </c>
      <c r="D4" s="436">
        <v>342.12947874289029</v>
      </c>
      <c r="E4" s="165"/>
      <c r="G4" s="129" t="s">
        <v>544</v>
      </c>
    </row>
    <row r="5" spans="1:11" ht="14.25" customHeight="1" x14ac:dyDescent="0.2">
      <c r="A5" s="235"/>
      <c r="B5" s="432" t="s">
        <v>255</v>
      </c>
      <c r="C5" s="436">
        <v>0</v>
      </c>
      <c r="D5" s="436">
        <v>9.3094769999999993</v>
      </c>
      <c r="E5" s="165"/>
      <c r="F5" s="1" t="s">
        <v>256</v>
      </c>
      <c r="G5" s="1" t="s">
        <v>257</v>
      </c>
      <c r="H5" s="1"/>
    </row>
    <row r="6" spans="1:11" ht="14.25" customHeight="1" x14ac:dyDescent="0.2">
      <c r="A6" s="468"/>
      <c r="B6" s="449" t="s">
        <v>258</v>
      </c>
      <c r="C6" s="437">
        <v>0.1</v>
      </c>
      <c r="D6" s="437">
        <v>0.08</v>
      </c>
      <c r="E6" s="467" t="s">
        <v>259</v>
      </c>
      <c r="F6" s="1" t="s">
        <v>260</v>
      </c>
      <c r="G6" s="450" t="s">
        <v>42</v>
      </c>
      <c r="H6" s="450" t="s">
        <v>45</v>
      </c>
      <c r="I6" s="450" t="s">
        <v>44</v>
      </c>
      <c r="J6" s="450" t="s">
        <v>46</v>
      </c>
      <c r="K6" s="451" t="s">
        <v>261</v>
      </c>
    </row>
    <row r="7" spans="1:11" ht="14.25" customHeight="1" x14ac:dyDescent="0.2">
      <c r="A7" s="469"/>
      <c r="B7" s="449" t="s">
        <v>262</v>
      </c>
      <c r="C7" s="437">
        <v>0.05</v>
      </c>
      <c r="D7" s="437">
        <v>0.08</v>
      </c>
      <c r="E7" s="467"/>
      <c r="F7" s="59" t="s">
        <v>49</v>
      </c>
      <c r="G7" s="452">
        <f>$C$6/SUM($C$6:$C$11)*$C$2*$C$4/($C$6/SUM($C$6:$C$11)*$C$2*$C$4+$D$6/SUM($D$6:$D$11)*$D$2*$D$4)</f>
        <v>0.2069326976244531</v>
      </c>
      <c r="H7" s="452">
        <f>$C$7/SUM($C$6:$C$11)*$C$2*$C$4/($C$7/SUM($C$6:$C$11)*$C$2*$C$4+$D$7/SUM($D$6:$D$11)*$D$2*$D$4)</f>
        <v>0.11540710008503202</v>
      </c>
      <c r="I7" s="452">
        <f>$C$8/SUM($C$6:$C$11)*$C$2*$C$4/($C$8/SUM($C$6:$C$11)*$C$2*$C$4+$D$8/SUM($D$6:$D$11)*$D$2*$D$4)</f>
        <v>0.34290677190492669</v>
      </c>
      <c r="J7" s="452">
        <f>$C$9/SUM($C$6:$C$11)*$C$2*$C$4/($C$9/SUM($C$6:$C$11)*$C$2*$C$4+$D$9/SUM($D$6:$D$11)*$D$2*$D$4)</f>
        <v>0.30905990962339219</v>
      </c>
      <c r="K7" s="453">
        <f>$C$10/SUM($C$6:$C$11)*$C$2*$C$4/($C$10/SUM($C$6:$C$11)*$C$2*$C$4+$D$10/SUM($D$6:$D$11)*$D$2*$D$4)</f>
        <v>4.6201189986377074E-2</v>
      </c>
    </row>
    <row r="8" spans="1:11" ht="14.25" customHeight="1" x14ac:dyDescent="0.2">
      <c r="A8" s="469"/>
      <c r="B8" s="449" t="s">
        <v>263</v>
      </c>
      <c r="C8" s="437">
        <v>0.2</v>
      </c>
      <c r="D8" s="437">
        <v>0.08</v>
      </c>
      <c r="E8" s="467"/>
      <c r="F8" s="59" t="s">
        <v>51</v>
      </c>
      <c r="G8" s="452">
        <f>$D$6/SUM($D$6:$D$11)*$D$2*$D$4/($C$6/SUM($C$6:$C$11)*$C$2*$C$4+$D$6/SUM($D$6:$D$11)*$D$2*$D$4)</f>
        <v>0.7930673023755469</v>
      </c>
      <c r="H8" s="452">
        <f>$D$7/SUM($D$6:$D$11)*$D$2*$D$4/($C$7/SUM($C$6:$C$11)*$C$2*$C$4+$D$7/SUM($D$6:$D$11)*$D$2*$D$4)</f>
        <v>0.88459289991496803</v>
      </c>
      <c r="I8" s="452">
        <f>$D$8/SUM($D$6:$D$11)*$D$2*$D$4/($C$8/SUM($C$6:$C$11)*$C$2*$C$4+$D$8/SUM($D$6:$D$11)*$D$2*$D$4)</f>
        <v>0.65709322809507331</v>
      </c>
      <c r="J8" s="452">
        <f>$D$9/SUM($D$6:$D$11)*$D$2*$D$4/($C$9/SUM($C$6:$C$11)*$C$2*$C$4+$D$9/SUM($D$6:$D$11)*$D$2*$D$4)</f>
        <v>0.69094009037660786</v>
      </c>
      <c r="K8" s="453">
        <f>$D$10/SUM($D$6:$D$11)*$D$2*$D$4/($C$10/SUM($C$6:$C$11)*$C$2*$C$4+$D$10/SUM($D$6:$D$11)*$D$2*$D$4)</f>
        <v>0.95379881001362288</v>
      </c>
    </row>
    <row r="9" spans="1:11" ht="14.25" customHeight="1" x14ac:dyDescent="0.2">
      <c r="A9" s="469"/>
      <c r="B9" s="449" t="s">
        <v>264</v>
      </c>
      <c r="C9" s="437">
        <v>0.15</v>
      </c>
      <c r="D9" s="437">
        <v>7.0000000000000007E-2</v>
      </c>
      <c r="E9" s="467"/>
      <c r="F9" s="59"/>
      <c r="G9" s="454">
        <f>G8+G7</f>
        <v>1</v>
      </c>
      <c r="H9" s="454">
        <f t="shared" ref="H9:K9" si="0">H8+H7</f>
        <v>1</v>
      </c>
      <c r="I9" s="454">
        <f t="shared" si="0"/>
        <v>1</v>
      </c>
      <c r="J9" s="454">
        <f t="shared" si="0"/>
        <v>1</v>
      </c>
      <c r="K9" s="454">
        <f t="shared" si="0"/>
        <v>1</v>
      </c>
    </row>
    <row r="10" spans="1:11" ht="14.25" customHeight="1" x14ac:dyDescent="0.2">
      <c r="A10" s="469"/>
      <c r="B10" s="449" t="s">
        <v>265</v>
      </c>
      <c r="C10" s="437">
        <v>5.61865E-2</v>
      </c>
      <c r="D10" s="437">
        <v>0.2421278</v>
      </c>
      <c r="E10" s="467"/>
      <c r="G10" s="23"/>
      <c r="H10" s="23"/>
    </row>
    <row r="11" spans="1:11" ht="14.25" customHeight="1" x14ac:dyDescent="0.2">
      <c r="A11" s="470"/>
      <c r="B11" s="449" t="s">
        <v>266</v>
      </c>
      <c r="C11" s="437">
        <v>1.06572E-2</v>
      </c>
      <c r="D11" s="437">
        <v>3.9919299999999998E-2</v>
      </c>
      <c r="E11" s="467"/>
      <c r="G11" s="1" t="s">
        <v>267</v>
      </c>
      <c r="H11" s="23"/>
    </row>
    <row r="12" spans="1:11" ht="14.25" customHeight="1" x14ac:dyDescent="0.2">
      <c r="A12" s="15"/>
      <c r="B12" s="55" t="s">
        <v>543</v>
      </c>
      <c r="C12" s="55"/>
      <c r="D12" s="55"/>
      <c r="F12" s="1" t="s">
        <v>268</v>
      </c>
      <c r="G12" s="455">
        <f>$C$6/SUM($C$6:$C$11)*$C$2*$C$4</f>
        <v>572340.92773654545</v>
      </c>
      <c r="H12" s="455">
        <f>$D$6/SUM($D$6:$D$11)*$D$2*$D$4</f>
        <v>2193490.3512585452</v>
      </c>
    </row>
    <row r="13" spans="1:11" ht="14.25" customHeight="1" x14ac:dyDescent="0.2">
      <c r="A13" s="465" t="s">
        <v>541</v>
      </c>
      <c r="B13" s="431" t="s">
        <v>269</v>
      </c>
      <c r="C13" s="437">
        <v>9.1366799999999998E-2</v>
      </c>
      <c r="D13" s="437">
        <v>0.11561250000000001</v>
      </c>
      <c r="E13" s="471" t="s">
        <v>259</v>
      </c>
      <c r="F13" s="23" t="s">
        <v>261</v>
      </c>
      <c r="G13" s="455">
        <f>$C$10/SUM($C$6:$C$11)*$C$2*$C$4</f>
        <v>321578.33536269405</v>
      </c>
      <c r="H13" s="455">
        <f>$D$10/SUM($D$6:$D$11)*$D$2*$D$4</f>
        <v>6638812.4133932348</v>
      </c>
    </row>
    <row r="14" spans="1:11" ht="14.25" customHeight="1" x14ac:dyDescent="0.2">
      <c r="A14" s="466"/>
      <c r="B14" s="431" t="s">
        <v>270</v>
      </c>
      <c r="C14" s="437">
        <v>0</v>
      </c>
      <c r="D14" s="437">
        <v>0</v>
      </c>
      <c r="E14" s="471"/>
      <c r="F14" s="23" t="s">
        <v>271</v>
      </c>
      <c r="G14" s="456">
        <f t="shared" ref="G14:H14" si="1">C11/SUM(C6:C11)*C2*C4</f>
        <v>60995.517350739108</v>
      </c>
      <c r="H14" s="456">
        <f t="shared" si="1"/>
        <v>1094532.4922374405</v>
      </c>
    </row>
    <row r="15" spans="1:11" ht="14.25" customHeight="1" x14ac:dyDescent="0.2">
      <c r="A15" s="466"/>
      <c r="B15" s="431" t="s">
        <v>272</v>
      </c>
      <c r="C15" s="437">
        <v>0</v>
      </c>
      <c r="D15" s="437">
        <v>0</v>
      </c>
      <c r="E15" s="471"/>
      <c r="F15" s="23" t="s">
        <v>190</v>
      </c>
      <c r="G15" s="456">
        <f t="shared" ref="G15:H15" si="2">C2*C4</f>
        <v>3244278.4913961599</v>
      </c>
      <c r="H15" s="456">
        <f t="shared" si="2"/>
        <v>16233120.016757539</v>
      </c>
    </row>
    <row r="16" spans="1:11" ht="14.25" customHeight="1" x14ac:dyDescent="0.2">
      <c r="A16" s="466"/>
      <c r="B16" s="431" t="s">
        <v>273</v>
      </c>
      <c r="C16" s="437">
        <v>0.41068729999999998</v>
      </c>
      <c r="D16" s="437">
        <v>0.35118470000000002</v>
      </c>
      <c r="E16" s="471"/>
      <c r="G16" s="455">
        <f t="shared" ref="G16:H16" si="3">SUM(G12:G14)</f>
        <v>954914.78044997854</v>
      </c>
      <c r="H16" s="455">
        <f t="shared" si="3"/>
        <v>9926835.2568892203</v>
      </c>
    </row>
    <row r="17" spans="1:5" ht="14.25" customHeight="1" x14ac:dyDescent="0.2">
      <c r="A17" s="466"/>
      <c r="B17" s="431" t="s">
        <v>274</v>
      </c>
      <c r="C17" s="437">
        <v>0</v>
      </c>
      <c r="D17" s="437">
        <v>0</v>
      </c>
      <c r="E17" s="471"/>
    </row>
    <row r="18" spans="1:5" ht="14.25" customHeight="1" x14ac:dyDescent="0.2">
      <c r="A18" s="466"/>
      <c r="B18" s="431" t="s">
        <v>275</v>
      </c>
      <c r="C18" s="437">
        <v>0</v>
      </c>
      <c r="D18" s="437">
        <v>0</v>
      </c>
      <c r="E18" s="471"/>
    </row>
    <row r="19" spans="1:5" ht="14.25" customHeight="1" x14ac:dyDescent="0.2">
      <c r="A19" s="466"/>
      <c r="B19" s="431" t="s">
        <v>276</v>
      </c>
      <c r="C19" s="437">
        <v>0</v>
      </c>
      <c r="D19" s="437">
        <v>5.1514000000000004E-3</v>
      </c>
      <c r="E19" s="471"/>
    </row>
    <row r="20" spans="1:5" ht="14.25" customHeight="1" x14ac:dyDescent="0.2">
      <c r="A20" s="466"/>
      <c r="B20" s="431" t="s">
        <v>277</v>
      </c>
      <c r="C20" s="437">
        <v>0.32233099999999998</v>
      </c>
      <c r="D20" s="437">
        <v>0.40070909999999998</v>
      </c>
      <c r="E20" s="471"/>
    </row>
    <row r="21" spans="1:5" ht="14.25" customHeight="1" x14ac:dyDescent="0.2">
      <c r="A21" s="466"/>
      <c r="B21" s="439" t="s">
        <v>278</v>
      </c>
      <c r="C21" s="437">
        <v>3.7947300000000003E-2</v>
      </c>
      <c r="D21" s="448">
        <v>2.4188999999999999E-2</v>
      </c>
      <c r="E21" s="471"/>
    </row>
    <row r="22" spans="1:5" ht="14.25" customHeight="1" x14ac:dyDescent="0.2">
      <c r="A22" s="466"/>
      <c r="B22" s="440" t="s">
        <v>279</v>
      </c>
      <c r="C22" s="438">
        <v>0</v>
      </c>
      <c r="D22" s="447">
        <v>1.8204E-3</v>
      </c>
      <c r="E22" s="471"/>
    </row>
    <row r="23" spans="1:5" ht="14.25" customHeight="1" x14ac:dyDescent="0.2">
      <c r="A23" s="466"/>
      <c r="B23" s="441" t="s">
        <v>280</v>
      </c>
      <c r="C23" s="447">
        <v>0</v>
      </c>
      <c r="D23" s="442">
        <v>2.7959999999999999E-3</v>
      </c>
      <c r="E23" s="471"/>
    </row>
    <row r="24" spans="1:5" ht="14.25" customHeight="1" x14ac:dyDescent="0.2">
      <c r="A24" s="443"/>
      <c r="B24" s="444" t="s">
        <v>281</v>
      </c>
      <c r="C24" s="445">
        <f>SUM(C13:C23)</f>
        <v>0.8623324</v>
      </c>
      <c r="D24" s="446">
        <f>SUM(D13:D23)</f>
        <v>0.90146310000000007</v>
      </c>
      <c r="E24" s="24" t="s">
        <v>542</v>
      </c>
    </row>
    <row r="25" spans="1:5" ht="14.25" customHeight="1" x14ac:dyDescent="0.2">
      <c r="B25" s="12"/>
    </row>
    <row r="26" spans="1:5" ht="14.25" customHeight="1" x14ac:dyDescent="0.2">
      <c r="B26" s="158" t="s">
        <v>539</v>
      </c>
      <c r="C26" s="61"/>
      <c r="D26" s="61"/>
    </row>
    <row r="27" spans="1:5" ht="14.25" customHeight="1" x14ac:dyDescent="0.2">
      <c r="B27" s="329" t="s">
        <v>282</v>
      </c>
      <c r="C27" s="330" t="s">
        <v>49</v>
      </c>
      <c r="D27" s="331" t="s">
        <v>51</v>
      </c>
    </row>
    <row r="28" spans="1:5" ht="14.25" customHeight="1" x14ac:dyDescent="0.2">
      <c r="B28" s="332" t="s">
        <v>34</v>
      </c>
      <c r="C28" s="333">
        <f t="shared" ref="C28:D28" si="4">C$2*C$4*C16/SUM(C13:C23)</f>
        <v>1545093.2541553143</v>
      </c>
      <c r="D28" s="333">
        <f t="shared" si="4"/>
        <v>6323967.5402675839</v>
      </c>
      <c r="E28" s="1" t="s">
        <v>283</v>
      </c>
    </row>
    <row r="29" spans="1:5" ht="14.25" customHeight="1" x14ac:dyDescent="0.2">
      <c r="B29" s="334" t="s">
        <v>36</v>
      </c>
      <c r="C29" s="335">
        <v>0</v>
      </c>
      <c r="D29" s="336" t="s">
        <v>284</v>
      </c>
    </row>
    <row r="30" spans="1:5" ht="14.25" customHeight="1" x14ac:dyDescent="0.2">
      <c r="B30" s="332" t="s">
        <v>38</v>
      </c>
      <c r="C30" s="333">
        <f t="shared" ref="C30:D30" si="5">C2*C4*SUM(C13:C15,C18,C20)/SUM(C13:C23)</f>
        <v>1556419.3975292013</v>
      </c>
      <c r="D30" s="333">
        <f t="shared" si="5"/>
        <v>9297674.5249409284</v>
      </c>
      <c r="E30" s="1" t="s">
        <v>285</v>
      </c>
    </row>
    <row r="31" spans="1:5" ht="14.25" customHeight="1" x14ac:dyDescent="0.2">
      <c r="B31" s="332" t="s">
        <v>40</v>
      </c>
      <c r="C31" s="333">
        <f t="shared" ref="C31:D31" si="6">C2*C4*C17/SUM(C13:C23)</f>
        <v>0</v>
      </c>
      <c r="D31" s="333">
        <f t="shared" si="6"/>
        <v>0</v>
      </c>
      <c r="E31" s="1" t="s">
        <v>286</v>
      </c>
    </row>
    <row r="32" spans="1:5" ht="14.25" customHeight="1" x14ac:dyDescent="0.2">
      <c r="B32" s="334" t="s">
        <v>42</v>
      </c>
      <c r="C32" s="333">
        <v>0</v>
      </c>
      <c r="D32" s="333">
        <v>0</v>
      </c>
      <c r="E32" s="1" t="s">
        <v>287</v>
      </c>
    </row>
    <row r="33" spans="2:5" ht="14.25" customHeight="1" x14ac:dyDescent="0.2">
      <c r="B33" s="334" t="s">
        <v>44</v>
      </c>
      <c r="C33" s="333">
        <v>0</v>
      </c>
      <c r="D33" s="333">
        <v>0</v>
      </c>
      <c r="E33" s="1" t="s">
        <v>287</v>
      </c>
    </row>
    <row r="34" spans="2:5" ht="14.25" customHeight="1" x14ac:dyDescent="0.2">
      <c r="B34" s="334" t="s">
        <v>45</v>
      </c>
      <c r="C34" s="333">
        <v>0</v>
      </c>
      <c r="D34" s="333">
        <v>0</v>
      </c>
      <c r="E34" s="1" t="s">
        <v>287</v>
      </c>
    </row>
    <row r="35" spans="2:5" ht="14.25" customHeight="1" x14ac:dyDescent="0.2">
      <c r="B35" s="334" t="s">
        <v>46</v>
      </c>
      <c r="C35" s="333">
        <v>0</v>
      </c>
      <c r="D35" s="333">
        <v>0</v>
      </c>
      <c r="E35" s="1" t="s">
        <v>287</v>
      </c>
    </row>
    <row r="36" spans="2:5" ht="14.25" customHeight="1" x14ac:dyDescent="0.2">
      <c r="B36" s="332" t="s">
        <v>47</v>
      </c>
      <c r="C36" s="333">
        <f t="shared" ref="C36:D36" si="7">C2*C4*C22/SUM(C13:C23)</f>
        <v>0</v>
      </c>
      <c r="D36" s="333">
        <f t="shared" si="7"/>
        <v>32780.899937563081</v>
      </c>
      <c r="E36" s="1" t="s">
        <v>288</v>
      </c>
    </row>
    <row r="37" spans="2:5" ht="14.25" customHeight="1" x14ac:dyDescent="0.2">
      <c r="B37" s="332" t="s">
        <v>49</v>
      </c>
      <c r="C37" s="333">
        <v>0</v>
      </c>
      <c r="D37" s="333">
        <v>0</v>
      </c>
      <c r="E37" s="1" t="s">
        <v>289</v>
      </c>
    </row>
    <row r="38" spans="2:5" ht="14.25" customHeight="1" x14ac:dyDescent="0.2">
      <c r="B38" s="332" t="s">
        <v>51</v>
      </c>
      <c r="C38" s="333">
        <v>0</v>
      </c>
      <c r="D38" s="333">
        <v>0</v>
      </c>
      <c r="E38" s="1" t="s">
        <v>289</v>
      </c>
    </row>
    <row r="39" spans="2:5" ht="14.25" customHeight="1" x14ac:dyDescent="0.2">
      <c r="B39" s="332" t="s">
        <v>52</v>
      </c>
      <c r="C39" s="333">
        <f t="shared" ref="C39:D39" si="8">C2*C4*C19/SUM(C13:C23)</f>
        <v>0</v>
      </c>
      <c r="D39" s="333">
        <f t="shared" si="8"/>
        <v>92763.968324743168</v>
      </c>
      <c r="E39" s="1" t="s">
        <v>290</v>
      </c>
    </row>
    <row r="40" spans="2:5" ht="14.25" customHeight="1" x14ac:dyDescent="0.2">
      <c r="B40" s="332" t="s">
        <v>54</v>
      </c>
      <c r="C40" s="333">
        <v>0</v>
      </c>
      <c r="D40" s="333">
        <v>0</v>
      </c>
      <c r="E40" s="1" t="s">
        <v>291</v>
      </c>
    </row>
    <row r="41" spans="2:5" ht="14.25" customHeight="1" x14ac:dyDescent="0.2">
      <c r="B41" s="332" t="s">
        <v>56</v>
      </c>
      <c r="C41" s="333">
        <v>0</v>
      </c>
      <c r="D41" s="333">
        <v>0</v>
      </c>
      <c r="E41" s="1" t="s">
        <v>292</v>
      </c>
    </row>
    <row r="42" spans="2:5" ht="14.25" customHeight="1" x14ac:dyDescent="0.2">
      <c r="B42" s="332" t="s">
        <v>58</v>
      </c>
      <c r="C42" s="333">
        <v>0</v>
      </c>
      <c r="D42" s="333">
        <v>0</v>
      </c>
      <c r="E42" s="1" t="s">
        <v>293</v>
      </c>
    </row>
    <row r="43" spans="2:5" ht="14.25" customHeight="1" x14ac:dyDescent="0.2">
      <c r="B43" s="332" t="s">
        <v>61</v>
      </c>
      <c r="C43" s="333">
        <f t="shared" ref="C43:D43" si="9">C2*C4*C23/SUM(C13:C23)</f>
        <v>0</v>
      </c>
      <c r="D43" s="333">
        <f t="shared" si="9"/>
        <v>50349.042092631491</v>
      </c>
      <c r="E43" s="1" t="s">
        <v>294</v>
      </c>
    </row>
    <row r="44" spans="2:5" ht="14.25" customHeight="1" x14ac:dyDescent="0.2">
      <c r="B44" s="337" t="s">
        <v>63</v>
      </c>
      <c r="C44" s="333">
        <f t="shared" ref="C44:D44" si="10">C2*C4*C21/SUM(C13:C23)</f>
        <v>142765.83971164425</v>
      </c>
      <c r="D44" s="333">
        <f t="shared" si="10"/>
        <v>435584.04119408556</v>
      </c>
      <c r="E44" s="1" t="s">
        <v>295</v>
      </c>
    </row>
    <row r="45" spans="2:5" ht="14.25" customHeight="1" x14ac:dyDescent="0.2">
      <c r="B45" s="332" t="s">
        <v>65</v>
      </c>
      <c r="C45" s="333">
        <f t="shared" ref="C45:D45" si="11">SUM(C28:C44)</f>
        <v>3244278.4913961599</v>
      </c>
      <c r="D45" s="338">
        <f t="shared" si="11"/>
        <v>16233120.016757535</v>
      </c>
      <c r="E45" s="1" t="s">
        <v>296</v>
      </c>
    </row>
    <row r="46" spans="2:5" ht="14.25" customHeight="1" x14ac:dyDescent="0.2">
      <c r="B46" s="332" t="s">
        <v>67</v>
      </c>
      <c r="C46" s="339">
        <f t="shared" ref="C46:D46" si="12">C2*C4</f>
        <v>3244278.4913961599</v>
      </c>
      <c r="D46" s="340">
        <f t="shared" si="12"/>
        <v>16233120.016757539</v>
      </c>
      <c r="E46" s="1" t="s">
        <v>297</v>
      </c>
    </row>
    <row r="47" spans="2:5" ht="14.25" customHeight="1" x14ac:dyDescent="0.2">
      <c r="B47" s="332" t="s">
        <v>69</v>
      </c>
      <c r="C47" s="333">
        <f t="shared" ref="C47:D47" si="13">C46-C45</f>
        <v>0</v>
      </c>
      <c r="D47" s="338">
        <f t="shared" si="13"/>
        <v>0</v>
      </c>
    </row>
    <row r="48" spans="2:5" ht="14.25" customHeight="1" x14ac:dyDescent="0.2">
      <c r="B48" s="341" t="s">
        <v>71</v>
      </c>
      <c r="C48" s="342">
        <f t="shared" ref="C48:D48" si="14">C47/C46</f>
        <v>0</v>
      </c>
      <c r="D48" s="343">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8">
        <f t="shared" si="15"/>
        <v>29452.7</v>
      </c>
      <c r="D55" s="183" t="s">
        <v>299</v>
      </c>
      <c r="E55" s="183">
        <v>0</v>
      </c>
      <c r="F55" s="183">
        <v>1000000</v>
      </c>
      <c r="G55" s="183">
        <v>1</v>
      </c>
      <c r="I55" s="183" t="str">
        <f>B2</f>
        <v>What is the population of the communities constituting this local economy? (Number of people)</v>
      </c>
      <c r="J55" s="327">
        <f>D2</f>
        <v>47447.3</v>
      </c>
      <c r="K55" s="183" t="s">
        <v>298</v>
      </c>
      <c r="L55" s="183">
        <v>0</v>
      </c>
      <c r="M55" s="183">
        <v>1000000</v>
      </c>
      <c r="N55" s="183">
        <v>1</v>
      </c>
    </row>
    <row r="56" spans="2:14" ht="14.25" customHeight="1" x14ac:dyDescent="0.2">
      <c r="B56" s="183" t="str">
        <f t="shared" ref="B56:C56" si="16">B3</f>
        <v>How many households are in this local economy? (Number of households)</v>
      </c>
      <c r="C56" s="328">
        <f t="shared" si="16"/>
        <v>4691.5803648998108</v>
      </c>
      <c r="D56" s="183" t="s">
        <v>301</v>
      </c>
      <c r="E56" s="183">
        <v>0</v>
      </c>
      <c r="F56" s="183">
        <v>1000000</v>
      </c>
      <c r="G56" s="183">
        <v>1</v>
      </c>
      <c r="I56" s="183" t="str">
        <f>B3</f>
        <v>How many households are in this local economy? (Number of households)</v>
      </c>
      <c r="J56" s="327">
        <f>D3</f>
        <v>10584.396796704888</v>
      </c>
      <c r="K56" s="183" t="s">
        <v>300</v>
      </c>
      <c r="L56" s="183">
        <v>0</v>
      </c>
      <c r="M56" s="183">
        <v>1000000</v>
      </c>
      <c r="N56" s="183">
        <v>1</v>
      </c>
    </row>
    <row r="57" spans="2:14" ht="14.25" customHeight="1" x14ac:dyDescent="0.2">
      <c r="B57" s="183" t="str">
        <f t="shared" ref="B57:C57" si="17">B4</f>
        <v>About what is the average annual per-capita income of households in this region (US$)?</v>
      </c>
      <c r="C57" s="328">
        <f t="shared" si="17"/>
        <v>110.15215893266695</v>
      </c>
      <c r="D57" s="183" t="s">
        <v>303</v>
      </c>
      <c r="E57" s="183">
        <v>0</v>
      </c>
      <c r="F57" s="183">
        <v>1000000</v>
      </c>
      <c r="G57" s="183">
        <v>1</v>
      </c>
      <c r="I57" s="183" t="str">
        <f>B4</f>
        <v>About what is the average annual per-capita income of households in this region (US$)?</v>
      </c>
      <c r="J57" s="328">
        <f>D4</f>
        <v>342.12947874289029</v>
      </c>
      <c r="K57" s="183" t="s">
        <v>302</v>
      </c>
      <c r="L57" s="183">
        <v>0</v>
      </c>
      <c r="M57" s="183">
        <v>1000000</v>
      </c>
      <c r="N57" s="183">
        <v>1</v>
      </c>
    </row>
    <row r="58" spans="2:14" ht="14.25" customHeight="1" x14ac:dyDescent="0.2">
      <c r="B58" s="183" t="str">
        <f t="shared" ref="B58:C58" si="18">B5</f>
        <v>About what is the average annual government transfers (e.g., SCTs) to households in this region?</v>
      </c>
      <c r="C58" s="328">
        <f t="shared" si="18"/>
        <v>0</v>
      </c>
      <c r="D58" s="183" t="s">
        <v>305</v>
      </c>
      <c r="E58" s="183">
        <v>0</v>
      </c>
      <c r="F58" s="183">
        <v>1000000</v>
      </c>
      <c r="G58" s="183">
        <v>1</v>
      </c>
      <c r="I58" s="183" t="str">
        <f>B5</f>
        <v>About what is the average annual government transfers (e.g., SCTs) to households in this region?</v>
      </c>
      <c r="J58" s="328">
        <f>D5</f>
        <v>9.3094769999999993</v>
      </c>
      <c r="K58" s="183" t="s">
        <v>304</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385</v>
      </c>
      <c r="E60" s="183">
        <v>0</v>
      </c>
      <c r="F60" s="183">
        <v>100</v>
      </c>
      <c r="G60" s="183">
        <v>0.01</v>
      </c>
      <c r="I60" s="183" t="str">
        <f>B60</f>
        <v>About what % of household income comes from wages earned by male unskilled workers in the household?</v>
      </c>
      <c r="J60" s="183">
        <f>D6*100</f>
        <v>8</v>
      </c>
      <c r="K60" s="183" t="s">
        <v>389</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386</v>
      </c>
      <c r="E61" s="183">
        <v>0</v>
      </c>
      <c r="F61" s="183">
        <v>100</v>
      </c>
      <c r="G61" s="183">
        <v>0.01</v>
      </c>
      <c r="I61" s="183" t="str">
        <f t="shared" ref="I61:I65" si="21">B61</f>
        <v>About what % of household income comes from wages earned by male skilled workers in the household?</v>
      </c>
      <c r="J61" s="183">
        <f t="shared" ref="J61:J65" si="22">D7*100</f>
        <v>8</v>
      </c>
      <c r="K61" s="183" t="s">
        <v>390</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387</v>
      </c>
      <c r="E62" s="183">
        <v>0</v>
      </c>
      <c r="F62" s="183">
        <v>100</v>
      </c>
      <c r="G62" s="183">
        <v>0.01</v>
      </c>
      <c r="I62" s="183" t="str">
        <f t="shared" si="21"/>
        <v>About what % of household income comes from wages earned by female unskilled workers in the household?</v>
      </c>
      <c r="J62" s="183">
        <f t="shared" si="22"/>
        <v>8</v>
      </c>
      <c r="K62" s="183" t="s">
        <v>391</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388</v>
      </c>
      <c r="E63" s="183">
        <v>0</v>
      </c>
      <c r="F63" s="183">
        <v>100</v>
      </c>
      <c r="G63" s="183">
        <v>0.01</v>
      </c>
      <c r="I63" s="183" t="str">
        <f t="shared" si="21"/>
        <v>About what % of household income comes from wages earned by female skilled workers in the household?</v>
      </c>
      <c r="J63" s="183">
        <f t="shared" si="22"/>
        <v>7.0000000000000009</v>
      </c>
      <c r="K63" s="183" t="s">
        <v>392</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307</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306</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309</v>
      </c>
      <c r="E65" s="183">
        <v>0</v>
      </c>
      <c r="F65" s="183">
        <v>100</v>
      </c>
      <c r="G65" s="183">
        <v>0.01</v>
      </c>
      <c r="I65" s="183" t="str">
        <f t="shared" si="21"/>
        <v>About what % of household incomes comes from migrant remittances (domestic and foreign?</v>
      </c>
      <c r="J65" s="183">
        <f t="shared" si="22"/>
        <v>3.99193</v>
      </c>
      <c r="K65" s="183" t="s">
        <v>308</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311</v>
      </c>
      <c r="E68" s="183">
        <v>0</v>
      </c>
      <c r="F68" s="183">
        <v>100</v>
      </c>
      <c r="G68" s="183">
        <v>0.01</v>
      </c>
      <c r="I68" s="183" t="str">
        <f t="shared" ref="I68:I79" si="27">B13</f>
        <v>Food bought from Local grocery stores</v>
      </c>
      <c r="J68" s="183">
        <f t="shared" ref="J68:J79" si="28">D13*100</f>
        <v>11.561250000000001</v>
      </c>
      <c r="K68" s="183" t="s">
        <v>310</v>
      </c>
      <c r="L68" s="183">
        <v>0</v>
      </c>
      <c r="M68" s="183">
        <v>100</v>
      </c>
      <c r="N68" s="183">
        <v>0.01</v>
      </c>
    </row>
    <row r="69" spans="2:14" ht="14.25" customHeight="1" x14ac:dyDescent="0.2">
      <c r="B69" s="183" t="str">
        <f t="shared" si="25"/>
        <v>Other goods from local grocery stores</v>
      </c>
      <c r="C69" s="183">
        <f t="shared" si="26"/>
        <v>0</v>
      </c>
      <c r="D69" s="183" t="s">
        <v>313</v>
      </c>
      <c r="E69" s="183">
        <v>0</v>
      </c>
      <c r="F69" s="183">
        <v>100</v>
      </c>
      <c r="G69" s="183">
        <v>0.01</v>
      </c>
      <c r="I69" s="183" t="str">
        <f t="shared" si="27"/>
        <v>Other goods from local grocery stores</v>
      </c>
      <c r="J69" s="183">
        <f t="shared" si="28"/>
        <v>0</v>
      </c>
      <c r="K69" s="183" t="s">
        <v>312</v>
      </c>
      <c r="L69" s="183">
        <v>0</v>
      </c>
      <c r="M69" s="183">
        <v>100</v>
      </c>
      <c r="N69" s="183">
        <v>0.01</v>
      </c>
    </row>
    <row r="70" spans="2:14" ht="14.25" customHeight="1" x14ac:dyDescent="0.2">
      <c r="B70" s="183" t="str">
        <f t="shared" si="25"/>
        <v>Food from Periodic markets</v>
      </c>
      <c r="C70" s="183">
        <f t="shared" si="26"/>
        <v>0</v>
      </c>
      <c r="D70" s="183" t="s">
        <v>315</v>
      </c>
      <c r="E70" s="183">
        <v>0</v>
      </c>
      <c r="F70" s="183">
        <v>100</v>
      </c>
      <c r="G70" s="183">
        <v>0.01</v>
      </c>
      <c r="I70" s="183" t="str">
        <f t="shared" si="27"/>
        <v>Food from Periodic markets</v>
      </c>
      <c r="J70" s="183">
        <f t="shared" si="28"/>
        <v>0</v>
      </c>
      <c r="K70" s="183" t="s">
        <v>314</v>
      </c>
      <c r="L70" s="183">
        <v>0</v>
      </c>
      <c r="M70" s="183">
        <v>100</v>
      </c>
      <c r="N70" s="183">
        <v>0.01</v>
      </c>
    </row>
    <row r="71" spans="2:14" ht="14.25" customHeight="1" x14ac:dyDescent="0.2">
      <c r="B71" s="183" t="str">
        <f t="shared" si="25"/>
        <v>Buying food direct from local farmers or your own farm</v>
      </c>
      <c r="C71" s="183">
        <f t="shared" si="26"/>
        <v>41.068729999999995</v>
      </c>
      <c r="D71" s="183" t="s">
        <v>317</v>
      </c>
      <c r="E71" s="183">
        <v>0</v>
      </c>
      <c r="F71" s="183">
        <v>100</v>
      </c>
      <c r="G71" s="183">
        <v>0.01</v>
      </c>
      <c r="I71" s="183" t="str">
        <f t="shared" si="27"/>
        <v>Buying food direct from local farmers or your own farm</v>
      </c>
      <c r="J71" s="183">
        <f t="shared" si="28"/>
        <v>35.118470000000002</v>
      </c>
      <c r="K71" s="183" t="s">
        <v>316</v>
      </c>
      <c r="L71" s="183">
        <v>0</v>
      </c>
      <c r="M71" s="183">
        <v>100</v>
      </c>
      <c r="N71" s="183">
        <v>0.01</v>
      </c>
    </row>
    <row r="72" spans="2:14" ht="14.25" customHeight="1" x14ac:dyDescent="0.2">
      <c r="B72" s="183" t="str">
        <f t="shared" si="25"/>
        <v>Buying local fish</v>
      </c>
      <c r="C72" s="183">
        <f t="shared" si="26"/>
        <v>0</v>
      </c>
      <c r="D72" s="183" t="s">
        <v>319</v>
      </c>
      <c r="E72" s="183">
        <v>0</v>
      </c>
      <c r="F72" s="183">
        <v>100</v>
      </c>
      <c r="G72" s="183">
        <v>0.01</v>
      </c>
      <c r="I72" s="183" t="str">
        <f t="shared" si="27"/>
        <v>Buying local fish</v>
      </c>
      <c r="J72" s="183">
        <f t="shared" si="28"/>
        <v>0</v>
      </c>
      <c r="K72" s="183" t="s">
        <v>318</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321</v>
      </c>
      <c r="E73" s="183">
        <v>0</v>
      </c>
      <c r="F73" s="183">
        <v>100</v>
      </c>
      <c r="G73" s="183">
        <v>0.01</v>
      </c>
      <c r="I73" s="183" t="str">
        <f t="shared" si="27"/>
        <v>Buying from local food processors, including neighbors who sell foods they prepare for sale</v>
      </c>
      <c r="J73" s="183">
        <f t="shared" si="28"/>
        <v>0</v>
      </c>
      <c r="K73" s="183" t="s">
        <v>320</v>
      </c>
      <c r="L73" s="183">
        <v>0</v>
      </c>
      <c r="M73" s="183">
        <v>100</v>
      </c>
      <c r="N73" s="183">
        <v>0.01</v>
      </c>
    </row>
    <row r="74" spans="2:14" ht="14.25" customHeight="1" x14ac:dyDescent="0.2">
      <c r="B74" s="183" t="str">
        <f t="shared" si="25"/>
        <v>Buying food and drink at local restaurants (food and drink)</v>
      </c>
      <c r="C74" s="183">
        <f t="shared" si="26"/>
        <v>0</v>
      </c>
      <c r="D74" s="183" t="s">
        <v>323</v>
      </c>
      <c r="E74" s="183">
        <v>0</v>
      </c>
      <c r="F74" s="183">
        <v>100</v>
      </c>
      <c r="G74" s="183">
        <v>0.01</v>
      </c>
      <c r="I74" s="183" t="str">
        <f t="shared" si="27"/>
        <v>Buying food and drink at local restaurants (food and drink)</v>
      </c>
      <c r="J74" s="183">
        <f t="shared" si="28"/>
        <v>0.51514000000000004</v>
      </c>
      <c r="K74" s="183" t="s">
        <v>322</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325</v>
      </c>
      <c r="E75" s="183">
        <v>0</v>
      </c>
      <c r="F75" s="183">
        <v>100</v>
      </c>
      <c r="G75" s="183">
        <v>0.01</v>
      </c>
      <c r="I75" s="183" t="str">
        <f t="shared" si="27"/>
        <v>Things besides food that are sold by people or businesses in your community, including services</v>
      </c>
      <c r="J75" s="183">
        <f t="shared" si="28"/>
        <v>40.070909999999998</v>
      </c>
      <c r="K75" s="183" t="s">
        <v>324</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327</v>
      </c>
      <c r="E76" s="183">
        <v>0</v>
      </c>
      <c r="F76" s="183">
        <v>100</v>
      </c>
      <c r="G76" s="183">
        <v>0.01</v>
      </c>
      <c r="I76" s="183" t="str">
        <f t="shared" si="27"/>
        <v>Things you buy from businesses, etc., in places outside your community</v>
      </c>
      <c r="J76" s="183">
        <f t="shared" si="28"/>
        <v>2.4188999999999998</v>
      </c>
      <c r="K76" s="183" t="s">
        <v>326</v>
      </c>
      <c r="L76" s="183">
        <v>0</v>
      </c>
      <c r="M76" s="183">
        <v>100</v>
      </c>
      <c r="N76" s="183">
        <v>0.01</v>
      </c>
    </row>
    <row r="77" spans="2:14" ht="14.25" customHeight="1" x14ac:dyDescent="0.2">
      <c r="B77" s="183" t="str">
        <f t="shared" si="25"/>
        <v>Rent (if household rents its house; don't include business rentals here)</v>
      </c>
      <c r="C77" s="183">
        <f t="shared" si="26"/>
        <v>0</v>
      </c>
      <c r="D77" s="183" t="s">
        <v>329</v>
      </c>
      <c r="E77" s="183">
        <v>0</v>
      </c>
      <c r="F77" s="183">
        <v>100</v>
      </c>
      <c r="G77" s="183">
        <v>0.01</v>
      </c>
      <c r="I77" s="183" t="str">
        <f t="shared" si="27"/>
        <v>Rent (if household rents its house; don't include business rentals here)</v>
      </c>
      <c r="J77" s="183">
        <f t="shared" si="28"/>
        <v>0.18204000000000001</v>
      </c>
      <c r="K77" s="183" t="s">
        <v>328</v>
      </c>
      <c r="L77" s="183">
        <v>0</v>
      </c>
      <c r="M77" s="183">
        <v>100</v>
      </c>
      <c r="N77" s="183">
        <v>0.01</v>
      </c>
    </row>
    <row r="78" spans="2:14" ht="14.25" customHeight="1" x14ac:dyDescent="0.2">
      <c r="B78" s="183" t="str">
        <f t="shared" si="25"/>
        <v>Household income tax payments</v>
      </c>
      <c r="C78" s="183">
        <f t="shared" si="26"/>
        <v>0</v>
      </c>
      <c r="D78" s="183" t="s">
        <v>331</v>
      </c>
      <c r="E78" s="183">
        <v>0</v>
      </c>
      <c r="F78" s="183">
        <v>100</v>
      </c>
      <c r="G78" s="183">
        <v>0.01</v>
      </c>
      <c r="I78" s="183" t="str">
        <f t="shared" si="27"/>
        <v>Household income tax payments</v>
      </c>
      <c r="J78" s="183">
        <f t="shared" si="28"/>
        <v>0.27959999999999996</v>
      </c>
      <c r="K78" s="183" t="s">
        <v>330</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6" sqref="C6"/>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332</v>
      </c>
    </row>
    <row r="2" spans="1:7" ht="26.25" customHeight="1" x14ac:dyDescent="0.2">
      <c r="A2" s="297"/>
      <c r="B2" s="1" t="s">
        <v>216</v>
      </c>
    </row>
    <row r="3" spans="1:7" ht="26.25" customHeight="1" x14ac:dyDescent="0.2">
      <c r="A3" s="259"/>
      <c r="B3" s="261" t="s">
        <v>0</v>
      </c>
      <c r="C3" s="262" t="s">
        <v>1</v>
      </c>
      <c r="E3" s="11"/>
      <c r="F3" s="11"/>
      <c r="G3" s="11"/>
    </row>
    <row r="4" spans="1:7" ht="26.25" customHeight="1" x14ac:dyDescent="0.2">
      <c r="A4" s="259"/>
      <c r="B4" s="301" t="s">
        <v>234</v>
      </c>
      <c r="C4" s="302">
        <f>2276283.982368</f>
        <v>2276283.9823679999</v>
      </c>
      <c r="D4" s="129" t="s">
        <v>536</v>
      </c>
      <c r="E4" s="44"/>
      <c r="F4" s="6"/>
      <c r="G4" s="18"/>
    </row>
    <row r="5" spans="1:7" ht="26.25" customHeight="1" x14ac:dyDescent="0.2">
      <c r="A5" s="299"/>
      <c r="B5" s="303" t="s">
        <v>236</v>
      </c>
      <c r="C5" s="304">
        <f>26565125</f>
        <v>26565125</v>
      </c>
      <c r="D5" s="46" t="s">
        <v>494</v>
      </c>
      <c r="E5" s="47"/>
      <c r="F5" s="47"/>
      <c r="G5" s="48"/>
    </row>
    <row r="6" spans="1:7" ht="26.25" customHeight="1" x14ac:dyDescent="0.2">
      <c r="A6" s="299"/>
      <c r="B6" s="303" t="s">
        <v>497</v>
      </c>
      <c r="C6" s="458">
        <v>0.2</v>
      </c>
      <c r="D6" s="46" t="s">
        <v>513</v>
      </c>
      <c r="E6" s="150"/>
      <c r="F6" s="150"/>
      <c r="G6" s="150"/>
    </row>
    <row r="7" spans="1:7" ht="26.25" customHeight="1" x14ac:dyDescent="0.2">
      <c r="A7" s="259"/>
      <c r="B7" s="303" t="s">
        <v>237</v>
      </c>
      <c r="C7" s="305">
        <f>C5-C4</f>
        <v>24288841.017632</v>
      </c>
      <c r="E7" s="49"/>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60" t="s">
        <v>537</v>
      </c>
      <c r="B10" s="173" t="s">
        <v>75</v>
      </c>
      <c r="C10" s="306">
        <v>1.6699212916508013E-2</v>
      </c>
      <c r="D10" s="12"/>
      <c r="E10" s="287">
        <v>38012.150880000001</v>
      </c>
      <c r="F10" s="289">
        <f>E10/SUM($E$10:$E$19)</f>
        <v>1.6699212916508013E-2</v>
      </c>
    </row>
    <row r="11" spans="1:7" ht="34.5" customHeight="1" x14ac:dyDescent="0.2">
      <c r="A11" s="461"/>
      <c r="B11" s="173" t="s">
        <v>77</v>
      </c>
      <c r="C11" s="306">
        <v>1.8554681018342237E-3</v>
      </c>
      <c r="D11" s="12"/>
      <c r="E11" s="287">
        <v>4223.5723200000002</v>
      </c>
      <c r="F11" s="289">
        <f t="shared" ref="F11:F19" si="0">E11/SUM($E$10:$E$19)</f>
        <v>1.8554681018342237E-3</v>
      </c>
    </row>
    <row r="12" spans="1:7" ht="30.75" customHeight="1" x14ac:dyDescent="0.2">
      <c r="A12" s="461"/>
      <c r="B12" s="173" t="s">
        <v>78</v>
      </c>
      <c r="C12" s="306">
        <v>0.36762577973661364</v>
      </c>
      <c r="E12" s="287">
        <v>836820.67392000009</v>
      </c>
      <c r="F12" s="289">
        <f t="shared" si="0"/>
        <v>0.36762577973661364</v>
      </c>
    </row>
    <row r="13" spans="1:7" ht="30.75" customHeight="1" x14ac:dyDescent="0.2">
      <c r="A13" s="461"/>
      <c r="B13" s="173" t="s">
        <v>79</v>
      </c>
      <c r="C13" s="306">
        <v>7.6794931280125087E-2</v>
      </c>
      <c r="E13" s="287">
        <v>174807.07200000001</v>
      </c>
      <c r="F13" s="289">
        <f t="shared" si="0"/>
        <v>7.6794931280125087E-2</v>
      </c>
    </row>
    <row r="14" spans="1:7" ht="30.75" customHeight="1" x14ac:dyDescent="0.2">
      <c r="A14" s="461"/>
      <c r="B14" s="173" t="s">
        <v>218</v>
      </c>
      <c r="C14" s="306">
        <v>4.8015098663700233E-3</v>
      </c>
      <c r="E14" s="287">
        <v>10929.6</v>
      </c>
      <c r="F14" s="289">
        <f t="shared" si="0"/>
        <v>4.8015098663700233E-3</v>
      </c>
    </row>
    <row r="15" spans="1:7" ht="27" customHeight="1" x14ac:dyDescent="0.2">
      <c r="A15" s="461"/>
      <c r="B15" s="173" t="s">
        <v>171</v>
      </c>
      <c r="C15" s="306">
        <v>4.558211701690295E-2</v>
      </c>
      <c r="D15" s="12"/>
      <c r="E15" s="287">
        <v>103757.84284800001</v>
      </c>
      <c r="F15" s="289">
        <f t="shared" si="0"/>
        <v>4.558211701690295E-2</v>
      </c>
    </row>
    <row r="16" spans="1:7" ht="26.25" customHeight="1" x14ac:dyDescent="0.2">
      <c r="A16" s="461"/>
      <c r="B16" s="173" t="s">
        <v>219</v>
      </c>
      <c r="C16" s="306">
        <v>0</v>
      </c>
      <c r="D16" s="12"/>
      <c r="E16" s="287">
        <v>0</v>
      </c>
      <c r="F16" s="289">
        <f t="shared" si="0"/>
        <v>0</v>
      </c>
    </row>
    <row r="17" spans="1:8" ht="26.25" customHeight="1" x14ac:dyDescent="0.2">
      <c r="A17" s="461"/>
      <c r="B17" s="173" t="s">
        <v>172</v>
      </c>
      <c r="C17" s="306">
        <v>0.14896647247293257</v>
      </c>
      <c r="E17" s="287">
        <v>339089.9952</v>
      </c>
      <c r="F17" s="289">
        <f t="shared" si="0"/>
        <v>0.14896647247293257</v>
      </c>
    </row>
    <row r="18" spans="1:8" ht="33" customHeight="1" x14ac:dyDescent="0.2">
      <c r="A18" s="461"/>
      <c r="B18" s="173" t="s">
        <v>115</v>
      </c>
      <c r="C18" s="306">
        <v>0.27975207793956675</v>
      </c>
      <c r="E18" s="287">
        <v>636795.17404800002</v>
      </c>
      <c r="F18" s="289">
        <f t="shared" si="0"/>
        <v>0.27975207793956675</v>
      </c>
    </row>
    <row r="19" spans="1:8" ht="20.25" customHeight="1" x14ac:dyDescent="0.2">
      <c r="A19" s="462"/>
      <c r="B19" s="173" t="s">
        <v>220</v>
      </c>
      <c r="C19" s="306">
        <v>5.7922430669146867E-2</v>
      </c>
      <c r="E19" s="287">
        <v>131847.90115200001</v>
      </c>
      <c r="F19" s="289">
        <f t="shared" si="0"/>
        <v>5.7922430669146867E-2</v>
      </c>
    </row>
    <row r="20" spans="1:8" ht="20.25" customHeight="1" x14ac:dyDescent="0.2">
      <c r="A20" s="247"/>
      <c r="B20" s="290" t="s">
        <v>221</v>
      </c>
      <c r="C20" s="307">
        <v>0.46300000000000002</v>
      </c>
      <c r="D20" s="46"/>
      <c r="E20" s="308">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4" t="s">
        <v>176</v>
      </c>
      <c r="C25" s="345" t="s">
        <v>222</v>
      </c>
      <c r="D25" s="346"/>
    </row>
    <row r="26" spans="1:8" ht="15.75" customHeight="1" x14ac:dyDescent="0.2">
      <c r="B26" s="332" t="s">
        <v>34</v>
      </c>
      <c r="C26" s="428">
        <f>C15*C4</f>
        <v>103757.84284800001</v>
      </c>
      <c r="D26" s="348" t="s">
        <v>333</v>
      </c>
    </row>
    <row r="27" spans="1:8" ht="14.25" customHeight="1" x14ac:dyDescent="0.2">
      <c r="B27" s="334" t="s">
        <v>36</v>
      </c>
      <c r="C27" s="429">
        <v>0</v>
      </c>
      <c r="D27" s="350" t="s">
        <v>334</v>
      </c>
    </row>
    <row r="28" spans="1:8" ht="15.75" customHeight="1" x14ac:dyDescent="0.2">
      <c r="B28" s="332" t="s">
        <v>38</v>
      </c>
      <c r="C28" s="428">
        <f>SUM(C17:C18)*C4</f>
        <v>975885.16924800002</v>
      </c>
      <c r="D28" s="348" t="s">
        <v>335</v>
      </c>
    </row>
    <row r="29" spans="1:8" ht="15.75" customHeight="1" x14ac:dyDescent="0.2">
      <c r="B29" s="332" t="s">
        <v>40</v>
      </c>
      <c r="C29" s="428">
        <f>C16*C4</f>
        <v>0</v>
      </c>
      <c r="D29" s="348" t="s">
        <v>336</v>
      </c>
    </row>
    <row r="30" spans="1:8" ht="15.75" customHeight="1" x14ac:dyDescent="0.2">
      <c r="B30" s="334" t="s">
        <v>42</v>
      </c>
      <c r="C30" s="428">
        <f>C10*C4*C20</f>
        <v>17599.625857440002</v>
      </c>
      <c r="D30" s="352" t="s">
        <v>93</v>
      </c>
    </row>
    <row r="31" spans="1:8" ht="15.75" customHeight="1" x14ac:dyDescent="0.2">
      <c r="B31" s="334" t="s">
        <v>44</v>
      </c>
      <c r="C31" s="428">
        <f>C11*C4*C20</f>
        <v>1955.5139841600003</v>
      </c>
      <c r="D31" s="352" t="s">
        <v>94</v>
      </c>
    </row>
    <row r="32" spans="1:8" ht="15.75" customHeight="1" x14ac:dyDescent="0.2">
      <c r="B32" s="334" t="s">
        <v>45</v>
      </c>
      <c r="C32" s="428">
        <f>C12*C4*C20</f>
        <v>387447.97202496004</v>
      </c>
      <c r="D32" s="352" t="s">
        <v>95</v>
      </c>
    </row>
    <row r="33" spans="2:6" ht="15.75" customHeight="1" x14ac:dyDescent="0.2">
      <c r="B33" s="334" t="s">
        <v>46</v>
      </c>
      <c r="C33" s="428">
        <f>C13*C4*C20</f>
        <v>80935.674336000011</v>
      </c>
      <c r="D33" s="352" t="s">
        <v>96</v>
      </c>
    </row>
    <row r="34" spans="2:6" ht="15.75" customHeight="1" x14ac:dyDescent="0.2">
      <c r="B34" s="332" t="s">
        <v>47</v>
      </c>
      <c r="C34" s="428">
        <f>C14*C4</f>
        <v>10929.599999999999</v>
      </c>
      <c r="D34" s="352" t="s">
        <v>97</v>
      </c>
    </row>
    <row r="35" spans="2:6" ht="15.75" customHeight="1" x14ac:dyDescent="0.2">
      <c r="B35" s="332" t="s">
        <v>49</v>
      </c>
      <c r="C35" s="430">
        <v>0</v>
      </c>
      <c r="D35" s="352" t="s">
        <v>337</v>
      </c>
    </row>
    <row r="36" spans="2:6" ht="15.75" customHeight="1" x14ac:dyDescent="0.2">
      <c r="B36" s="332" t="s">
        <v>51</v>
      </c>
      <c r="C36" s="430">
        <v>0</v>
      </c>
      <c r="D36" s="352" t="s">
        <v>337</v>
      </c>
    </row>
    <row r="37" spans="2:6" ht="15.75" customHeight="1" x14ac:dyDescent="0.2">
      <c r="B37" s="332" t="s">
        <v>52</v>
      </c>
      <c r="C37" s="428">
        <v>0</v>
      </c>
      <c r="D37" s="352" t="s">
        <v>338</v>
      </c>
    </row>
    <row r="38" spans="2:6" ht="15.75" customHeight="1" x14ac:dyDescent="0.2">
      <c r="B38" s="332" t="s">
        <v>54</v>
      </c>
      <c r="C38" s="428">
        <v>0</v>
      </c>
      <c r="D38" s="352" t="s">
        <v>339</v>
      </c>
    </row>
    <row r="39" spans="2:6" ht="15.75" customHeight="1" x14ac:dyDescent="0.2">
      <c r="B39" s="332" t="s">
        <v>56</v>
      </c>
      <c r="C39" s="428">
        <v>0</v>
      </c>
      <c r="D39" s="352" t="s">
        <v>340</v>
      </c>
    </row>
    <row r="40" spans="2:6" ht="15.75" customHeight="1" x14ac:dyDescent="0.2">
      <c r="B40" s="332" t="s">
        <v>58</v>
      </c>
      <c r="C40" s="428">
        <v>0</v>
      </c>
      <c r="D40" s="352" t="s">
        <v>338</v>
      </c>
    </row>
    <row r="41" spans="2:6" ht="15.75" customHeight="1" x14ac:dyDescent="0.2">
      <c r="B41" s="332" t="s">
        <v>341</v>
      </c>
      <c r="C41" s="428">
        <f>C6*C5</f>
        <v>5313025</v>
      </c>
      <c r="D41" s="355" t="s">
        <v>342</v>
      </c>
    </row>
    <row r="42" spans="2:6" ht="15.75" customHeight="1" x14ac:dyDescent="0.2">
      <c r="B42" s="332" t="s">
        <v>61</v>
      </c>
      <c r="C42" s="428">
        <f>IF(C7-C41&gt;0,C7-C41,0)</f>
        <v>18975816.017632</v>
      </c>
      <c r="D42" s="355" t="s">
        <v>343</v>
      </c>
    </row>
    <row r="43" spans="2:6" ht="15.75" customHeight="1" x14ac:dyDescent="0.2">
      <c r="B43" s="337" t="s">
        <v>63</v>
      </c>
      <c r="C43" s="428">
        <f>C19*C4</f>
        <v>131847.90115200001</v>
      </c>
      <c r="D43" s="356" t="s">
        <v>187</v>
      </c>
    </row>
    <row r="44" spans="2:6" ht="15.75" customHeight="1" x14ac:dyDescent="0.2">
      <c r="B44" s="332" t="s">
        <v>65</v>
      </c>
      <c r="C44" s="428">
        <f>SUM(C26:C43)</f>
        <v>25999200.317082562</v>
      </c>
      <c r="D44" s="355" t="s">
        <v>188</v>
      </c>
      <c r="F44" s="101">
        <f>C44-C4</f>
        <v>23722916.334714562</v>
      </c>
    </row>
    <row r="45" spans="2:6" ht="15.75" customHeight="1" x14ac:dyDescent="0.2">
      <c r="B45" s="332" t="s">
        <v>67</v>
      </c>
      <c r="C45" s="428">
        <f>C5</f>
        <v>26565125</v>
      </c>
      <c r="D45" s="355" t="s">
        <v>189</v>
      </c>
    </row>
    <row r="46" spans="2:6" ht="15.75" customHeight="1" x14ac:dyDescent="0.2">
      <c r="B46" s="332" t="s">
        <v>232</v>
      </c>
      <c r="C46" s="430">
        <f>MAX(0,(C44-C45))</f>
        <v>0</v>
      </c>
      <c r="D46" s="346"/>
    </row>
    <row r="47" spans="2:6" ht="15.75" customHeight="1" x14ac:dyDescent="0.2"/>
    <row r="48" spans="2:6" ht="15.75" customHeight="1" x14ac:dyDescent="0.2">
      <c r="B48" s="63" t="s">
        <v>233</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8" t="s">
        <v>236</v>
      </c>
      <c r="C53" s="319">
        <f>C5</f>
        <v>26565125</v>
      </c>
      <c r="D53" s="187" t="s">
        <v>496</v>
      </c>
      <c r="E53" s="320">
        <v>0</v>
      </c>
      <c r="F53" s="187">
        <v>100000000</v>
      </c>
      <c r="G53" s="188">
        <v>1</v>
      </c>
    </row>
    <row r="54" spans="2:8" ht="15.75" customHeight="1" x14ac:dyDescent="0.2">
      <c r="B54" s="318" t="s">
        <v>234</v>
      </c>
      <c r="C54" s="319">
        <f>C4</f>
        <v>2276283.9823679999</v>
      </c>
      <c r="D54" s="187" t="s">
        <v>235</v>
      </c>
      <c r="E54" s="320">
        <v>0</v>
      </c>
      <c r="F54" s="187">
        <v>100000000</v>
      </c>
      <c r="G54" s="188">
        <v>1</v>
      </c>
      <c r="H54" s="46"/>
    </row>
    <row r="55" spans="2:8" ht="15.75" customHeight="1" x14ac:dyDescent="0.2">
      <c r="B55" s="142" t="s">
        <v>237</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75</v>
      </c>
      <c r="C58" s="321">
        <f t="shared" ref="C58:C63" si="1">C10*100</f>
        <v>1.6699212916508013</v>
      </c>
      <c r="D58" s="183" t="s">
        <v>380</v>
      </c>
      <c r="E58" s="183">
        <v>0</v>
      </c>
      <c r="F58" s="183">
        <v>10000000</v>
      </c>
      <c r="G58" s="183">
        <v>1</v>
      </c>
      <c r="H58" s="12"/>
    </row>
    <row r="59" spans="2:8" ht="26.25" customHeight="1" x14ac:dyDescent="0.2">
      <c r="B59" s="200" t="s">
        <v>77</v>
      </c>
      <c r="C59" s="321">
        <f t="shared" si="1"/>
        <v>0.18554681018342237</v>
      </c>
      <c r="D59" s="183" t="s">
        <v>381</v>
      </c>
      <c r="E59" s="183">
        <v>0</v>
      </c>
      <c r="F59" s="183">
        <v>10000000</v>
      </c>
      <c r="G59" s="183">
        <v>1</v>
      </c>
      <c r="H59" s="12"/>
    </row>
    <row r="60" spans="2:8" ht="26.25" customHeight="1" x14ac:dyDescent="0.2">
      <c r="B60" s="200" t="s">
        <v>78</v>
      </c>
      <c r="C60" s="321">
        <f t="shared" si="1"/>
        <v>36.762577973661365</v>
      </c>
      <c r="D60" s="183" t="s">
        <v>382</v>
      </c>
      <c r="E60" s="183">
        <v>0</v>
      </c>
      <c r="F60" s="183">
        <v>10000000</v>
      </c>
      <c r="G60" s="183">
        <v>1</v>
      </c>
      <c r="H60" s="12"/>
    </row>
    <row r="61" spans="2:8" ht="26.25" customHeight="1" x14ac:dyDescent="0.2">
      <c r="B61" s="200" t="s">
        <v>79</v>
      </c>
      <c r="C61" s="321">
        <f t="shared" si="1"/>
        <v>7.6794931280125089</v>
      </c>
      <c r="D61" s="183" t="s">
        <v>383</v>
      </c>
      <c r="E61" s="183">
        <v>0</v>
      </c>
      <c r="F61" s="183">
        <v>10000000</v>
      </c>
      <c r="G61" s="183">
        <v>1</v>
      </c>
      <c r="H61" s="12"/>
    </row>
    <row r="62" spans="2:8" ht="26.25" customHeight="1" x14ac:dyDescent="0.2">
      <c r="B62" s="316" t="s">
        <v>218</v>
      </c>
      <c r="C62" s="321">
        <f t="shared" si="1"/>
        <v>0.48015098663700234</v>
      </c>
      <c r="D62" s="183" t="s">
        <v>238</v>
      </c>
      <c r="E62" s="183">
        <v>0</v>
      </c>
      <c r="F62" s="183">
        <v>10000000</v>
      </c>
      <c r="G62" s="183">
        <v>1</v>
      </c>
    </row>
    <row r="63" spans="2:8" ht="26.25" customHeight="1" x14ac:dyDescent="0.2">
      <c r="B63" s="316" t="s">
        <v>171</v>
      </c>
      <c r="C63" s="321">
        <f t="shared" si="1"/>
        <v>4.5582117016902952</v>
      </c>
      <c r="D63" s="183" t="s">
        <v>239</v>
      </c>
      <c r="E63" s="183">
        <v>0</v>
      </c>
      <c r="F63" s="183">
        <v>10000000</v>
      </c>
      <c r="G63" s="183">
        <v>1</v>
      </c>
      <c r="H63" s="12"/>
    </row>
    <row r="64" spans="2:8" ht="26.25" customHeight="1" x14ac:dyDescent="0.2">
      <c r="B64" s="200" t="s">
        <v>514</v>
      </c>
      <c r="C64" s="322">
        <v>0</v>
      </c>
      <c r="D64" s="183" t="s">
        <v>384</v>
      </c>
      <c r="E64" s="183">
        <v>0</v>
      </c>
      <c r="F64" s="183">
        <v>10000000</v>
      </c>
      <c r="G64" s="183">
        <v>1</v>
      </c>
      <c r="H64" s="12"/>
    </row>
    <row r="65" spans="2:8" ht="26.25" customHeight="1" x14ac:dyDescent="0.2">
      <c r="B65" s="316" t="s">
        <v>219</v>
      </c>
      <c r="C65" s="321">
        <f>C16*100</f>
        <v>0</v>
      </c>
      <c r="D65" s="183" t="s">
        <v>240</v>
      </c>
      <c r="E65" s="183">
        <v>0</v>
      </c>
      <c r="F65" s="183">
        <v>10000000</v>
      </c>
      <c r="G65" s="183">
        <v>1</v>
      </c>
      <c r="H65" s="12"/>
    </row>
    <row r="66" spans="2:8" ht="26.25" customHeight="1" x14ac:dyDescent="0.2">
      <c r="B66" s="316" t="s">
        <v>172</v>
      </c>
      <c r="C66" s="321">
        <f>C17*100</f>
        <v>14.896647247293258</v>
      </c>
      <c r="D66" s="183" t="s">
        <v>241</v>
      </c>
      <c r="E66" s="183">
        <v>0</v>
      </c>
      <c r="F66" s="183">
        <v>10000000</v>
      </c>
      <c r="G66" s="183">
        <v>1</v>
      </c>
    </row>
    <row r="67" spans="2:8" ht="26.25" customHeight="1" x14ac:dyDescent="0.2">
      <c r="B67" s="316" t="s">
        <v>115</v>
      </c>
      <c r="C67" s="321">
        <f>C18*100</f>
        <v>27.975207793956674</v>
      </c>
      <c r="D67" s="183" t="s">
        <v>242</v>
      </c>
      <c r="E67" s="183">
        <v>0</v>
      </c>
      <c r="F67" s="183">
        <v>10000000</v>
      </c>
      <c r="G67" s="183">
        <v>1</v>
      </c>
    </row>
    <row r="68" spans="2:8" ht="26.25" customHeight="1" x14ac:dyDescent="0.2">
      <c r="B68" s="316" t="s">
        <v>545</v>
      </c>
      <c r="C68" s="323">
        <f>C41</f>
        <v>5313025</v>
      </c>
      <c r="D68" s="183" t="s">
        <v>393</v>
      </c>
      <c r="E68" s="183">
        <v>0</v>
      </c>
      <c r="F68" s="183">
        <v>10000000</v>
      </c>
      <c r="G68" s="183">
        <v>1</v>
      </c>
      <c r="H68" s="46"/>
    </row>
    <row r="69" spans="2:8" ht="26.25" customHeight="1" x14ac:dyDescent="0.2">
      <c r="B69" s="316" t="s">
        <v>220</v>
      </c>
      <c r="C69" s="321">
        <f>C19*100</f>
        <v>5.7922430669146863</v>
      </c>
      <c r="D69" s="183" t="s">
        <v>243</v>
      </c>
      <c r="E69" s="183">
        <v>0</v>
      </c>
      <c r="F69" s="183">
        <v>10000000</v>
      </c>
      <c r="G69" s="183">
        <v>1</v>
      </c>
    </row>
    <row r="70" spans="2:8" ht="26.25" customHeight="1" x14ac:dyDescent="0.2">
      <c r="B70" s="324" t="s">
        <v>396</v>
      </c>
      <c r="C70" s="325">
        <f>C20*100</f>
        <v>46.300000000000004</v>
      </c>
      <c r="D70" s="326" t="s">
        <v>244</v>
      </c>
      <c r="E70" s="326">
        <v>0</v>
      </c>
      <c r="F70" s="326">
        <v>10000000</v>
      </c>
      <c r="G70" s="326">
        <v>1</v>
      </c>
      <c r="H70" s="46"/>
    </row>
    <row r="71" spans="2:8" ht="26.25" customHeight="1" x14ac:dyDescent="0.2">
      <c r="C71" s="101"/>
    </row>
    <row r="72" spans="2:8" ht="26.25" customHeight="1" x14ac:dyDescent="0.2">
      <c r="C72" s="101">
        <f>SUM(C58:C67)+C69</f>
        <v>100</v>
      </c>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344</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345</v>
      </c>
      <c r="R2" s="66" t="s">
        <v>61</v>
      </c>
      <c r="S2" s="67" t="s">
        <v>63</v>
      </c>
      <c r="T2" s="68" t="s">
        <v>190</v>
      </c>
      <c r="U2" s="69" t="s">
        <v>346</v>
      </c>
      <c r="V2" s="69" t="s">
        <v>347</v>
      </c>
      <c r="W2" s="60"/>
      <c r="X2" s="60"/>
      <c r="Y2" s="60"/>
      <c r="Z2" s="60"/>
      <c r="AA2" s="60"/>
      <c r="AB2" s="60"/>
      <c r="AC2" s="60"/>
      <c r="AD2" s="60"/>
      <c r="AE2" s="60"/>
    </row>
    <row r="3" spans="1:31" ht="14.25" customHeight="1" x14ac:dyDescent="0.2">
      <c r="A3" s="70" t="s">
        <v>34</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38</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0.90989403734257024</v>
      </c>
      <c r="V5" s="53"/>
      <c r="W5" s="60"/>
      <c r="X5" s="60"/>
      <c r="Y5" s="60"/>
      <c r="Z5" s="60"/>
      <c r="AA5" s="60"/>
      <c r="AB5" s="60"/>
      <c r="AC5" s="60"/>
      <c r="AD5" s="60"/>
      <c r="AE5" s="60"/>
    </row>
    <row r="6" spans="1:31" ht="14.25" customHeight="1" x14ac:dyDescent="0.2">
      <c r="A6" s="70" t="s">
        <v>40</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42</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472" t="s">
        <v>348</v>
      </c>
      <c r="W7" s="60"/>
      <c r="X7" s="60"/>
      <c r="Y7" s="60"/>
      <c r="Z7" s="60"/>
      <c r="AA7" s="60"/>
      <c r="AB7" s="60"/>
      <c r="AC7" s="60"/>
      <c r="AD7" s="60"/>
      <c r="AE7" s="60"/>
    </row>
    <row r="8" spans="1:31" ht="14.25" customHeight="1" x14ac:dyDescent="0.2">
      <c r="A8" s="14" t="s">
        <v>44</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464"/>
      <c r="W8" s="60"/>
      <c r="X8" s="60"/>
      <c r="Y8" s="60"/>
      <c r="Z8" s="60"/>
      <c r="AA8" s="60"/>
      <c r="AB8" s="60"/>
      <c r="AC8" s="60"/>
      <c r="AD8" s="60"/>
      <c r="AE8" s="60"/>
    </row>
    <row r="9" spans="1:31" ht="14.25" customHeight="1" x14ac:dyDescent="0.2">
      <c r="A9" s="14" t="s">
        <v>45</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464"/>
      <c r="W9" s="60"/>
      <c r="X9" s="60"/>
      <c r="Y9" s="60"/>
      <c r="Z9" s="60"/>
      <c r="AA9" s="60"/>
      <c r="AB9" s="60"/>
      <c r="AC9" s="60"/>
      <c r="AD9" s="60"/>
      <c r="AE9" s="60"/>
    </row>
    <row r="10" spans="1:31" ht="14.25" customHeight="1" x14ac:dyDescent="0.2">
      <c r="A10" s="14" t="s">
        <v>46</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464"/>
      <c r="W10" s="60"/>
      <c r="X10" s="60"/>
      <c r="Y10" s="60"/>
      <c r="Z10" s="60"/>
      <c r="AA10" s="60"/>
      <c r="AB10" s="60"/>
      <c r="AC10" s="60"/>
      <c r="AD10" s="60"/>
      <c r="AE10" s="60"/>
    </row>
    <row r="11" spans="1:31" ht="14.25" customHeight="1" x14ac:dyDescent="0.2">
      <c r="A11" s="70" t="s">
        <v>47</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464"/>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464"/>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464"/>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1.0346076250581966</v>
      </c>
      <c r="V14" s="464"/>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1.7510681515724591</v>
      </c>
      <c r="V15" s="464"/>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464"/>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464"/>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4"/>
      <c r="W18" s="60"/>
      <c r="X18" s="60"/>
      <c r="Y18" s="60"/>
      <c r="Z18" s="60"/>
      <c r="AA18" s="60"/>
      <c r="AB18" s="60"/>
      <c r="AC18" s="60"/>
      <c r="AD18" s="60"/>
      <c r="AE18" s="60"/>
    </row>
    <row r="19" spans="1:31" ht="14.25" customHeight="1" x14ac:dyDescent="0.2">
      <c r="A19" s="70" t="s">
        <v>61</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464"/>
      <c r="W19" s="60"/>
      <c r="X19" s="60"/>
      <c r="Y19" s="60"/>
      <c r="Z19" s="60"/>
      <c r="AA19" s="60"/>
      <c r="AB19" s="60"/>
      <c r="AC19" s="60"/>
      <c r="AD19" s="60"/>
      <c r="AE19" s="60"/>
    </row>
    <row r="20" spans="1:31" ht="14.25" customHeight="1" x14ac:dyDescent="0.2">
      <c r="A20" s="79" t="s">
        <v>63</v>
      </c>
      <c r="B20" s="71">
        <f>Ag!C41</f>
        <v>3239309.2372872182</v>
      </c>
      <c r="C20" s="71">
        <f>Tourism!C42</f>
        <v>4840347.2196107758</v>
      </c>
      <c r="D20" s="71">
        <f>Nonag!C41</f>
        <v>43097395.395636462</v>
      </c>
      <c r="E20" s="71">
        <f>Fishing!C41</f>
        <v>1040118.85523884</v>
      </c>
      <c r="F20" s="73">
        <v>0</v>
      </c>
      <c r="G20" s="73"/>
      <c r="H20" s="73"/>
      <c r="I20" s="73"/>
      <c r="J20" s="73">
        <v>0</v>
      </c>
      <c r="K20" s="72">
        <f>Households!C44</f>
        <v>142765.83971164425</v>
      </c>
      <c r="L20" s="72">
        <f>Households!D44</f>
        <v>435584.04119408556</v>
      </c>
      <c r="M20" s="73">
        <f>Restaurants!C41</f>
        <v>1058814.2388508895</v>
      </c>
      <c r="N20" s="73">
        <f>Lodges!C42</f>
        <v>648561.14447709476</v>
      </c>
      <c r="O20" s="73">
        <f>Tourists!C42</f>
        <v>0</v>
      </c>
      <c r="P20" s="73">
        <f>NatParkPA!C43</f>
        <v>131847.90115200001</v>
      </c>
      <c r="Q20" s="73">
        <f>ComRevSh!C42</f>
        <v>0</v>
      </c>
      <c r="R20" s="104">
        <f>IF(SUM(B19:P19)-SUM(R3:R17)&gt;0,SUM(B19:P19)-SUM(R3:R17),0)</f>
        <v>23374916.766037706</v>
      </c>
      <c r="S20" s="71"/>
      <c r="T20" s="71">
        <f t="shared" si="0"/>
        <v>78009660.639196724</v>
      </c>
      <c r="U20" s="53">
        <f>T20/S21</f>
        <v>0.67687614179341604</v>
      </c>
      <c r="V20" s="464"/>
      <c r="W20" s="60"/>
      <c r="X20" s="60"/>
      <c r="Y20" s="60"/>
      <c r="Z20" s="60"/>
      <c r="AA20" s="60"/>
      <c r="AB20" s="60"/>
      <c r="AC20" s="60"/>
      <c r="AD20" s="60"/>
      <c r="AE20" s="60"/>
    </row>
    <row r="21" spans="1:31" ht="14.25" customHeight="1" x14ac:dyDescent="0.2">
      <c r="A21" s="80" t="s">
        <v>190</v>
      </c>
      <c r="B21" s="71">
        <f t="shared" ref="B21:S21" si="1">SUM(B3:B20)</f>
        <v>29622436.610315327</v>
      </c>
      <c r="C21" s="71">
        <f t="shared" si="1"/>
        <v>44174948.006385349</v>
      </c>
      <c r="D21" s="71">
        <f t="shared" si="1"/>
        <v>104185585.47369309</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9219791.9149669111</v>
      </c>
      <c r="N21" s="71">
        <f t="shared" si="1"/>
        <v>2679255.6307000816</v>
      </c>
      <c r="O21" s="71">
        <f t="shared" si="1"/>
        <v>114094007.05676289</v>
      </c>
      <c r="P21" s="71">
        <f t="shared" si="1"/>
        <v>25999200.317082562</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43097395.395636462</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1058814.2388508895</v>
      </c>
      <c r="N20" s="81">
        <f>'SAM(LEWIE Input)'!N20</f>
        <v>648561.14447709476</v>
      </c>
      <c r="O20" s="81">
        <f>'SAM(LEWIE Input)'!O20</f>
        <v>0</v>
      </c>
      <c r="P20" s="81">
        <f>'SAM(LEWIE Input)'!P20</f>
        <v>131847.90115200001</v>
      </c>
      <c r="Q20" s="81">
        <f>'SAM(LEWIE Input)'!Q20</f>
        <v>0</v>
      </c>
      <c r="R20" s="81">
        <f>'SAM(LEWIE Input)'!R20</f>
        <v>23374916.766037706</v>
      </c>
      <c r="S20" s="81">
        <f>'SAM(LEWIE Input)'!S20</f>
        <v>0</v>
      </c>
      <c r="T20" s="81">
        <f>'SAM(LEWIE Input)'!T20</f>
        <v>78009660.639196724</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104185585.47369309</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9219791.9149669111</v>
      </c>
      <c r="N21" s="81">
        <f>'SAM(LEWIE Input)'!N21</f>
        <v>2679255.6307000816</v>
      </c>
      <c r="O21" s="81">
        <f>'SAM(LEWIE Input)'!O21</f>
        <v>114094007.05676289</v>
      </c>
      <c r="P21" s="81">
        <f>'SAM(LEWIE Input)'!P21</f>
        <v>25999200.317082562</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0.1348053333333335</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0.21452168796234031</v>
      </c>
      <c r="N24" s="82">
        <f t="shared" si="2"/>
        <v>0.10874133221264971</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0.28361333333333344</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0.2250271584501578</v>
      </c>
      <c r="N26" s="82">
        <f t="shared" si="4"/>
        <v>0.20329901239756251</v>
      </c>
      <c r="O26" s="82">
        <f t="shared" si="4"/>
        <v>0.25607192306474197</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1.708800000000002E-2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3.4560097770420566E-2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2.2309333333333302E-3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2.6692876726501474E-2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1.9799533333333303E-2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7.1107375499054437E-2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4.5315813977549017E-2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4.1829999999999975E-3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9.2288295860474892E-2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0.10266666666666664</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2.1953333333333346E-2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1.3967202938285657E-2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0.41365986666666643</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350</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-0.1348053333333335</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-0.21452168796234031</v>
      </c>
      <c r="N63" s="82">
        <f t="shared" si="25"/>
        <v>-0.10874133221264971</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0.71638666666666651</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-0.2250271584501578</v>
      </c>
      <c r="N65" s="82">
        <f t="shared" si="27"/>
        <v>-0.20329901239756251</v>
      </c>
      <c r="O65" s="82">
        <f t="shared" si="27"/>
        <v>-0.25607192306474197</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-1.708800000000002E-2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-3.4560097770420566E-2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-2.2309333333333302E-3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-2.6692876726501474E-2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-1.9799533333333303E-2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-7.1107375499054437E-2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-4.5315813977549017E-2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-4.1829999999999975E-3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-9.2288295860474892E-2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-0.10266666666666664</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1.8603501857698572</v>
      </c>
      <c r="C81" s="82">
        <v>0.92161988548819151</v>
      </c>
      <c r="D81" s="82">
        <v>0.53856250478047618</v>
      </c>
      <c r="E81" s="82">
        <v>0</v>
      </c>
      <c r="F81" s="82">
        <v>1.0621376991699993</v>
      </c>
      <c r="G81" s="82">
        <v>1.0526479106769955</v>
      </c>
      <c r="H81" s="82">
        <v>1.0762361070487123</v>
      </c>
      <c r="I81" s="82">
        <v>1.072726711067274</v>
      </c>
      <c r="J81" s="82">
        <v>1.045472328468759</v>
      </c>
      <c r="K81" s="82">
        <v>1.1443665090613475</v>
      </c>
      <c r="L81" s="82">
        <v>1.0406819798353402</v>
      </c>
      <c r="M81" s="82">
        <v>0.93862829074888665</v>
      </c>
      <c r="N81" s="82">
        <v>0.70874467542318564</v>
      </c>
      <c r="O81" s="82">
        <v>0.65632964635760604</v>
      </c>
      <c r="P81" s="82">
        <v>0.23506319267015041</v>
      </c>
      <c r="Q81" s="1">
        <v>0.91414369498328596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1.4990792762103216</v>
      </c>
      <c r="C83" s="82">
        <v>1.511052291078155</v>
      </c>
      <c r="D83" s="82">
        <v>1.9893330833452181</v>
      </c>
      <c r="E83" s="82">
        <v>0</v>
      </c>
      <c r="F83" s="82">
        <v>1.7213743151174483</v>
      </c>
      <c r="G83" s="82">
        <v>1.7274986117201421</v>
      </c>
      <c r="H83" s="82">
        <v>1.7122758160793892</v>
      </c>
      <c r="I83" s="82">
        <v>1.7145406275556907</v>
      </c>
      <c r="J83" s="82">
        <v>1.7321294202753215</v>
      </c>
      <c r="K83" s="82">
        <v>1.6683074189023914</v>
      </c>
      <c r="L83" s="82">
        <v>1.7352209028603121</v>
      </c>
      <c r="M83" s="82">
        <v>1.4549635948889372</v>
      </c>
      <c r="N83" s="82">
        <v>1.2137602861739727</v>
      </c>
      <c r="O83" s="82">
        <v>1.3777095393344809</v>
      </c>
      <c r="P83" s="82">
        <v>0.48479670844961081</v>
      </c>
      <c r="Q83" s="1">
        <v>1.8167869309270339</v>
      </c>
      <c r="R83" s="1"/>
      <c r="S83" s="1"/>
      <c r="T83" s="1"/>
      <c r="U83" s="1"/>
      <c r="V83" s="1"/>
      <c r="W83" s="1"/>
      <c r="X83" s="1"/>
      <c r="Y83" s="1"/>
      <c r="Z83" s="1"/>
      <c r="AA83" s="1"/>
      <c r="AB83" s="1"/>
      <c r="AC83" s="1"/>
      <c r="AD83" s="1"/>
      <c r="AE83" s="1"/>
      <c r="AF83" s="1"/>
      <c r="AG83" s="1"/>
    </row>
    <row r="84" spans="1:33" x14ac:dyDescent="0.2">
      <c r="A84" s="60" t="str">
        <f t="shared" si="42"/>
        <v>NatRes</v>
      </c>
      <c r="B84" s="82">
        <v>4.0793110246633638E-2</v>
      </c>
      <c r="C84" s="82">
        <v>4.7290485896868815E-2</v>
      </c>
      <c r="D84" s="82">
        <v>3.8424383081816914E-2</v>
      </c>
      <c r="E84" s="82">
        <v>1</v>
      </c>
      <c r="F84" s="82">
        <v>3.8257674281667056E-2</v>
      </c>
      <c r="G84" s="82">
        <v>3.8303382639657504E-2</v>
      </c>
      <c r="H84" s="82">
        <v>3.8189768123917521E-2</v>
      </c>
      <c r="I84" s="82">
        <v>3.8206671422443939E-2</v>
      </c>
      <c r="J84" s="82">
        <v>3.833794443000782E-2</v>
      </c>
      <c r="K84" s="82">
        <v>3.7861612358641737E-2</v>
      </c>
      <c r="L84" s="82">
        <v>3.8361017543849796E-2</v>
      </c>
      <c r="M84" s="82">
        <v>6.7165482071908561E-2</v>
      </c>
      <c r="N84" s="82">
        <v>6.7259296738794286E-2</v>
      </c>
      <c r="O84" s="82">
        <v>3.8856297788266013E-2</v>
      </c>
      <c r="P84" s="82">
        <v>1.022376898043191E-2</v>
      </c>
      <c r="Q84" s="1">
        <v>3.8588817882417518E-2</v>
      </c>
      <c r="R84" s="1"/>
      <c r="S84" s="1"/>
      <c r="T84" s="1"/>
      <c r="U84" s="1"/>
      <c r="V84" s="1"/>
      <c r="W84" s="1"/>
      <c r="X84" s="1"/>
      <c r="Y84" s="1"/>
      <c r="Z84" s="1"/>
      <c r="AA84" s="1"/>
      <c r="AB84" s="1"/>
      <c r="AC84" s="1"/>
      <c r="AD84" s="1"/>
      <c r="AE84" s="1"/>
      <c r="AF84" s="1"/>
      <c r="AG84" s="1"/>
    </row>
    <row r="85" spans="1:33" x14ac:dyDescent="0.2">
      <c r="A85" s="60" t="str">
        <f t="shared" si="42"/>
        <v>L-MUSK</v>
      </c>
      <c r="B85" s="82">
        <v>0.23933658183307061</v>
      </c>
      <c r="C85" s="82">
        <v>0.12034731669557445</v>
      </c>
      <c r="D85" s="82">
        <v>7.2785300889232296E-2</v>
      </c>
      <c r="E85" s="82">
        <v>0</v>
      </c>
      <c r="F85" s="82">
        <v>1.1387136934898345</v>
      </c>
      <c r="G85" s="82">
        <v>0.13753781103007695</v>
      </c>
      <c r="H85" s="82">
        <v>0.1404606313217267</v>
      </c>
      <c r="I85" s="82">
        <v>0.1400257810421911</v>
      </c>
      <c r="J85" s="82">
        <v>0.13664868254597712</v>
      </c>
      <c r="K85" s="82">
        <v>0.14890268930457243</v>
      </c>
      <c r="L85" s="82">
        <v>0.13605510904975926</v>
      </c>
      <c r="M85" s="82">
        <v>0.14907334150815732</v>
      </c>
      <c r="N85" s="82">
        <v>0.12898412675248763</v>
      </c>
      <c r="O85" s="82">
        <v>9.3753385041815504E-2</v>
      </c>
      <c r="P85" s="82">
        <v>4.6698405161263778E-2</v>
      </c>
      <c r="Q85" s="1">
        <v>0.19399501637344979</v>
      </c>
      <c r="R85" s="1"/>
      <c r="S85" s="1"/>
      <c r="T85" s="1"/>
      <c r="U85" s="1"/>
      <c r="V85" s="1"/>
      <c r="W85" s="1"/>
      <c r="X85" s="1"/>
      <c r="Y85" s="1"/>
      <c r="Z85" s="1"/>
      <c r="AA85" s="1"/>
      <c r="AB85" s="1"/>
      <c r="AC85" s="1"/>
      <c r="AD85" s="1"/>
      <c r="AE85" s="1"/>
      <c r="AF85" s="1"/>
      <c r="AG85" s="1"/>
    </row>
    <row r="86" spans="1:33" x14ac:dyDescent="0.2">
      <c r="A86" s="60" t="str">
        <f t="shared" si="42"/>
        <v>L-FUSK</v>
      </c>
      <c r="B86" s="82">
        <v>0.18530551278434165</v>
      </c>
      <c r="C86" s="82">
        <v>0.11069013593903071</v>
      </c>
      <c r="D86" s="82">
        <v>8.4463683495298189E-2</v>
      </c>
      <c r="E86" s="82">
        <v>0</v>
      </c>
      <c r="F86" s="82">
        <v>0.12304554576796055</v>
      </c>
      <c r="G86" s="82">
        <v>1.1223845661697618</v>
      </c>
      <c r="H86" s="82">
        <v>0.12402752339388803</v>
      </c>
      <c r="I86" s="82">
        <v>0.12378308810985178</v>
      </c>
      <c r="J86" s="82">
        <v>0.12188477489956237</v>
      </c>
      <c r="K86" s="82">
        <v>0.12877291954055992</v>
      </c>
      <c r="L86" s="82">
        <v>0.12155111912659296</v>
      </c>
      <c r="M86" s="82">
        <v>0.12910752269275444</v>
      </c>
      <c r="N86" s="82">
        <v>0.15447636589329203</v>
      </c>
      <c r="O86" s="82">
        <v>9.0016067495432645E-2</v>
      </c>
      <c r="P86" s="82">
        <v>3.6459490633656694E-2</v>
      </c>
      <c r="Q86" s="1">
        <v>0.14727930281986903</v>
      </c>
      <c r="R86" s="1"/>
      <c r="S86" s="1"/>
      <c r="T86" s="1"/>
      <c r="U86" s="1"/>
      <c r="V86" s="1"/>
      <c r="W86" s="1"/>
      <c r="X86" s="1"/>
      <c r="Y86" s="1"/>
      <c r="Z86" s="1"/>
      <c r="AA86" s="1"/>
      <c r="AB86" s="1"/>
      <c r="AC86" s="1"/>
      <c r="AD86" s="1"/>
      <c r="AE86" s="1"/>
      <c r="AF86" s="1"/>
      <c r="AG86" s="1"/>
    </row>
    <row r="87" spans="1:33" x14ac:dyDescent="0.2">
      <c r="A87" s="60" t="str">
        <f t="shared" si="42"/>
        <v>L-MSK</v>
      </c>
      <c r="B87" s="82">
        <v>2.6191655707840867E-2</v>
      </c>
      <c r="C87" s="82">
        <v>2.4405854490630235E-2</v>
      </c>
      <c r="D87" s="82">
        <v>7.6309210404369955E-3</v>
      </c>
      <c r="E87" s="82">
        <v>0</v>
      </c>
      <c r="F87" s="82">
        <v>1.518691383072083E-2</v>
      </c>
      <c r="G87" s="82">
        <v>1.5077532438599668E-2</v>
      </c>
      <c r="H87" s="82">
        <v>1.0153494151848452</v>
      </c>
      <c r="I87" s="82">
        <v>1.5308965113883287E-2</v>
      </c>
      <c r="J87" s="82">
        <v>1.4994825097777968E-2</v>
      </c>
      <c r="K87" s="82">
        <v>1.6134701202906502E-2</v>
      </c>
      <c r="L87" s="82">
        <v>1.4939610484443292E-2</v>
      </c>
      <c r="M87" s="82">
        <v>5.864287128882955E-2</v>
      </c>
      <c r="N87" s="82">
        <v>5.2440848933857538E-2</v>
      </c>
      <c r="O87" s="82">
        <v>3.8177552207727623E-2</v>
      </c>
      <c r="P87" s="82">
        <v>8.4877430159747164E-2</v>
      </c>
      <c r="Q87" s="1">
        <v>0.33906974798015799</v>
      </c>
      <c r="R87" s="1"/>
      <c r="S87" s="1"/>
      <c r="T87" s="1"/>
      <c r="U87" s="1"/>
      <c r="V87" s="1"/>
      <c r="W87" s="1"/>
      <c r="X87" s="1"/>
      <c r="Y87" s="1"/>
      <c r="Z87" s="1"/>
      <c r="AA87" s="1"/>
      <c r="AB87" s="1"/>
      <c r="AC87" s="1"/>
      <c r="AD87" s="1"/>
      <c r="AE87" s="1"/>
      <c r="AF87" s="1"/>
      <c r="AG87" s="1"/>
    </row>
    <row r="88" spans="1:33" x14ac:dyDescent="0.2">
      <c r="A88" s="60" t="str">
        <f t="shared" si="42"/>
        <v>L-FSK</v>
      </c>
      <c r="B88" s="82">
        <v>1.9500855995905061E-2</v>
      </c>
      <c r="C88" s="82">
        <v>3.9245613687114142E-2</v>
      </c>
      <c r="D88" s="82">
        <v>1.2199358637120189E-2</v>
      </c>
      <c r="E88" s="82">
        <v>0</v>
      </c>
      <c r="F88" s="82">
        <v>1.4984092871135666E-2</v>
      </c>
      <c r="G88" s="82">
        <v>1.4966114911330158E-2</v>
      </c>
      <c r="H88" s="82">
        <v>1.5010801644503167E-2</v>
      </c>
      <c r="I88" s="82">
        <v>1.0150041532581937</v>
      </c>
      <c r="J88" s="82">
        <v>1.4952521106935478E-2</v>
      </c>
      <c r="K88" s="82">
        <v>1.5139871499939794E-2</v>
      </c>
      <c r="L88" s="82">
        <v>1.494344601582576E-2</v>
      </c>
      <c r="M88" s="82">
        <v>5.7567062842923178E-2</v>
      </c>
      <c r="N88" s="82">
        <v>0.10250511206473803</v>
      </c>
      <c r="O88" s="82">
        <v>2.8892982321362139E-2</v>
      </c>
      <c r="P88" s="82">
        <v>6.8409313793335582E-3</v>
      </c>
      <c r="Q88" s="1">
        <v>1.4211837731447524E-2</v>
      </c>
      <c r="R88" s="1"/>
      <c r="S88" s="1"/>
      <c r="T88" s="1"/>
      <c r="U88" s="1"/>
      <c r="V88" s="1"/>
      <c r="W88" s="1"/>
      <c r="X88" s="1"/>
      <c r="Y88" s="1"/>
      <c r="Z88" s="1"/>
      <c r="AA88" s="1"/>
      <c r="AB88" s="1"/>
      <c r="AC88" s="1"/>
      <c r="AD88" s="1"/>
      <c r="AE88" s="1"/>
      <c r="AF88" s="1"/>
      <c r="AG88" s="1"/>
    </row>
    <row r="89" spans="1:33" x14ac:dyDescent="0.2">
      <c r="A89" s="60" t="str">
        <f t="shared" si="42"/>
        <v>K</v>
      </c>
      <c r="B89" s="82">
        <v>0.71574261426093122</v>
      </c>
      <c r="C89" s="82">
        <v>0.75580244261334317</v>
      </c>
      <c r="D89" s="82">
        <v>0.36754323868073385</v>
      </c>
      <c r="E89" s="82">
        <v>0</v>
      </c>
      <c r="F89" s="82">
        <v>0.50064942372769039</v>
      </c>
      <c r="G89" s="82">
        <v>0.49873938126329076</v>
      </c>
      <c r="H89" s="82">
        <v>0.50348705891298673</v>
      </c>
      <c r="I89" s="82">
        <v>0.50278071067836771</v>
      </c>
      <c r="J89" s="82">
        <v>1.4972951270805315</v>
      </c>
      <c r="K89" s="82">
        <v>0.51719989993749271</v>
      </c>
      <c r="L89" s="82">
        <v>0.49633095708708497</v>
      </c>
      <c r="M89" s="82">
        <v>0.69301526208289699</v>
      </c>
      <c r="N89" s="82">
        <v>0.4729237151562341</v>
      </c>
      <c r="O89" s="82">
        <v>0.49187838412498874</v>
      </c>
      <c r="P89" s="82">
        <v>0.12157126595958199</v>
      </c>
      <c r="Q89" s="1">
        <v>0.46412213082587561</v>
      </c>
      <c r="R89" s="1"/>
      <c r="S89" s="1"/>
      <c r="T89" s="1"/>
      <c r="U89" s="1"/>
      <c r="V89" s="1"/>
      <c r="W89" s="1"/>
      <c r="X89" s="1"/>
      <c r="Y89" s="1"/>
      <c r="Z89" s="1"/>
      <c r="AA89" s="1"/>
      <c r="AB89" s="1"/>
      <c r="AC89" s="1"/>
      <c r="AD89" s="1"/>
      <c r="AE89" s="1"/>
      <c r="AF89" s="1"/>
      <c r="AG89" s="1"/>
    </row>
    <row r="90" spans="1:33" x14ac:dyDescent="0.2">
      <c r="A90" s="60" t="str">
        <f t="shared" si="42"/>
        <v>Poor</v>
      </c>
      <c r="B90" s="82">
        <v>0.11898852578325329</v>
      </c>
      <c r="C90" s="82">
        <v>9.3095373333985473E-2</v>
      </c>
      <c r="D90" s="82">
        <v>4.8177329612094956E-2</v>
      </c>
      <c r="E90" s="82">
        <v>0</v>
      </c>
      <c r="F90" s="82">
        <v>0.28280670315886214</v>
      </c>
      <c r="G90" s="82">
        <v>0.19083018522981945</v>
      </c>
      <c r="H90" s="82">
        <v>0.41945068273579195</v>
      </c>
      <c r="I90" s="82">
        <v>0.38543706666364841</v>
      </c>
      <c r="J90" s="82">
        <v>0.12128331744517554</v>
      </c>
      <c r="K90" s="82">
        <v>1.0797812208555579</v>
      </c>
      <c r="L90" s="82">
        <v>7.4854507436097534E-2</v>
      </c>
      <c r="M90" s="82">
        <v>0.11566691221066504</v>
      </c>
      <c r="N90" s="82">
        <v>0.11603088402656889</v>
      </c>
      <c r="O90" s="82">
        <v>7.453550455575822E-2</v>
      </c>
      <c r="P90" s="82">
        <v>5.0707151412372142E-2</v>
      </c>
      <c r="Q90" s="1">
        <v>0.19924560606336916</v>
      </c>
      <c r="R90" s="1"/>
      <c r="S90" s="1"/>
      <c r="T90" s="1"/>
      <c r="U90" s="1"/>
      <c r="V90" s="1"/>
      <c r="W90" s="1"/>
      <c r="X90" s="1"/>
      <c r="Y90" s="1"/>
      <c r="Z90" s="1"/>
      <c r="AA90" s="1"/>
      <c r="AB90" s="1"/>
      <c r="AC90" s="1"/>
      <c r="AD90" s="1"/>
      <c r="AE90" s="1"/>
      <c r="AF90" s="1"/>
      <c r="AG90" s="1"/>
    </row>
    <row r="91" spans="1:33" x14ac:dyDescent="0.2">
      <c r="A91" s="60" t="str">
        <f t="shared" si="42"/>
        <v>Nonpoor</v>
      </c>
      <c r="B91" s="82">
        <v>1.0670886947988361</v>
      </c>
      <c r="C91" s="82">
        <v>0.95739599009170717</v>
      </c>
      <c r="D91" s="82">
        <v>0.49644517313072661</v>
      </c>
      <c r="E91" s="82">
        <v>0</v>
      </c>
      <c r="F91" s="82">
        <v>1.5097729665284798</v>
      </c>
      <c r="G91" s="82">
        <v>1.5978752205832398</v>
      </c>
      <c r="H91" s="82">
        <v>1.3788847477221577</v>
      </c>
      <c r="I91" s="82">
        <v>1.4114656315388394</v>
      </c>
      <c r="J91" s="82">
        <v>1.664492613285609</v>
      </c>
      <c r="K91" s="82">
        <v>0.74636886062991348</v>
      </c>
      <c r="L91" s="82">
        <v>1.7089657343276088</v>
      </c>
      <c r="M91" s="82">
        <v>0.97173914820489637</v>
      </c>
      <c r="N91" s="82">
        <v>0.79529928477404044</v>
      </c>
      <c r="O91" s="82">
        <v>0.66818286663556847</v>
      </c>
      <c r="P91" s="82">
        <v>0.24574037188121106</v>
      </c>
      <c r="Q91" s="1">
        <v>0.95943242966743081</v>
      </c>
      <c r="R91" s="1"/>
      <c r="S91" s="1"/>
      <c r="T91" s="1"/>
      <c r="U91" s="1"/>
      <c r="V91" s="1"/>
      <c r="W91" s="1"/>
      <c r="X91" s="1"/>
      <c r="Y91" s="1"/>
      <c r="Z91" s="1"/>
      <c r="AA91" s="1"/>
      <c r="AB91" s="1"/>
      <c r="AC91" s="1"/>
      <c r="AD91" s="1"/>
      <c r="AE91" s="1"/>
      <c r="AF91" s="1"/>
      <c r="AG91" s="1"/>
    </row>
    <row r="92" spans="1:33" x14ac:dyDescent="0.2">
      <c r="A92" s="60" t="str">
        <f t="shared" si="42"/>
        <v>Restaurants</v>
      </c>
      <c r="B92" s="1">
        <v>6.0978654615887491E-3</v>
      </c>
      <c r="C92" s="1">
        <v>5.4710278250528739E-3</v>
      </c>
      <c r="D92" s="1">
        <v>2.8369299473995388E-3</v>
      </c>
      <c r="E92" s="1">
        <v>0</v>
      </c>
      <c r="F92" s="1">
        <v>8.6275793870817467E-3</v>
      </c>
      <c r="G92" s="1">
        <v>9.1310386540641563E-3</v>
      </c>
      <c r="H92" s="1">
        <v>7.8796202411567651E-3</v>
      </c>
      <c r="I92" s="1">
        <v>8.0658033083208583E-3</v>
      </c>
      <c r="J92" s="1">
        <v>9.5117229402728598E-3</v>
      </c>
      <c r="K92" s="1">
        <v>4.2651158418452583E-3</v>
      </c>
      <c r="L92" s="1">
        <v>9.7658640534651342E-3</v>
      </c>
      <c r="M92" s="1">
        <v>1.0055529916289005</v>
      </c>
      <c r="N92" s="1">
        <v>4.5447281597937759E-3</v>
      </c>
      <c r="O92" s="1">
        <v>8.661060353488155E-2</v>
      </c>
      <c r="P92" s="1">
        <v>1.4042803878593264E-3</v>
      </c>
      <c r="Q92" s="1">
        <v>5.4826650344188283E-3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4.7580707992729315E-2</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351</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352</v>
      </c>
      <c r="B2" s="85" t="s">
        <v>353</v>
      </c>
      <c r="C2" s="1"/>
      <c r="D2" s="1"/>
      <c r="E2" s="1"/>
      <c r="F2" s="1"/>
      <c r="G2" s="1"/>
      <c r="H2" s="1"/>
      <c r="I2" s="1"/>
      <c r="J2" s="1"/>
      <c r="K2" s="1"/>
      <c r="L2" s="1"/>
      <c r="M2" s="1"/>
      <c r="N2" s="1"/>
      <c r="O2" s="1"/>
      <c r="P2" s="1"/>
      <c r="Q2" s="1"/>
      <c r="R2" s="1"/>
      <c r="S2" s="1"/>
      <c r="T2" s="1"/>
      <c r="U2" s="1"/>
      <c r="V2" s="1"/>
      <c r="W2" s="1"/>
      <c r="X2" s="1"/>
      <c r="Y2" s="1"/>
      <c r="Z2" s="1"/>
    </row>
    <row r="3" spans="1:26" x14ac:dyDescent="0.2">
      <c r="A3" s="86" t="s">
        <v>354</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0.65632964635760604</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1.3777095393344809</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3.8856297788266013E-2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8.661060353488155E-2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355</v>
      </c>
      <c r="B10" s="90">
        <f>SUM(B4:B9)</f>
        <v>2.5878064725640901</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356</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357</v>
      </c>
      <c r="B12" s="93">
        <f>SUM(B13:B16)</f>
        <v>0.25083998706633787</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9.3753385041815504E-2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9.0016067495432645E-2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3.8177552207727623E-2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2.8892982321362139E-2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358</v>
      </c>
      <c r="B17" s="93">
        <f>'Multiplier Matrix (uncorrected)'!O89</f>
        <v>0.49187838412498874</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359</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7.453550455575822E-2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0.66818286663556847</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360</v>
      </c>
      <c r="B21" s="95">
        <f>SUM(B19:B20)</f>
        <v>0.74271837119132667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361</v>
      </c>
      <c r="B24" s="93">
        <f>SUM(B25:B26)</f>
        <v>1306.7033937377128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362</v>
      </c>
      <c r="B25" s="93">
        <f>B27*B19</f>
        <v>131.13422332712508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363</v>
      </c>
      <c r="B26" s="90">
        <f>B27*B20</f>
        <v>1175.5691704105877</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364</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2023-09-07T02:24:45Z</dcterms:modified>
</cp:coreProperties>
</file>