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at/Dropbox/Mdrive/LEWIE/LEWIE-Lite_repo/app_current/"/>
    </mc:Choice>
  </mc:AlternateContent>
  <xr:revisionPtr revIDLastSave="0" documentId="13_ncr:1_{EC4702CC-CD31-8E48-9AAC-FDA9E65D0935}" xr6:coauthVersionLast="47" xr6:coauthVersionMax="47" xr10:uidLastSave="{00000000-0000-0000-0000-000000000000}"/>
  <bookViews>
    <workbookView xWindow="520" yWindow="640" windowWidth="30880" windowHeight="20040" activeTab="1"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Households" sheetId="9"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0" l="1"/>
  <c r="C20" i="1" s="1"/>
  <c r="C19" i="1"/>
  <c r="B55" i="10"/>
  <c r="D20" i="1" l="1"/>
  <c r="D19" i="4"/>
  <c r="C21" i="8" l="1"/>
  <c r="D16" i="6"/>
  <c r="D15" i="6"/>
  <c r="C76"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75" i="10"/>
  <c r="C73" i="10"/>
  <c r="C72" i="10"/>
  <c r="C71" i="10"/>
  <c r="C69" i="10"/>
  <c r="C68" i="10"/>
  <c r="C67" i="10"/>
  <c r="C66" i="10"/>
  <c r="C65" i="10"/>
  <c r="C64" i="10"/>
  <c r="C42" i="8"/>
  <c r="C44" i="8"/>
  <c r="C78" i="10" l="1"/>
  <c r="F12" i="10"/>
  <c r="F13" i="10"/>
  <c r="F14" i="10"/>
  <c r="F15" i="10"/>
  <c r="F16" i="10"/>
  <c r="F17" i="10"/>
  <c r="F18" i="10"/>
  <c r="F19" i="10"/>
  <c r="F20" i="10"/>
  <c r="F11" i="10"/>
  <c r="C5" i="10"/>
  <c r="C35" i="10" s="1"/>
  <c r="C42" i="10"/>
  <c r="C67" i="8"/>
  <c r="C68" i="8"/>
  <c r="C69" i="8"/>
  <c r="C66" i="8"/>
  <c r="C64" i="8"/>
  <c r="C63" i="8"/>
  <c r="C62" i="8"/>
  <c r="C61" i="8"/>
  <c r="C60" i="8"/>
  <c r="C59" i="8"/>
  <c r="D16" i="7"/>
  <c r="D15" i="7"/>
  <c r="C44" i="10" l="1"/>
  <c r="C31" i="10"/>
  <c r="C34" i="10"/>
  <c r="C32" i="10"/>
  <c r="C33" i="10"/>
  <c r="C27" i="10"/>
  <c r="C29" i="10"/>
  <c r="C30" i="10"/>
  <c r="G18" i="8"/>
  <c r="G10" i="8"/>
  <c r="G11" i="8"/>
  <c r="G12" i="8"/>
  <c r="G13" i="8"/>
  <c r="G14" i="8"/>
  <c r="G15" i="8"/>
  <c r="G16" i="8"/>
  <c r="G17" i="8"/>
  <c r="G9" i="8"/>
  <c r="C4" i="8"/>
  <c r="C41" i="8" s="1"/>
  <c r="C59" i="10"/>
  <c r="C60" i="10"/>
  <c r="C39" i="1"/>
  <c r="C27" i="8" l="1"/>
  <c r="C25" i="8"/>
  <c r="C33" i="8"/>
  <c r="C32" i="8"/>
  <c r="C31" i="8"/>
  <c r="C30" i="8"/>
  <c r="C29" i="8"/>
  <c r="C28" i="8"/>
  <c r="C61" i="10"/>
  <c r="C8"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42" i="3" l="1"/>
  <c r="C31" i="3"/>
  <c r="C33" i="3"/>
  <c r="C30" i="3"/>
  <c r="C8" i="11" s="1"/>
  <c r="C8" i="12" s="1"/>
  <c r="C32" i="3"/>
  <c r="C10" i="11" s="1"/>
  <c r="C10" i="12" s="1"/>
  <c r="C29" i="3"/>
  <c r="C7" i="11" s="1"/>
  <c r="C7" i="12" s="1"/>
  <c r="C42" i="7"/>
  <c r="N20" i="11" s="1"/>
  <c r="N20" i="12" s="1"/>
  <c r="C34" i="7"/>
  <c r="C32" i="7"/>
  <c r="C30" i="7"/>
  <c r="C33" i="7"/>
  <c r="C31" i="7"/>
  <c r="C27" i="3"/>
  <c r="C25" i="3"/>
  <c r="C28" i="3"/>
  <c r="C6" i="11" s="1"/>
  <c r="C6" i="12" s="1"/>
  <c r="C9" i="11"/>
  <c r="C9" i="12" s="1"/>
  <c r="C41" i="3"/>
  <c r="N10" i="11"/>
  <c r="N10" i="12" s="1"/>
  <c r="C26" i="7"/>
  <c r="G35" i="2" s="1"/>
  <c r="C28" i="7"/>
  <c r="N7" i="11"/>
  <c r="N7" i="12" s="1"/>
  <c r="C29" i="7"/>
  <c r="N6" i="11" s="1"/>
  <c r="N6" i="12" s="1"/>
  <c r="C41" i="7"/>
  <c r="N19" i="11" s="1"/>
  <c r="N19" i="12" s="1"/>
  <c r="H9" i="9"/>
  <c r="C43" i="6"/>
  <c r="C41" i="6" s="1"/>
  <c r="I9" i="9"/>
  <c r="K9" i="9"/>
  <c r="J9" i="9"/>
  <c r="G36" i="2"/>
  <c r="O21" i="11"/>
  <c r="O21" i="12" s="1"/>
  <c r="G16" i="9"/>
  <c r="N8" i="11"/>
  <c r="N8" i="12" s="1"/>
  <c r="N5" i="11"/>
  <c r="N5" i="12" s="1"/>
  <c r="N9" i="11"/>
  <c r="N9" i="12" s="1"/>
  <c r="H16" i="9"/>
  <c r="B27" i="13"/>
  <c r="C45" i="1"/>
  <c r="C46" i="1" s="1"/>
  <c r="C19" i="11"/>
  <c r="C19" i="12" s="1"/>
  <c r="G38" i="2"/>
  <c r="C20" i="11"/>
  <c r="C20" i="12" s="1"/>
  <c r="C5" i="11"/>
  <c r="C5" i="12" s="1"/>
  <c r="C46" i="10"/>
  <c r="D45" i="9"/>
  <c r="D47" i="9" s="1"/>
  <c r="D48" i="9" s="1"/>
  <c r="L3" i="11"/>
  <c r="T15" i="12"/>
  <c r="T14" i="11"/>
  <c r="T4" i="11"/>
  <c r="P3" i="12"/>
  <c r="C45" i="9"/>
  <c r="C47" i="9" s="1"/>
  <c r="C48" i="9" s="1"/>
  <c r="K3" i="11"/>
  <c r="S12" i="12"/>
  <c r="C43" i="3" l="1"/>
  <c r="C40" i="6"/>
  <c r="M19" i="11" s="1"/>
  <c r="M19" i="12" s="1"/>
  <c r="C33" i="6"/>
  <c r="C31" i="6"/>
  <c r="M9" i="11" s="1"/>
  <c r="M9" i="12" s="1"/>
  <c r="C30" i="6"/>
  <c r="M8" i="11" s="1"/>
  <c r="M8" i="12" s="1"/>
  <c r="C32" i="6"/>
  <c r="M10" i="11" s="1"/>
  <c r="M10" i="12" s="1"/>
  <c r="C29" i="6"/>
  <c r="M7" i="11" s="1"/>
  <c r="M7" i="12" s="1"/>
  <c r="O25" i="12"/>
  <c r="O64" i="12" s="1"/>
  <c r="O24" i="12"/>
  <c r="S16" i="11"/>
  <c r="S21" i="11" s="1"/>
  <c r="S21" i="12" s="1"/>
  <c r="S34" i="12" s="1"/>
  <c r="C74" i="10"/>
  <c r="C43" i="10"/>
  <c r="P19" i="11" s="1"/>
  <c r="P19" i="12" s="1"/>
  <c r="C27" i="6"/>
  <c r="C43" i="4" s="1"/>
  <c r="C41" i="4" s="1"/>
  <c r="M20" i="11"/>
  <c r="M20" i="12" s="1"/>
  <c r="C28" i="6"/>
  <c r="C43" i="5" s="1"/>
  <c r="C41" i="5" s="1"/>
  <c r="C25" i="6"/>
  <c r="O38" i="12"/>
  <c r="O77" i="12" s="1"/>
  <c r="C11" i="11"/>
  <c r="C11" i="12" s="1"/>
  <c r="N11" i="11"/>
  <c r="N11" i="12" s="1"/>
  <c r="K21" i="11"/>
  <c r="K21" i="12" s="1"/>
  <c r="K3" i="12"/>
  <c r="O6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41" i="2" s="1"/>
  <c r="C31" i="4"/>
  <c r="C30" i="4"/>
  <c r="C29" i="4"/>
  <c r="C33" i="4"/>
  <c r="C32" i="4"/>
  <c r="S29" i="12"/>
  <c r="S30" i="12"/>
  <c r="S26" i="12"/>
  <c r="S25" i="12"/>
  <c r="S32" i="12"/>
  <c r="S35" i="12"/>
  <c r="S36" i="12"/>
  <c r="S27" i="12"/>
  <c r="C45" i="10"/>
  <c r="C47" i="10" s="1"/>
  <c r="S31" i="12"/>
  <c r="S24" i="12"/>
  <c r="S38" i="12"/>
  <c r="T16" i="11"/>
  <c r="T16" i="12" s="1"/>
  <c r="S40" i="12"/>
  <c r="S39" i="12"/>
  <c r="S16" i="12"/>
  <c r="S37" i="12" s="1"/>
  <c r="S28" i="12"/>
  <c r="S41" i="12"/>
  <c r="S33" i="12"/>
  <c r="C45" i="3"/>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9" i="10"/>
  <c r="F45" i="10"/>
  <c r="S42" i="12"/>
  <c r="U16" i="11"/>
  <c r="R17" i="11"/>
  <c r="R17" i="12" s="1"/>
  <c r="C28" i="5"/>
  <c r="C40" i="5"/>
  <c r="C27"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27" i="4"/>
  <c r="C40" i="4"/>
  <c r="C25" i="4"/>
  <c r="C25" i="2"/>
  <c r="C40" i="2"/>
  <c r="C27" i="2"/>
  <c r="C28"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2" i="12" s="1"/>
  <c r="F13" i="11"/>
  <c r="F21" i="11" s="1"/>
  <c r="F21" i="12" s="1"/>
  <c r="T7" i="11"/>
  <c r="T7" i="12" s="1"/>
  <c r="T8" i="11"/>
  <c r="G12" i="11"/>
  <c r="G12" i="12" s="1"/>
  <c r="R20" i="12"/>
  <c r="R21" i="11"/>
  <c r="R21" i="12" s="1"/>
  <c r="T20" i="11"/>
  <c r="E9" i="12"/>
  <c r="H12" i="11"/>
  <c r="E19" i="12"/>
  <c r="T19" i="11"/>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<sst xmlns="http://schemas.openxmlformats.org/spreadsheetml/2006/main" count="1206" uniqueCount="558">
  <si>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</si>
  <si>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</si>
  <si>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</si>
  <si>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</si>
  <si>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</si>
  <si>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</si>
  <si>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</si>
  <si>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</si>
  <si>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</si>
  <si>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</si>
  <si>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</si>
  <si>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</si>
  <si>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</si>
  <si>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</si>
  <si>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</si>
  <si>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</si>
  <si>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</si>
  <si>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</si>
  <si>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</si>
  <si>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</si>
  <si>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</si>
  <si>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</si>
  <si>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</si>
  <si>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</si>
  <si>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</si>
  <si>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</si>
  <si>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</si>
  <si>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</si>
  <si>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</si>
  <si>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</si>
  <si>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</si>
  <si>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</si>
  <si>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</si>
  <si>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</si>
  <si>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</si>
  <si>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</si>
  <si>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</si>
  <si>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</si>
  <si>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</si>
  <si>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</si>
  <si>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</si>
  <si>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</si>
  <si>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</si>
  <si>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</si>
  <si>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</si>
  <si>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</si>
  <si>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</si>
  <si>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</si>
  <si>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</si>
  <si>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</si>
  <si>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</si>
  <si>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</si>
  <si>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</si>
  <si>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</si>
  <si>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</si>
  <si>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</si>
  <si>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</si>
  <si>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</si>
  <si>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</si>
  <si>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</si>
  <si>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</si>
  <si>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</si>
  <si>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</si>
  <si>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</si>
  <si>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</si>
  <si>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</si>
  <si>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</si>
  <si>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</si>
  <si>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</si>
  <si>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</si>
  <si>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</si>
  <si>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</si>
  <si>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</si>
  <si>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</si>
  <si>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</si>
  <si>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</si>
  <si>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</si>
  <si>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</si>
  <si>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</si>
  <si>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</si>
  <si>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</si>
  <si>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</si>
  <si>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</si>
  <si>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</si>
  <si>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</si>
  <si>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</si>
  <si>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</si>
  <si>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</si>
  <si>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</si>
  <si>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</si>
  <si>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</si>
  <si>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</si>
  <si>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</si>
  <si>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</si>
  <si>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</si>
  <si>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</si>
  <si>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</si>
  <si>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</si>
  <si>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</si>
  <si>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</si>
  <si>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</si>
  <si>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</si>
  <si>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</si>
  <si>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</si>
  <si>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</si>
  <si>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</si>
  <si>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</si>
  <si>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</si>
  <si>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</si>
  <si>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</si>
  <si>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</si>
  <si>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</si>
  <si>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</si>
  <si>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</si>
  <si>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</si>
  <si>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</si>
  <si>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</si>
  <si>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</si>
  <si>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</si>
  <si>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</si>
  <si>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</si>
  <si>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</si>
  <si>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</si>
  <si>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</si>
  <si>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</si>
  <si>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</si>
  <si>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</si>
  <si>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</si>
  <si>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</si>
  <si>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</si>
  <si>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</si>
  <si>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</si>
  <si>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</si>
  <si>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</si>
  <si>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</si>
  <si>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</si>
  <si>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</si>
  <si>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</si>
  <si>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</si>
  <si>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</si>
  <si>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</si>
  <si>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</si>
  <si>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</si>
  <si>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</si>
  <si>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</si>
  <si>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</si>
  <si>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</si>
  <si>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</si>
  <si>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</si>
  <si>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</si>
  <si>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</si>
  <si>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</si>
  <si>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</si>
  <si>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</si>
  <si>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</si>
  <si>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</si>
  <si>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</si>
  <si>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</si>
  <si>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</si>
  <si>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</si>
  <si>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</si>
  <si>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</si>
  <si>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</si>
  <si>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</si>
  <si>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</si>
  <si>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</si>
  <si>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</si>
  <si>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</si>
  <si>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</si>
  <si>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</si>
  <si>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</si>
  <si>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</si>
  <si>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</si>
  <si>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</si>
  <si>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</si>
  <si>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</si>
  <si>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</si>
  <si>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</si>
  <si>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</si>
  <si>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</si>
  <si>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</si>
  <si>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</si>
  <si>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</si>
  <si>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</si>
  <si>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</si>
  <si>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</si>
  <si>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</si>
  <si>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</si>
  <si>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</si>
  <si>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</si>
  <si>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</si>
  <si>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</si>
  <si>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</si>
  <si>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</si>
  <si>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</si>
  <si>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</si>
  <si>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</si>
  <si>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</si>
  <si>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</si>
  <si>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</si>
  <si>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</si>
  <si>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</si>
  <si>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</si>
  <si>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</si>
  <si>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</si>
  <si>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</si>
  <si>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</si>
  <si>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</si>
  <si>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</si>
  <si>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</si>
  <si>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</si>
  <si>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</si>
  <si>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</si>
  <si>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</si>
  <si>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</si>
  <si>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</si>
  <si>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</si>
  <si>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</si>
  <si>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</si>
  <si>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</si>
  <si>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</si>
  <si>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</si>
  <si>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</si>
  <si>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</si>
  <si>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</si>
  <si>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</si>
  <si>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</si>
  <si>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</si>
  <si>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</si>
  <si>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</si>
  <si>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</si>
  <si>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</si>
  <si>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</si>
  <si>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</si>
  <si>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</si>
  <si>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</si>
  <si>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</si>
  <si>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</si>
  <si>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</si>
  <si>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</si>
  <si>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</si>
  <si>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</si>
  <si>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</si>
  <si>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</si>
  <si>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</si>
  <si>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</si>
  <si>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</si>
  <si>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</si>
  <si>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</si>
  <si>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</si>
  <si>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</si>
  <si>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</si>
  <si>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</si>
  <si>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</si>
  <si>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</si>
  <si>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</si>
  <si>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</si>
  <si>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</si>
  <si>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</si>
  <si>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</si>
  <si>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</si>
  <si>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</si>
  <si>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</si>
  <si>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</si>
  <si>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</si>
  <si>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</si>
  <si>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</si>
  <si>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</si>
  <si>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</si>
  <si>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</si>
  <si>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</si>
  <si>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</si>
  <si>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</si>
  <si>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</si>
  <si>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</si>
  <si>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</si>
  <si>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</si>
  <si>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</si>
  <si>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</si>
  <si>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</si>
  <si>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</si>
  <si>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</si>
  <si>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</si>
  <si>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</si>
  <si>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</si>
  <si>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</si>
  <si>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</si>
  <si>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</si>
  <si>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</si>
  <si>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</si>
  <si>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</si>
  <si>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</si>
  <si>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</si>
  <si>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</si>
  <si>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</si>
  <si>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</si>
  <si>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</si>
  <si>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</si>
  <si>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</si>
  <si>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</si>
  <si>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</si>
  <si>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</si>
  <si>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</si>
  <si>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</si>
  <si>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</si>
  <si>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</si>
  <si>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</si>
  <si>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</si>
  <si>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</si>
  <si>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</si>
  <si>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</si>
  <si>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</si>
  <si>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</si>
  <si>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</si>
  <si>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</si>
  <si>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</si>
  <si>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</si>
  <si>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</si>
  <si>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</si>
  <si>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</si>
  <si>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</si>
  <si>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</si>
  <si>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</si>
  <si>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</si>
  <si>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</si>
  <si>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</si>
  <si>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</si>
  <si>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</si>
  <si>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</si>
  <si>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</si>
  <si>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</si>
  <si>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</si>
  <si>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</si>
  <si>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</si>
  <si>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</si>
  <si>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</si>
  <si>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</si>
  <si>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</si>
  <si>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</si>
  <si>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</si>
  <si>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</si>
  <si>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</si>
  <si>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</si>
  <si>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</si>
  <si>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</si>
  <si>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</si>
  <si>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</si>
  <si>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</si>
  <si>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</si>
  <si>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</si>
  <si>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</si>
  <si>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</si>
  <si>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</si>
  <si>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</si>
  <si>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</si>
  <si>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</si>
  <si>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</si>
  <si>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</si>
  <si>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</si>
  <si>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</si>
  <si>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</si>
  <si>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</si>
  <si>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</si>
  <si>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</si>
  <si>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</si>
  <si>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</si>
  <si>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</si>
  <si>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</si>
  <si>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</si>
  <si>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</si>
  <si>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</si>
  <si>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</si>
  <si>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</si>
  <si>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</si>
  <si>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</si>
  <si>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</si>
  <si>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</si>
  <si>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</si>
  <si>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</si>
  <si>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</si>
  <si>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</si>
  <si>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</si>
  <si>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</si>
  <si>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</si>
  <si>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</si>
  <si>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</si>
  <si>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</si>
  <si>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</si>
  <si>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</si>
  <si>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</si>
  <si>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</si>
  <si>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</si>
  <si>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</si>
  <si>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</si>
  <si>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</si>
  <si>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</si>
  <si>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</si>
  <si>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</si>
  <si>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</si>
  <si>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</si>
  <si>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</si>
  <si>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</si>
  <si>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</si>
  <si>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</si>
  <si>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</si>
  <si>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</si>
  <si>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</si>
  <si>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</si>
  <si>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</si>
  <si>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</si>
  <si>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</si>
  <si>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</si>
  <si>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</si>
  <si>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</si>
  <si>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</si>
  <si>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</si>
  <si>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</si>
  <si>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</si>
  <si>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</si>
  <si>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</si>
  <si>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</si>
  <si>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</si>
  <si>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</si>
  <si>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</si>
  <si>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</si>
  <si>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</si>
  <si>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</si>
  <si>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</si>
  <si>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</si>
  <si>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</si>
  <si>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</si>
  <si>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</si>
  <si>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</si>
  <si>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</si>
  <si>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</si>
  <si>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</si>
  <si>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</si>
  <si>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</si>
  <si>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</si>
  <si>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</si>
  <si>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</si>
  <si>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</si>
  <si>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</si>
  <si>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</si>
  <si>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</si>
  <si>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</si>
  <si>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</si>
  <si>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</si>
  <si>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</si>
  <si>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</si>
  <si>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</si>
  <si>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</si>
  <si>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</si>
  <si>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</si>
  <si>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</si>
  <si>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</si>
  <si>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</si>
  <si>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</si>
  <si>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</si>
  <si>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</si>
  <si>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</si>
  <si>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</si>
  <si>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</si>
  <si>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</si>
  <si>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</si>
  <si>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</si>
  <si>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</si>
  <si>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</si>
  <si>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</si>
  <si>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</si>
  <si>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</si>
  <si>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</si>
  <si>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</si>
  <si>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</si>
  <si>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</si>
  <si>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</si>
  <si>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</si>
  <si>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</si>
  <si>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</si>
  <si>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</si>
  <si>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</si>
  <si>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</si>
  <si>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</si>
  <si>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</si>
  <si>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</si>
  <si>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</si>
  <si>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</si>
  <si>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</si>
  <si>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</si>
  <si>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</si>
  <si>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</si>
  <si>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</si>
  <si>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</si>
  <si>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</si>
  <si>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</si>
  <si>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</si>
  <si>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</si>
  <si>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</si>
  <si>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</si>
  <si>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</si>
  <si>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</si>
  <si>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</si>
  <si>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</si>
  <si>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</si>
  <si>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</si>
  <si>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</si>
  <si>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</si>
  <si>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</si>
  <si>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</si>
  <si>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</si>
  <si>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</si>
  <si>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</si>
  <si>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</si>
  <si>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</si>
  <si>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</si>
  <si>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</si>
  <si>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</si>
  <si>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</si>
  <si>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</si>
  <si>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</si>
  <si>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</si>
  <si>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</si>
  <si>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</si>
  <si>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</si>
  <si>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</si>
  <si>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</si>
  <si>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</si>
  <si>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</si>
  <si>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</si>
  <si>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</si>
  <si>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</si>
  <si>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</si>
  <si>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</si>
  <si>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</si>
  <si>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</si>
  <si>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</si>
  <si>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</si>
  <si>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</si>
  <si>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</si>
  <si>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</si>
  <si>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</si>
  <si>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</si>
  <si>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</si>
  <si>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</si>
  <si>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</si>
  <si>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</si>
  <si>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</si>
  <si>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</si>
  <si>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</si>
  <si>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</si>
  <si>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</si>
  <si>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</si>
  <si>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</si>
  <si>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</si>
  <si>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Park entry (note: this is also used for Nat Park revenue calculation)</t>
  </si>
  <si>
    <t>Park Name Here</t>
  </si>
  <si>
    <t>Enter the name of the park here. It will appear at the top of the dashboard</t>
  </si>
  <si>
    <t xml:space="preserve"> This should be equal to number of tourists * avg entry fee/tourist.  It will populate directly when you fill the tourist sheet.  If your park information does not match the calculation, check your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</si>
</sst>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6" x14ac:knownFonts="1">
    <font>
      <sz val="11"/>
      <color theme="1"/>
      <name val="Calibri"/>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bgColor rgb="FFFFFF00"/>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77">
    <xf numFmtId="0" fontId="0" fillId="0" borderId="0" xfId="0"/>
    <xf numFmtId="0" fontId="3" fillId="0" borderId="0" xfId="0" applyFont="1"/>
    <xf numFmtId="0" fontId="6" fillId="2" borderId="2" xfId="0" applyFont="1" applyFill="1" applyBorder="1"/>
    <xf numFmtId="0" fontId="6" fillId="2" borderId="3" xfId="0" applyFont="1" applyFill="1" applyBorder="1"/>
    <xf numFmtId="0" fontId="6" fillId="0" borderId="4" xfId="0" applyFont="1" applyBorder="1"/>
    <xf numFmtId="0" fontId="3" fillId="0" borderId="5" xfId="0" applyFont="1" applyBorder="1"/>
    <xf numFmtId="0" fontId="3" fillId="0" borderId="11" xfId="0" applyFont="1" applyBorder="1"/>
    <xf numFmtId="0" fontId="4" fillId="0" borderId="0" xfId="0" applyFont="1"/>
    <xf numFmtId="0" fontId="3" fillId="0" borderId="0" xfId="0" applyFont="1" applyAlignment="1">
      <alignment wrapText="1"/>
    </xf>
    <xf numFmtId="0" fontId="3" fillId="0" borderId="11" xfId="0" applyFont="1" applyBorder="1" applyAlignment="1">
      <alignment wrapText="1"/>
    </xf>
    <xf numFmtId="0" fontId="6" fillId="0" borderId="0" xfId="0" applyFont="1"/>
    <xf numFmtId="0" fontId="3" fillId="0" borderId="0" xfId="0" applyFont="1" applyAlignment="1">
      <alignment vertical="center" wrapText="1"/>
    </xf>
    <xf numFmtId="2" fontId="3" fillId="0" borderId="0" xfId="0" applyNumberFormat="1" applyFont="1" applyAlignment="1">
      <alignment horizontal="center" vertical="center"/>
    </xf>
    <xf numFmtId="1" fontId="7" fillId="0" borderId="15" xfId="0" applyNumberFormat="1" applyFont="1" applyBorder="1" applyAlignment="1">
      <alignment horizontal="center" vertical="center"/>
    </xf>
    <xf numFmtId="0" fontId="8" fillId="0" borderId="5" xfId="0" applyFont="1" applyBorder="1"/>
    <xf numFmtId="0" fontId="4" fillId="0" borderId="5" xfId="0" applyFont="1" applyBorder="1" applyAlignment="1">
      <alignment vertical="center" wrapText="1"/>
    </xf>
    <xf numFmtId="0" fontId="3" fillId="0" borderId="22" xfId="0" applyFont="1" applyBorder="1"/>
    <xf numFmtId="0" fontId="3" fillId="0" borderId="23" xfId="0" applyFont="1" applyBorder="1"/>
    <xf numFmtId="0" fontId="3" fillId="0" borderId="11" xfId="0" applyFont="1" applyBorder="1" applyAlignment="1">
      <alignment vertical="center" wrapText="1"/>
    </xf>
    <xf numFmtId="0" fontId="8" fillId="0" borderId="0" xfId="0" applyFont="1"/>
    <xf numFmtId="1" fontId="7" fillId="0" borderId="24" xfId="0" applyNumberFormat="1" applyFont="1" applyBorder="1" applyAlignment="1">
      <alignment horizontal="center" vertical="center"/>
    </xf>
    <xf numFmtId="43" fontId="3" fillId="0" borderId="25" xfId="0" applyNumberFormat="1" applyFont="1" applyBorder="1"/>
    <xf numFmtId="9" fontId="3" fillId="0" borderId="0" xfId="0" applyNumberFormat="1" applyFont="1"/>
    <xf numFmtId="0" fontId="10" fillId="0" borderId="0" xfId="0" applyFont="1"/>
    <xf numFmtId="0" fontId="4" fillId="3" borderId="1" xfId="0" applyFont="1" applyFill="1" applyBorder="1"/>
    <xf numFmtId="3" fontId="5" fillId="3" borderId="2" xfId="0" applyNumberFormat="1" applyFont="1" applyFill="1" applyBorder="1"/>
    <xf numFmtId="0" fontId="6" fillId="3" borderId="2" xfId="0" applyFont="1" applyFill="1" applyBorder="1"/>
    <xf numFmtId="0" fontId="6" fillId="3" borderId="3" xfId="0" applyFont="1" applyFill="1" applyBorder="1"/>
    <xf numFmtId="43" fontId="3" fillId="0" borderId="0" xfId="0" applyNumberFormat="1" applyFont="1"/>
    <xf numFmtId="0" fontId="3" fillId="0" borderId="4" xfId="0" applyFont="1" applyBorder="1"/>
    <xf numFmtId="0" fontId="3" fillId="0" borderId="21" xfId="0" applyFont="1" applyBorder="1"/>
    <xf numFmtId="0" fontId="3" fillId="0" borderId="4" xfId="0" applyFont="1" applyBorder="1" applyAlignment="1">
      <alignment vertical="center" wrapText="1"/>
    </xf>
    <xf numFmtId="9" fontId="3" fillId="0" borderId="0" xfId="0" applyNumberFormat="1" applyFont="1" applyAlignment="1">
      <alignment vertical="center" wrapText="1"/>
    </xf>
    <xf numFmtId="0" fontId="4" fillId="2" borderId="6" xfId="0" applyFont="1" applyFill="1" applyBorder="1"/>
    <xf numFmtId="3" fontId="5" fillId="2" borderId="6" xfId="0" applyNumberFormat="1" applyFont="1" applyFill="1" applyBorder="1"/>
    <xf numFmtId="0" fontId="6" fillId="2" borderId="6" xfId="0" applyFont="1" applyFill="1" applyBorder="1"/>
    <xf numFmtId="0" fontId="6" fillId="0" borderId="0" xfId="0" applyFont="1" applyAlignment="1">
      <alignment vertical="center" wrapText="1"/>
    </xf>
    <xf numFmtId="0" fontId="3" fillId="0" borderId="0" xfId="0" applyFont="1" applyAlignment="1">
      <alignment vertical="center"/>
    </xf>
    <xf numFmtId="1" fontId="7" fillId="0" borderId="17" xfId="0" applyNumberFormat="1" applyFont="1" applyBorder="1" applyAlignment="1">
      <alignment horizontal="center"/>
    </xf>
    <xf numFmtId="1" fontId="7" fillId="0" borderId="28" xfId="0" applyNumberFormat="1" applyFont="1" applyBorder="1" applyAlignment="1">
      <alignment horizontal="center" vertical="center"/>
    </xf>
    <xf numFmtId="10" fontId="6" fillId="0" borderId="0" xfId="0" applyNumberFormat="1" applyFont="1" applyAlignment="1">
      <alignment vertical="center" wrapText="1"/>
    </xf>
    <xf numFmtId="3" fontId="5" fillId="0" borderId="5" xfId="0" applyNumberFormat="1" applyFont="1" applyBorder="1" applyAlignment="1">
      <alignment vertical="center"/>
    </xf>
    <xf numFmtId="0" fontId="13" fillId="0" borderId="0" xfId="0" applyFont="1"/>
    <xf numFmtId="44" fontId="3" fillId="0" borderId="11" xfId="0" applyNumberFormat="1" applyFont="1" applyBorder="1"/>
    <xf numFmtId="0" fontId="5" fillId="0" borderId="5" xfId="0" applyFont="1" applyBorder="1" applyAlignment="1">
      <alignment vertical="center"/>
    </xf>
    <xf numFmtId="44" fontId="10" fillId="0" borderId="0" xfId="0" applyNumberFormat="1" applyFont="1"/>
    <xf numFmtId="0" fontId="11" fillId="0" borderId="4" xfId="0" applyFont="1" applyBorder="1"/>
    <xf numFmtId="0" fontId="11" fillId="0" borderId="21" xfId="0" applyFont="1" applyBorder="1"/>
    <xf numFmtId="44" fontId="11" fillId="0" borderId="0" xfId="0" applyNumberFormat="1" applyFont="1"/>
    <xf numFmtId="0" fontId="11" fillId="0" borderId="0" xfId="0" applyFont="1"/>
    <xf numFmtId="44" fontId="3" fillId="0" borderId="0" xfId="0" applyNumberFormat="1" applyFont="1" applyAlignment="1">
      <alignment vertical="center" wrapText="1"/>
    </xf>
    <xf numFmtId="9" fontId="3" fillId="0" borderId="0" xfId="0" applyNumberFormat="1" applyFont="1" applyAlignment="1">
      <alignment vertical="center"/>
    </xf>
    <xf numFmtId="2" fontId="3" fillId="0" borderId="0" xfId="0" applyNumberFormat="1" applyFont="1"/>
    <xf numFmtId="3" fontId="13" fillId="0" borderId="0" xfId="0" applyNumberFormat="1" applyFont="1"/>
    <xf numFmtId="0" fontId="4" fillId="0" borderId="5" xfId="0" applyFont="1" applyBorder="1"/>
    <xf numFmtId="167" fontId="17" fillId="0" borderId="22" xfId="0" applyNumberFormat="1" applyFont="1" applyBorder="1" applyAlignment="1">
      <alignment horizontal="right" vertical="center"/>
    </xf>
    <xf numFmtId="167" fontId="17" fillId="0" borderId="30" xfId="0" applyNumberFormat="1" applyFont="1" applyBorder="1" applyAlignment="1">
      <alignment horizontal="right" vertical="center"/>
    </xf>
    <xf numFmtId="10" fontId="3" fillId="0" borderId="0" xfId="0" applyNumberFormat="1" applyFont="1"/>
    <xf numFmtId="0" fontId="4" fillId="0" borderId="0" xfId="0" applyFont="1" applyAlignment="1">
      <alignment horizontal="right" vertical="center" wrapText="1"/>
    </xf>
    <xf numFmtId="1" fontId="3" fillId="0" borderId="0" xfId="0" applyNumberFormat="1" applyFont="1"/>
    <xf numFmtId="0" fontId="3" fillId="0" borderId="0" xfId="0" applyFont="1" applyAlignment="1">
      <alignment horizontal="center"/>
    </xf>
    <xf numFmtId="0" fontId="18" fillId="0" borderId="0" xfId="0" applyFont="1"/>
    <xf numFmtId="1" fontId="7" fillId="0" borderId="0" xfId="0" applyNumberFormat="1" applyFont="1" applyAlignment="1">
      <alignment horizontal="right" vertical="center"/>
    </xf>
    <xf numFmtId="1" fontId="19" fillId="0" borderId="0" xfId="0" applyNumberFormat="1" applyFont="1"/>
    <xf numFmtId="1" fontId="7" fillId="5" borderId="5" xfId="0" applyNumberFormat="1" applyFont="1" applyFill="1" applyBorder="1" applyAlignment="1">
      <alignment horizontal="center" vertical="center"/>
    </xf>
    <xf numFmtId="1" fontId="7" fillId="5" borderId="8" xfId="0" applyNumberFormat="1" applyFont="1" applyFill="1" applyBorder="1" applyAlignment="1">
      <alignment horizontal="center" vertical="center"/>
    </xf>
    <xf numFmtId="1" fontId="7" fillId="5" borderId="8" xfId="0" applyNumberFormat="1" applyFont="1" applyFill="1" applyBorder="1" applyAlignment="1">
      <alignment horizontal="center"/>
    </xf>
    <xf numFmtId="1" fontId="7" fillId="5" borderId="34" xfId="0" applyNumberFormat="1" applyFont="1" applyFill="1" applyBorder="1" applyAlignment="1">
      <alignment horizontal="center" vertical="center"/>
    </xf>
    <xf numFmtId="1" fontId="3" fillId="0" borderId="0" xfId="0" applyNumberFormat="1" applyFont="1" applyAlignment="1">
      <alignment horizontal="center"/>
    </xf>
    <xf numFmtId="1" fontId="7" fillId="5" borderId="35" xfId="0" applyNumberFormat="1" applyFont="1" applyFill="1" applyBorder="1" applyAlignment="1">
      <alignment horizontal="center" vertical="center"/>
    </xf>
    <xf numFmtId="165" fontId="7" fillId="5" borderId="5" xfId="0" applyNumberFormat="1" applyFont="1" applyFill="1" applyBorder="1" applyAlignment="1">
      <alignment horizontal="right" vertical="center"/>
    </xf>
    <xf numFmtId="165" fontId="7" fillId="6" borderId="5" xfId="0" applyNumberFormat="1" applyFont="1" applyFill="1" applyBorder="1" applyAlignment="1">
      <alignment horizontal="right" vertical="center"/>
    </xf>
    <xf numFmtId="165" fontId="7" fillId="5" borderId="5" xfId="0" applyNumberFormat="1" applyFont="1" applyFill="1" applyBorder="1" applyAlignment="1">
      <alignment horizontal="right"/>
    </xf>
    <xf numFmtId="43" fontId="7" fillId="5" borderId="5" xfId="0" applyNumberFormat="1" applyFont="1" applyFill="1" applyBorder="1" applyAlignment="1">
      <alignment horizontal="right"/>
    </xf>
    <xf numFmtId="165" fontId="7" fillId="4" borderId="5" xfId="0" applyNumberFormat="1" applyFont="1" applyFill="1" applyBorder="1" applyAlignment="1">
      <alignment horizontal="right" vertical="center"/>
    </xf>
    <xf numFmtId="168" fontId="7" fillId="5" borderId="5" xfId="0" applyNumberFormat="1" applyFont="1" applyFill="1" applyBorder="1" applyAlignment="1">
      <alignment horizontal="right"/>
    </xf>
    <xf numFmtId="165" fontId="3" fillId="5" borderId="5" xfId="0" applyNumberFormat="1" applyFont="1" applyFill="1" applyBorder="1" applyAlignment="1">
      <alignment horizontal="right"/>
    </xf>
    <xf numFmtId="1" fontId="7" fillId="5" borderId="36" xfId="0" applyNumberFormat="1" applyFont="1" applyFill="1" applyBorder="1" applyAlignment="1">
      <alignment horizontal="center" vertical="center"/>
    </xf>
    <xf numFmtId="1" fontId="7" fillId="5" borderId="35" xfId="0" applyNumberFormat="1" applyFont="1" applyFill="1" applyBorder="1" applyAlignment="1">
      <alignment horizontal="center"/>
    </xf>
    <xf numFmtId="1" fontId="7" fillId="5" borderId="37" xfId="0" applyNumberFormat="1" applyFont="1" applyFill="1" applyBorder="1" applyAlignment="1">
      <alignment horizontal="center" vertical="center"/>
    </xf>
    <xf numFmtId="1" fontId="3" fillId="0" borderId="0" xfId="0" applyNumberFormat="1" applyFont="1" applyAlignment="1">
      <alignment horizontal="right"/>
    </xf>
    <xf numFmtId="167" fontId="3" fillId="0" borderId="0" xfId="0" applyNumberFormat="1" applyFont="1" applyAlignment="1">
      <alignment horizontal="right"/>
    </xf>
    <xf numFmtId="167" fontId="3" fillId="0" borderId="0" xfId="0" applyNumberFormat="1" applyFont="1"/>
    <xf numFmtId="0" fontId="3" fillId="0" borderId="12" xfId="0" applyFont="1" applyBorder="1" applyAlignment="1">
      <alignment horizontal="center"/>
    </xf>
    <xf numFmtId="0" fontId="3" fillId="0" borderId="23" xfId="0" applyFont="1" applyBorder="1" applyAlignment="1">
      <alignment horizontal="center" wrapText="1"/>
    </xf>
    <xf numFmtId="0" fontId="3" fillId="0" borderId="30" xfId="0" applyFont="1" applyBorder="1"/>
    <xf numFmtId="1" fontId="3" fillId="0" borderId="30" xfId="0" applyNumberFormat="1" applyFont="1" applyBorder="1" applyAlignment="1">
      <alignment horizontal="right"/>
    </xf>
    <xf numFmtId="2" fontId="3" fillId="0" borderId="30" xfId="0" applyNumberFormat="1" applyFont="1" applyBorder="1" applyAlignment="1">
      <alignment horizontal="right"/>
    </xf>
    <xf numFmtId="1" fontId="3" fillId="0" borderId="12" xfId="0" applyNumberFormat="1" applyFont="1" applyBorder="1" applyAlignment="1">
      <alignment horizontal="right"/>
    </xf>
    <xf numFmtId="2" fontId="3" fillId="0" borderId="23" xfId="0" applyNumberFormat="1" applyFont="1" applyBorder="1" applyAlignment="1">
      <alignment horizontal="center"/>
    </xf>
    <xf numFmtId="1" fontId="3" fillId="0" borderId="30" xfId="0" applyNumberFormat="1" applyFont="1" applyBorder="1"/>
    <xf numFmtId="2" fontId="3" fillId="0" borderId="22" xfId="0" applyNumberFormat="1" applyFont="1" applyBorder="1"/>
    <xf numFmtId="2" fontId="3" fillId="0" borderId="22" xfId="0" applyNumberFormat="1" applyFont="1" applyBorder="1" applyAlignment="1">
      <alignment horizontal="center"/>
    </xf>
    <xf numFmtId="1" fontId="3" fillId="0" borderId="12" xfId="0" applyNumberFormat="1" applyFont="1" applyBorder="1"/>
    <xf numFmtId="2" fontId="3" fillId="4" borderId="23" xfId="0" applyNumberFormat="1" applyFont="1" applyFill="1" applyBorder="1" applyAlignment="1">
      <alignment horizontal="center"/>
    </xf>
    <xf numFmtId="2" fontId="3" fillId="0" borderId="11" xfId="0" applyNumberFormat="1" applyFont="1" applyBorder="1"/>
    <xf numFmtId="1" fontId="3" fillId="0" borderId="31" xfId="0" applyNumberFormat="1" applyFont="1" applyBorder="1"/>
    <xf numFmtId="1" fontId="3" fillId="0" borderId="31" xfId="0" applyNumberFormat="1" applyFont="1" applyBorder="1" applyAlignment="1">
      <alignment horizontal="right"/>
    </xf>
    <xf numFmtId="1" fontId="3" fillId="0" borderId="38" xfId="0" applyNumberFormat="1" applyFont="1" applyBorder="1" applyAlignment="1">
      <alignment horizontal="right"/>
    </xf>
    <xf numFmtId="2" fontId="3" fillId="0" borderId="0" xfId="0" applyNumberFormat="1" applyFont="1" applyAlignment="1">
      <alignment horizontal="center"/>
    </xf>
    <xf numFmtId="2" fontId="0" fillId="0" borderId="0" xfId="0" applyNumberFormat="1"/>
    <xf numFmtId="0" fontId="6" fillId="0" borderId="6" xfId="0" applyFont="1" applyBorder="1" applyAlignment="1">
      <alignment horizontal="right" vertical="center" wrapText="1"/>
    </xf>
    <xf numFmtId="0" fontId="3" fillId="0" borderId="6" xfId="0" applyFont="1" applyBorder="1"/>
    <xf numFmtId="165" fontId="24" fillId="5" borderId="5" xfId="0" applyNumberFormat="1" applyFont="1" applyFill="1" applyBorder="1" applyAlignment="1">
      <alignment horizontal="right" vertical="center"/>
    </xf>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3" fillId="0" borderId="0" xfId="0" applyNumberFormat="1" applyFont="1"/>
    <xf numFmtId="171" fontId="3" fillId="0" borderId="0" xfId="0" applyNumberFormat="1" applyFont="1"/>
    <xf numFmtId="43" fontId="0" fillId="0" borderId="0" xfId="0" applyNumberFormat="1"/>
    <xf numFmtId="43" fontId="13" fillId="0" borderId="0" xfId="1" applyFont="1"/>
    <xf numFmtId="43" fontId="0" fillId="0" borderId="0" xfId="1" applyFont="1"/>
    <xf numFmtId="9" fontId="6" fillId="8" borderId="0" xfId="2" applyFont="1" applyFill="1" applyAlignment="1">
      <alignment vertical="center"/>
    </xf>
    <xf numFmtId="9" fontId="3" fillId="0" borderId="0" xfId="2" applyFont="1" applyAlignment="1">
      <alignment horizontal="center" vertical="center"/>
    </xf>
    <xf numFmtId="9" fontId="6" fillId="8" borderId="5" xfId="0" applyNumberFormat="1" applyFont="1" applyFill="1" applyBorder="1" applyAlignment="1">
      <alignment vertical="center"/>
    </xf>
    <xf numFmtId="166" fontId="0" fillId="0" borderId="0" xfId="0" applyNumberFormat="1"/>
    <xf numFmtId="0" fontId="0" fillId="0" borderId="6" xfId="0" applyBorder="1"/>
    <xf numFmtId="0" fontId="8" fillId="0" borderId="6" xfId="0" applyFont="1" applyBorder="1"/>
    <xf numFmtId="0" fontId="4" fillId="7" borderId="47" xfId="0" applyFont="1" applyFill="1" applyBorder="1" applyAlignment="1">
      <alignment horizontal="right" vertical="center" wrapText="1"/>
    </xf>
    <xf numFmtId="0" fontId="6" fillId="7" borderId="47" xfId="0" applyFont="1" applyFill="1" applyBorder="1" applyAlignment="1">
      <alignment horizontal="right" vertical="center" wrapText="1"/>
    </xf>
    <xf numFmtId="166" fontId="4" fillId="8" borderId="47" xfId="0" applyNumberFormat="1" applyFont="1" applyFill="1" applyBorder="1" applyAlignment="1">
      <alignment vertical="center" wrapText="1"/>
    </xf>
    <xf numFmtId="166" fontId="6" fillId="8" borderId="47" xfId="0" applyNumberFormat="1" applyFont="1" applyFill="1" applyBorder="1" applyAlignment="1">
      <alignment vertical="center" wrapText="1"/>
    </xf>
    <xf numFmtId="9" fontId="4" fillId="8" borderId="47" xfId="0" applyNumberFormat="1" applyFont="1" applyFill="1" applyBorder="1" applyAlignment="1">
      <alignment vertical="center" wrapText="1"/>
    </xf>
    <xf numFmtId="9" fontId="6" fillId="8" borderId="47" xfId="2" applyFont="1" applyFill="1" applyBorder="1" applyAlignment="1">
      <alignment vertical="center"/>
    </xf>
    <xf numFmtId="166" fontId="3" fillId="7" borderId="47" xfId="2" applyNumberFormat="1" applyFont="1" applyFill="1" applyBorder="1"/>
    <xf numFmtId="0" fontId="3" fillId="0" borderId="6" xfId="0" applyFont="1" applyBorder="1" applyAlignment="1">
      <alignment wrapText="1"/>
    </xf>
    <xf numFmtId="0" fontId="6" fillId="0" borderId="6" xfId="0" applyFont="1" applyBorder="1"/>
    <xf numFmtId="0" fontId="3" fillId="0" borderId="6" xfId="0" applyFont="1" applyBorder="1" applyAlignment="1">
      <alignment vertical="center" wrapText="1"/>
    </xf>
    <xf numFmtId="0" fontId="26" fillId="0" borderId="0" xfId="0" applyFont="1"/>
    <xf numFmtId="0" fontId="3" fillId="9" borderId="47" xfId="0" applyFont="1" applyFill="1" applyBorder="1"/>
    <xf numFmtId="0" fontId="4" fillId="0" borderId="6" xfId="0" applyFont="1" applyBorder="1"/>
    <xf numFmtId="3" fontId="5" fillId="2" borderId="4" xfId="0" applyNumberFormat="1" applyFont="1" applyFill="1" applyBorder="1"/>
    <xf numFmtId="164" fontId="5" fillId="9" borderId="34" xfId="0" applyNumberFormat="1" applyFont="1" applyFill="1" applyBorder="1"/>
    <xf numFmtId="164" fontId="4" fillId="9" borderId="34" xfId="0" applyNumberFormat="1" applyFont="1" applyFill="1" applyBorder="1"/>
    <xf numFmtId="0" fontId="4" fillId="2" borderId="57" xfId="0" applyFont="1" applyFill="1" applyBorder="1"/>
    <xf numFmtId="4" fontId="4" fillId="9" borderId="34" xfId="0" applyNumberFormat="1" applyFont="1" applyFill="1" applyBorder="1"/>
    <xf numFmtId="0" fontId="4" fillId="0" borderId="22" xfId="0" applyFont="1" applyBorder="1"/>
    <xf numFmtId="0" fontId="29" fillId="0" borderId="0" xfId="0" applyFont="1"/>
    <xf numFmtId="0" fontId="2" fillId="0" borderId="0" xfId="0" applyFont="1"/>
    <xf numFmtId="0" fontId="4" fillId="0" borderId="6" xfId="0" applyFont="1" applyBorder="1" applyAlignment="1">
      <alignment vertical="center"/>
    </xf>
    <xf numFmtId="3" fontId="14" fillId="0" borderId="6" xfId="0" applyNumberFormat="1" applyFont="1" applyBorder="1" applyAlignment="1">
      <alignment vertical="center"/>
    </xf>
    <xf numFmtId="0" fontId="14" fillId="0" borderId="37" xfId="0" applyFont="1" applyBorder="1" applyAlignment="1">
      <alignment vertical="center"/>
    </xf>
    <xf numFmtId="3" fontId="14" fillId="0" borderId="37" xfId="0" applyNumberFormat="1" applyFont="1" applyBorder="1" applyAlignment="1">
      <alignment vertical="center"/>
    </xf>
    <xf numFmtId="0" fontId="15" fillId="0" borderId="6" xfId="0" applyFont="1" applyBorder="1"/>
    <xf numFmtId="44" fontId="15" fillId="0" borderId="6" xfId="0" applyNumberFormat="1" applyFont="1" applyBorder="1"/>
    <xf numFmtId="0" fontId="4" fillId="2" borderId="49" xfId="0" applyFont="1" applyFill="1" applyBorder="1"/>
    <xf numFmtId="3" fontId="5" fillId="2" borderId="50" xfId="0" applyNumberFormat="1" applyFont="1" applyFill="1" applyBorder="1"/>
    <xf numFmtId="0" fontId="6" fillId="2" borderId="50" xfId="0" applyFont="1" applyFill="1" applyBorder="1"/>
    <xf numFmtId="0" fontId="6" fillId="2" borderId="51" xfId="0" applyFont="1" applyFill="1" applyBorder="1"/>
    <xf numFmtId="0" fontId="11" fillId="0" borderId="6" xfId="0" applyFont="1" applyBorder="1"/>
    <xf numFmtId="0" fontId="13" fillId="0" borderId="6" xfId="0" applyFont="1" applyBorder="1"/>
    <xf numFmtId="0" fontId="4" fillId="0" borderId="6" xfId="0" applyFont="1" applyBorder="1" applyAlignment="1">
      <alignment horizontal="right" vertical="center" wrapText="1"/>
    </xf>
    <xf numFmtId="44" fontId="4" fillId="0" borderId="6" xfId="0" applyNumberFormat="1" applyFont="1" applyBorder="1" applyAlignment="1">
      <alignment vertical="center" wrapText="1"/>
    </xf>
    <xf numFmtId="44" fontId="10" fillId="0" borderId="6" xfId="0" applyNumberFormat="1" applyFont="1" applyBorder="1"/>
    <xf numFmtId="4" fontId="6" fillId="0" borderId="6" xfId="0" applyNumberFormat="1" applyFont="1" applyBorder="1" applyAlignment="1">
      <alignment vertical="center" wrapText="1"/>
    </xf>
    <xf numFmtId="0" fontId="4" fillId="0" borderId="6" xfId="0" applyFont="1" applyBorder="1" applyAlignment="1">
      <alignment vertical="center" wrapText="1"/>
    </xf>
    <xf numFmtId="9" fontId="4" fillId="0" borderId="6" xfId="0" applyNumberFormat="1" applyFont="1" applyBorder="1" applyAlignment="1">
      <alignment vertical="center"/>
    </xf>
    <xf numFmtId="0" fontId="10" fillId="0" borderId="0" xfId="0" applyFont="1" applyAlignment="1">
      <alignment vertical="center" wrapText="1"/>
    </xf>
    <xf numFmtId="166" fontId="3" fillId="0" borderId="6" xfId="0" applyNumberFormat="1" applyFont="1" applyBorder="1"/>
    <xf numFmtId="166" fontId="3" fillId="0" borderId="0" xfId="0" applyNumberFormat="1" applyFont="1" applyAlignment="1">
      <alignment wrapText="1"/>
    </xf>
    <xf numFmtId="4" fontId="0" fillId="0" borderId="0" xfId="0" applyNumberFormat="1"/>
    <xf numFmtId="173" fontId="0" fillId="0" borderId="0" xfId="0" applyNumberFormat="1"/>
    <xf numFmtId="174" fontId="3" fillId="7" borderId="47" xfId="2" applyNumberFormat="1" applyFont="1" applyFill="1" applyBorder="1"/>
    <xf numFmtId="173" fontId="3" fillId="0" borderId="0" xfId="2" applyNumberFormat="1" applyFont="1" applyAlignment="1">
      <alignment horizontal="center" vertical="center"/>
    </xf>
    <xf numFmtId="0" fontId="0" fillId="10" borderId="0" xfId="0" applyFill="1"/>
    <xf numFmtId="0" fontId="4" fillId="10" borderId="0" xfId="0" applyFont="1" applyFill="1"/>
    <xf numFmtId="0" fontId="6" fillId="10" borderId="5" xfId="0" applyFont="1" applyFill="1" applyBorder="1" applyAlignment="1">
      <alignment vertical="center" wrapText="1"/>
    </xf>
    <xf numFmtId="0" fontId="6" fillId="10" borderId="0" xfId="0" applyFont="1" applyFill="1"/>
    <xf numFmtId="10" fontId="6" fillId="8" borderId="5" xfId="0" applyNumberFormat="1" applyFont="1" applyFill="1" applyBorder="1" applyAlignment="1">
      <alignment vertical="center" wrapText="1"/>
    </xf>
    <xf numFmtId="3" fontId="5" fillId="10" borderId="0" xfId="0" applyNumberFormat="1" applyFont="1" applyFill="1"/>
    <xf numFmtId="0" fontId="0" fillId="7" borderId="0" xfId="0" applyFill="1"/>
    <xf numFmtId="166" fontId="3" fillId="7" borderId="0" xfId="2" applyNumberFormat="1" applyFont="1" applyFill="1"/>
    <xf numFmtId="0" fontId="4" fillId="7" borderId="5" xfId="0" applyFont="1" applyFill="1" applyBorder="1" applyAlignment="1">
      <alignment horizontal="right" vertical="center" wrapText="1"/>
    </xf>
    <xf numFmtId="0" fontId="6" fillId="7" borderId="5" xfId="0" applyFont="1" applyFill="1" applyBorder="1" applyAlignment="1">
      <alignment horizontal="right" vertical="center" wrapText="1"/>
    </xf>
    <xf numFmtId="0" fontId="6" fillId="7" borderId="5" xfId="0" applyFont="1" applyFill="1" applyBorder="1" applyAlignment="1">
      <alignment vertical="center" wrapText="1"/>
    </xf>
    <xf numFmtId="0" fontId="4" fillId="7" borderId="37" xfId="0" applyFont="1" applyFill="1" applyBorder="1" applyAlignment="1">
      <alignment horizontal="right" vertical="center" wrapText="1"/>
    </xf>
    <xf numFmtId="0" fontId="8" fillId="11" borderId="47" xfId="0" applyFont="1" applyFill="1" applyBorder="1" applyAlignment="1">
      <alignment horizontal="right" vertical="center" wrapText="1"/>
    </xf>
    <xf numFmtId="4" fontId="4" fillId="11" borderId="48" xfId="0" applyNumberFormat="1" applyFont="1" applyFill="1" applyBorder="1" applyAlignment="1">
      <alignment vertical="center" wrapText="1"/>
    </xf>
    <xf numFmtId="0" fontId="3" fillId="11" borderId="49" xfId="0" applyFont="1" applyFill="1" applyBorder="1"/>
    <xf numFmtId="0" fontId="3" fillId="11" borderId="50" xfId="0" applyFont="1" applyFill="1" applyBorder="1"/>
    <xf numFmtId="0" fontId="3" fillId="11" borderId="51" xfId="0" applyFont="1" applyFill="1" applyBorder="1"/>
    <xf numFmtId="0" fontId="3" fillId="11" borderId="52" xfId="0" applyFont="1" applyFill="1" applyBorder="1"/>
    <xf numFmtId="0" fontId="3" fillId="11" borderId="6" xfId="0" applyFont="1" applyFill="1" applyBorder="1"/>
    <xf numFmtId="0" fontId="3" fillId="11" borderId="53" xfId="0" applyFont="1" applyFill="1" applyBorder="1"/>
    <xf numFmtId="0" fontId="3" fillId="11" borderId="47" xfId="0" applyFont="1" applyFill="1" applyBorder="1" applyAlignment="1">
      <alignment horizontal="right" vertical="center" wrapText="1"/>
    </xf>
    <xf numFmtId="0" fontId="3" fillId="11" borderId="54" xfId="0" applyFont="1" applyFill="1" applyBorder="1"/>
    <xf numFmtId="0" fontId="3" fillId="11" borderId="55" xfId="0" applyFont="1" applyFill="1" applyBorder="1"/>
    <xf numFmtId="0" fontId="3" fillId="11" borderId="56" xfId="0" applyFont="1" applyFill="1" applyBorder="1"/>
    <xf numFmtId="0" fontId="4" fillId="11" borderId="60" xfId="0" applyFont="1" applyFill="1" applyBorder="1"/>
    <xf numFmtId="0" fontId="4" fillId="11" borderId="61" xfId="0" applyFont="1" applyFill="1" applyBorder="1"/>
    <xf numFmtId="0" fontId="3" fillId="11" borderId="9" xfId="0" applyFont="1" applyFill="1" applyBorder="1"/>
    <xf numFmtId="0" fontId="4" fillId="11" borderId="60" xfId="0" applyFont="1" applyFill="1" applyBorder="1" applyAlignment="1">
      <alignment horizontal="right"/>
    </xf>
    <xf numFmtId="0" fontId="4" fillId="11" borderId="61" xfId="0" applyFont="1" applyFill="1" applyBorder="1" applyAlignment="1">
      <alignment horizontal="right"/>
    </xf>
    <xf numFmtId="9" fontId="4" fillId="0" borderId="6" xfId="0" applyNumberFormat="1" applyFont="1" applyBorder="1"/>
    <xf numFmtId="164" fontId="4" fillId="9" borderId="64" xfId="0" applyNumberFormat="1" applyFont="1" applyFill="1" applyBorder="1"/>
    <xf numFmtId="0" fontId="6" fillId="0" borderId="57" xfId="0" applyFont="1" applyBorder="1"/>
    <xf numFmtId="0" fontId="13" fillId="0" borderId="58" xfId="0" applyFont="1" applyBorder="1"/>
    <xf numFmtId="0" fontId="0" fillId="0" borderId="58" xfId="0" applyBorder="1"/>
    <xf numFmtId="0" fontId="3" fillId="0" borderId="59" xfId="0" applyFont="1" applyBorder="1"/>
    <xf numFmtId="0" fontId="6" fillId="11" borderId="5" xfId="0" applyFont="1" applyFill="1" applyBorder="1" applyAlignment="1">
      <alignment horizontal="right" vertical="center" wrapText="1"/>
    </xf>
    <xf numFmtId="4" fontId="6" fillId="11" borderId="5" xfId="0" applyNumberFormat="1" applyFont="1" applyFill="1" applyBorder="1" applyAlignment="1">
      <alignment vertical="center" wrapText="1"/>
    </xf>
    <xf numFmtId="0" fontId="3" fillId="11" borderId="4" xfId="0" applyFont="1" applyFill="1" applyBorder="1"/>
    <xf numFmtId="0" fontId="3" fillId="11" borderId="21" xfId="0" applyFont="1" applyFill="1" applyBorder="1"/>
    <xf numFmtId="0" fontId="3" fillId="11" borderId="22" xfId="0" applyFont="1" applyFill="1" applyBorder="1"/>
    <xf numFmtId="0" fontId="3" fillId="11" borderId="7" xfId="0" applyFont="1" applyFill="1" applyBorder="1"/>
    <xf numFmtId="0" fontId="30" fillId="11" borderId="5" xfId="0" applyFont="1" applyFill="1" applyBorder="1" applyAlignment="1">
      <alignment horizontal="right" vertical="center" wrapText="1"/>
    </xf>
    <xf numFmtId="0" fontId="6" fillId="11" borderId="5" xfId="0" applyFont="1" applyFill="1" applyBorder="1" applyAlignment="1">
      <alignment vertical="center" wrapText="1"/>
    </xf>
    <xf numFmtId="0" fontId="3" fillId="11" borderId="10" xfId="0" applyFont="1" applyFill="1" applyBorder="1"/>
    <xf numFmtId="0" fontId="4" fillId="11" borderId="30" xfId="0" applyFont="1" applyFill="1" applyBorder="1" applyAlignment="1">
      <alignment vertical="center" wrapText="1"/>
    </xf>
    <xf numFmtId="4" fontId="4" fillId="11" borderId="5" xfId="0" applyNumberFormat="1" applyFont="1" applyFill="1" applyBorder="1" applyAlignment="1">
      <alignment vertical="center" wrapText="1"/>
    </xf>
    <xf numFmtId="0" fontId="0" fillId="0" borderId="47" xfId="0" applyBorder="1"/>
    <xf numFmtId="166" fontId="6" fillId="8" borderId="37" xfId="0" applyNumberFormat="1" applyFont="1" applyFill="1" applyBorder="1" applyAlignment="1">
      <alignment vertical="center" wrapText="1"/>
    </xf>
    <xf numFmtId="166" fontId="6" fillId="8" borderId="5" xfId="0" applyNumberFormat="1" applyFont="1" applyFill="1" applyBorder="1" applyAlignment="1">
      <alignment vertical="center" wrapText="1"/>
    </xf>
    <xf numFmtId="166" fontId="6" fillId="8" borderId="5" xfId="0" applyNumberFormat="1" applyFont="1" applyFill="1" applyBorder="1" applyAlignment="1">
      <alignment vertical="center"/>
    </xf>
    <xf numFmtId="0" fontId="4" fillId="7" borderId="66" xfId="0" applyFont="1" applyFill="1" applyBorder="1" applyAlignment="1">
      <alignment horizontal="right" vertical="center" wrapText="1"/>
    </xf>
    <xf numFmtId="166" fontId="3" fillId="7" borderId="53" xfId="2" applyNumberFormat="1" applyFont="1" applyFill="1" applyBorder="1"/>
    <xf numFmtId="0" fontId="4" fillId="7" borderId="67" xfId="0" applyFont="1" applyFill="1" applyBorder="1" applyAlignment="1">
      <alignment horizontal="right" vertical="center" wrapText="1"/>
    </xf>
    <xf numFmtId="0" fontId="6" fillId="7" borderId="67" xfId="0" applyFont="1" applyFill="1" applyBorder="1" applyAlignment="1">
      <alignment horizontal="right" vertical="center" wrapText="1"/>
    </xf>
    <xf numFmtId="0" fontId="6" fillId="7" borderId="67" xfId="0" applyFont="1" applyFill="1" applyBorder="1" applyAlignment="1">
      <alignment vertical="center" wrapText="1"/>
    </xf>
    <xf numFmtId="9" fontId="6" fillId="8" borderId="55" xfId="2" applyFont="1" applyFill="1" applyBorder="1" applyAlignment="1">
      <alignment vertical="center"/>
    </xf>
    <xf numFmtId="166" fontId="6" fillId="8" borderId="36" xfId="0" applyNumberFormat="1" applyFont="1" applyFill="1" applyBorder="1" applyAlignment="1">
      <alignment vertical="center"/>
    </xf>
    <xf numFmtId="0" fontId="6" fillId="10" borderId="67" xfId="0" applyFont="1" applyFill="1" applyBorder="1" applyAlignment="1">
      <alignment vertical="center" wrapText="1"/>
    </xf>
    <xf numFmtId="0" fontId="6" fillId="10" borderId="54" xfId="0" applyFont="1" applyFill="1" applyBorder="1" applyAlignment="1">
      <alignment vertical="center" wrapText="1"/>
    </xf>
    <xf numFmtId="9" fontId="0" fillId="10" borderId="53" xfId="0" applyNumberFormat="1" applyFill="1" applyBorder="1"/>
    <xf numFmtId="9" fontId="3" fillId="10" borderId="68" xfId="0" applyNumberFormat="1" applyFont="1" applyFill="1" applyBorder="1"/>
    <xf numFmtId="166" fontId="3" fillId="10" borderId="56" xfId="2" applyNumberFormat="1" applyFont="1" applyFill="1" applyBorder="1"/>
    <xf numFmtId="0" fontId="8" fillId="10" borderId="6" xfId="0" applyFont="1" applyFill="1" applyBorder="1" applyAlignment="1">
      <alignment vertical="center"/>
    </xf>
    <xf numFmtId="0" fontId="8" fillId="10" borderId="6" xfId="0" applyFont="1" applyFill="1" applyBorder="1"/>
    <xf numFmtId="0" fontId="6" fillId="10" borderId="47" xfId="0" applyFont="1" applyFill="1" applyBorder="1" applyAlignment="1">
      <alignment vertical="center" wrapText="1"/>
    </xf>
    <xf numFmtId="166" fontId="3" fillId="10" borderId="47" xfId="0" applyNumberFormat="1" applyFont="1" applyFill="1" applyBorder="1"/>
    <xf numFmtId="166" fontId="3" fillId="10" borderId="47" xfId="2" applyNumberFormat="1" applyFont="1" applyFill="1" applyBorder="1"/>
    <xf numFmtId="0" fontId="3" fillId="10" borderId="6" xfId="0" applyFont="1" applyFill="1" applyBorder="1" applyAlignment="1">
      <alignment vertical="center" wrapText="1"/>
    </xf>
    <xf numFmtId="0" fontId="8" fillId="10" borderId="47" xfId="0" applyFont="1" applyFill="1" applyBorder="1" applyAlignment="1">
      <alignment vertical="center"/>
    </xf>
    <xf numFmtId="0" fontId="8" fillId="10" borderId="47" xfId="0" applyFont="1" applyFill="1" applyBorder="1"/>
    <xf numFmtId="0" fontId="8" fillId="10" borderId="5" xfId="0" applyFont="1" applyFill="1" applyBorder="1"/>
    <xf numFmtId="0" fontId="8" fillId="10" borderId="67" xfId="0" applyFont="1" applyFill="1" applyBorder="1"/>
    <xf numFmtId="166" fontId="3" fillId="10" borderId="53" xfId="0" applyNumberFormat="1" applyFont="1" applyFill="1" applyBorder="1"/>
    <xf numFmtId="166" fontId="3" fillId="10" borderId="68" xfId="0" applyNumberFormat="1" applyFont="1" applyFill="1" applyBorder="1"/>
    <xf numFmtId="0" fontId="8" fillId="10" borderId="54" xfId="0" applyFont="1" applyFill="1" applyBorder="1"/>
    <xf numFmtId="0" fontId="6" fillId="10" borderId="55" xfId="0" applyFont="1" applyFill="1" applyBorder="1" applyAlignment="1">
      <alignment vertical="center" wrapText="1"/>
    </xf>
    <xf numFmtId="0" fontId="6" fillId="10" borderId="36" xfId="0" applyFont="1" applyFill="1" applyBorder="1" applyAlignment="1">
      <alignment vertical="center" wrapText="1"/>
    </xf>
    <xf numFmtId="9" fontId="6" fillId="10" borderId="5" xfId="0" applyNumberFormat="1" applyFont="1" applyFill="1" applyBorder="1" applyAlignment="1">
      <alignment vertical="center"/>
    </xf>
    <xf numFmtId="9" fontId="6" fillId="8" borderId="5" xfId="0" applyNumberFormat="1" applyFont="1" applyFill="1" applyBorder="1" applyAlignment="1">
      <alignment vertical="center" wrapText="1"/>
    </xf>
    <xf numFmtId="9" fontId="6" fillId="8" borderId="37" xfId="0" applyNumberFormat="1" applyFont="1" applyFill="1" applyBorder="1" applyAlignment="1">
      <alignment vertical="center" wrapText="1"/>
    </xf>
    <xf numFmtId="9" fontId="6" fillId="10" borderId="70" xfId="0" applyNumberFormat="1" applyFont="1" applyFill="1" applyBorder="1" applyAlignment="1">
      <alignment vertical="center"/>
    </xf>
    <xf numFmtId="166" fontId="3" fillId="7" borderId="0" xfId="2" applyNumberFormat="1" applyFont="1" applyFill="1" applyAlignment="1">
      <alignment vertical="center"/>
    </xf>
    <xf numFmtId="0" fontId="3" fillId="10" borderId="5" xfId="0" applyFont="1" applyFill="1" applyBorder="1"/>
    <xf numFmtId="0" fontId="11" fillId="10" borderId="5" xfId="0" applyFont="1" applyFill="1" applyBorder="1" applyAlignment="1">
      <alignment horizontal="left" vertical="center" wrapText="1"/>
    </xf>
    <xf numFmtId="0" fontId="11" fillId="10" borderId="5" xfId="0" applyFont="1" applyFill="1" applyBorder="1" applyAlignment="1">
      <alignment horizontal="center" vertical="center" wrapText="1"/>
    </xf>
    <xf numFmtId="0" fontId="8" fillId="10" borderId="36" xfId="0" applyFont="1" applyFill="1" applyBorder="1"/>
    <xf numFmtId="0" fontId="8" fillId="10" borderId="36" xfId="0" applyFont="1" applyFill="1" applyBorder="1" applyAlignment="1">
      <alignment vertical="center" wrapText="1"/>
    </xf>
    <xf numFmtId="0" fontId="9" fillId="10" borderId="1" xfId="0" applyFont="1" applyFill="1" applyBorder="1" applyAlignment="1">
      <alignment horizontal="center" vertical="center" wrapText="1"/>
    </xf>
    <xf numFmtId="0" fontId="0" fillId="10" borderId="57" xfId="0" applyFill="1" applyBorder="1"/>
    <xf numFmtId="0" fontId="8" fillId="10" borderId="69" xfId="0" applyFont="1" applyFill="1" applyBorder="1"/>
    <xf numFmtId="0" fontId="4" fillId="10" borderId="50" xfId="0" applyFont="1" applyFill="1" applyBorder="1"/>
    <xf numFmtId="3" fontId="5" fillId="10" borderId="48" xfId="0" applyNumberFormat="1" applyFont="1" applyFill="1" applyBorder="1"/>
    <xf numFmtId="0" fontId="8" fillId="10" borderId="47" xfId="0" applyFont="1" applyFill="1" applyBorder="1" applyAlignment="1">
      <alignment vertical="center" wrapText="1"/>
    </xf>
    <xf numFmtId="0" fontId="9" fillId="10" borderId="47" xfId="0" applyFont="1" applyFill="1" applyBorder="1" applyAlignment="1">
      <alignment horizontal="center" vertical="center" wrapText="1"/>
    </xf>
    <xf numFmtId="0" fontId="0" fillId="10" borderId="47" xfId="0" applyFill="1" applyBorder="1"/>
    <xf numFmtId="0" fontId="3" fillId="10" borderId="6" xfId="0" applyFont="1" applyFill="1" applyBorder="1"/>
    <xf numFmtId="0" fontId="4" fillId="10" borderId="47" xfId="0" applyFont="1" applyFill="1" applyBorder="1"/>
    <xf numFmtId="3" fontId="5" fillId="10" borderId="47" xfId="0" applyNumberFormat="1" applyFont="1" applyFill="1" applyBorder="1"/>
    <xf numFmtId="0" fontId="4" fillId="10" borderId="49" xfId="0" applyFont="1" applyFill="1" applyBorder="1" applyAlignment="1">
      <alignment vertical="center" wrapText="1"/>
    </xf>
    <xf numFmtId="0" fontId="9" fillId="10" borderId="57" xfId="0" applyFont="1" applyFill="1" applyBorder="1" applyAlignment="1">
      <alignment horizontal="center" vertical="center" wrapText="1"/>
    </xf>
    <xf numFmtId="0" fontId="13" fillId="10" borderId="51" xfId="0" applyFont="1" applyFill="1" applyBorder="1"/>
    <xf numFmtId="0" fontId="4" fillId="10" borderId="52" xfId="0" applyFont="1" applyFill="1" applyBorder="1"/>
    <xf numFmtId="3" fontId="5" fillId="10" borderId="59" xfId="0" applyNumberFormat="1" applyFont="1" applyFill="1" applyBorder="1"/>
    <xf numFmtId="0" fontId="6" fillId="10" borderId="53" xfId="0" applyFont="1" applyFill="1" applyBorder="1"/>
    <xf numFmtId="0" fontId="3" fillId="10" borderId="49" xfId="0" applyFont="1" applyFill="1" applyBorder="1" applyAlignment="1">
      <alignment vertical="center" wrapText="1"/>
    </xf>
    <xf numFmtId="3" fontId="5" fillId="10" borderId="50" xfId="0" applyNumberFormat="1" applyFont="1" applyFill="1" applyBorder="1"/>
    <xf numFmtId="0" fontId="3" fillId="10" borderId="35" xfId="0" applyFont="1" applyFill="1" applyBorder="1"/>
    <xf numFmtId="0" fontId="11" fillId="10" borderId="36"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6" fillId="10" borderId="59" xfId="0" applyFont="1" applyFill="1" applyBorder="1"/>
    <xf numFmtId="0" fontId="3" fillId="10" borderId="36" xfId="0" applyFont="1" applyFill="1" applyBorder="1"/>
    <xf numFmtId="9" fontId="6" fillId="10" borderId="36" xfId="0" applyNumberFormat="1" applyFont="1" applyFill="1" applyBorder="1" applyAlignment="1">
      <alignment vertical="center"/>
    </xf>
    <xf numFmtId="166" fontId="3" fillId="10" borderId="47" xfId="2" applyNumberFormat="1" applyFont="1" applyFill="1" applyBorder="1" applyAlignment="1">
      <alignment vertical="center"/>
    </xf>
    <xf numFmtId="0" fontId="3" fillId="10" borderId="0" xfId="0" applyFont="1" applyFill="1" applyAlignment="1">
      <alignment vertical="center"/>
    </xf>
    <xf numFmtId="9" fontId="3" fillId="10" borderId="5" xfId="0" applyNumberFormat="1" applyFont="1" applyFill="1" applyBorder="1" applyAlignment="1">
      <alignment vertical="center"/>
    </xf>
    <xf numFmtId="166" fontId="12" fillId="8" borderId="5" xfId="2" applyNumberFormat="1" applyFont="1" applyFill="1" applyBorder="1"/>
    <xf numFmtId="166" fontId="6" fillId="8" borderId="5" xfId="2" applyNumberFormat="1" applyFont="1" applyFill="1" applyBorder="1" applyAlignment="1">
      <alignment vertical="center"/>
    </xf>
    <xf numFmtId="166" fontId="6" fillId="8" borderId="36" xfId="2" applyNumberFormat="1" applyFont="1" applyFill="1" applyBorder="1" applyAlignment="1">
      <alignment vertical="center"/>
    </xf>
    <xf numFmtId="9" fontId="3" fillId="10" borderId="36" xfId="0" applyNumberFormat="1" applyFont="1" applyFill="1" applyBorder="1" applyAlignment="1">
      <alignment vertical="center"/>
    </xf>
    <xf numFmtId="0" fontId="4" fillId="10" borderId="5" xfId="0" applyFont="1" applyFill="1" applyBorder="1" applyAlignment="1">
      <alignment vertical="center"/>
    </xf>
    <xf numFmtId="172" fontId="5"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4" fillId="10" borderId="5" xfId="0" applyFont="1" applyFill="1" applyBorder="1" applyAlignment="1">
      <alignment vertical="center" wrapText="1"/>
    </xf>
    <xf numFmtId="9" fontId="4" fillId="10" borderId="5" xfId="0" applyNumberFormat="1" applyFont="1" applyFill="1" applyBorder="1" applyAlignment="1">
      <alignment vertical="center"/>
    </xf>
    <xf numFmtId="9" fontId="34" fillId="10" borderId="0" xfId="0" applyNumberFormat="1" applyFont="1" applyFill="1" applyAlignment="1">
      <alignment vertical="center"/>
    </xf>
    <xf numFmtId="0" fontId="4" fillId="10" borderId="47" xfId="0" applyFont="1" applyFill="1" applyBorder="1" applyAlignment="1">
      <alignment horizontal="left" vertical="center" wrapText="1"/>
    </xf>
    <xf numFmtId="0" fontId="6" fillId="10" borderId="47" xfId="0" applyFont="1" applyFill="1" applyBorder="1" applyAlignment="1">
      <alignment horizontal="left" vertical="center" wrapText="1"/>
    </xf>
    <xf numFmtId="0" fontId="4" fillId="10" borderId="6" xfId="0" applyFont="1" applyFill="1" applyBorder="1" applyAlignment="1">
      <alignment horizontal="right" vertical="center" wrapText="1"/>
    </xf>
    <xf numFmtId="0" fontId="35" fillId="0" borderId="5" xfId="0" applyFont="1" applyBorder="1" applyAlignment="1">
      <alignment vertical="center" wrapText="1"/>
    </xf>
    <xf numFmtId="0" fontId="3" fillId="0" borderId="36" xfId="0" applyFont="1" applyBorder="1"/>
    <xf numFmtId="0" fontId="3" fillId="0" borderId="37" xfId="0" applyFont="1" applyBorder="1"/>
    <xf numFmtId="0" fontId="3" fillId="10" borderId="47" xfId="0" applyFont="1" applyFill="1" applyBorder="1"/>
    <xf numFmtId="0" fontId="4" fillId="0" borderId="37" xfId="0" applyFont="1" applyBorder="1" applyAlignment="1">
      <alignment vertical="center" wrapText="1"/>
    </xf>
    <xf numFmtId="0" fontId="4" fillId="10" borderId="47" xfId="0" applyFont="1" applyFill="1" applyBorder="1" applyAlignment="1">
      <alignment vertical="center"/>
    </xf>
    <xf numFmtId="3" fontId="5" fillId="8" borderId="47" xfId="0" applyNumberFormat="1" applyFont="1" applyFill="1" applyBorder="1" applyAlignment="1">
      <alignment vertical="center"/>
    </xf>
    <xf numFmtId="0" fontId="5" fillId="10" borderId="47" xfId="0" applyFont="1" applyFill="1" applyBorder="1" applyAlignment="1">
      <alignment vertical="center"/>
    </xf>
    <xf numFmtId="3" fontId="5" fillId="10" borderId="47" xfId="0" applyNumberFormat="1" applyFont="1" applyFill="1" applyBorder="1" applyAlignment="1">
      <alignment vertical="center"/>
    </xf>
    <xf numFmtId="166" fontId="4" fillId="8" borderId="5" xfId="2" applyNumberFormat="1" applyFont="1" applyFill="1" applyBorder="1" applyAlignment="1">
      <alignment vertical="center" wrapText="1"/>
    </xf>
    <xf numFmtId="9" fontId="4" fillId="8" borderId="5" xfId="0" applyNumberFormat="1" applyFont="1" applyFill="1" applyBorder="1" applyAlignment="1">
      <alignment vertical="center"/>
    </xf>
    <xf numFmtId="9" fontId="32" fillId="0" borderId="5" xfId="0" applyNumberFormat="1" applyFont="1" applyBorder="1" applyAlignment="1">
      <alignment vertical="center"/>
    </xf>
    <xf numFmtId="0" fontId="3" fillId="0" borderId="35" xfId="0" applyFont="1" applyBorder="1"/>
    <xf numFmtId="0" fontId="3" fillId="0" borderId="72" xfId="0" applyFont="1" applyBorder="1"/>
    <xf numFmtId="1" fontId="7" fillId="7" borderId="24" xfId="0" applyNumberFormat="1" applyFont="1" applyFill="1" applyBorder="1" applyAlignment="1">
      <alignment horizontal="center" vertical="center"/>
    </xf>
    <xf numFmtId="43" fontId="3" fillId="7" borderId="25" xfId="0" applyNumberFormat="1" applyFont="1" applyFill="1" applyBorder="1"/>
    <xf numFmtId="4" fontId="12" fillId="11" borderId="5" xfId="0" applyNumberFormat="1" applyFont="1" applyFill="1" applyBorder="1"/>
    <xf numFmtId="0" fontId="3" fillId="11" borderId="6" xfId="0" applyFont="1" applyFill="1" applyBorder="1" applyAlignment="1">
      <alignment vertical="center"/>
    </xf>
    <xf numFmtId="4" fontId="12" fillId="11" borderId="5" xfId="0" applyNumberFormat="1" applyFont="1" applyFill="1" applyBorder="1" applyAlignment="1">
      <alignment vertical="center" wrapText="1"/>
    </xf>
    <xf numFmtId="0" fontId="4" fillId="11" borderId="5" xfId="0" applyFont="1" applyFill="1" applyBorder="1" applyAlignment="1">
      <alignment horizontal="right" vertical="center" wrapText="1"/>
    </xf>
    <xf numFmtId="0" fontId="6" fillId="11" borderId="30" xfId="0" applyFont="1" applyFill="1" applyBorder="1" applyAlignment="1">
      <alignment horizontal="right" vertical="center" wrapText="1"/>
    </xf>
    <xf numFmtId="0" fontId="4" fillId="11" borderId="62" xfId="0" applyFont="1" applyFill="1" applyBorder="1" applyAlignment="1">
      <alignment vertical="center"/>
    </xf>
    <xf numFmtId="3" fontId="5" fillId="11" borderId="63" xfId="0" applyNumberFormat="1" applyFont="1" applyFill="1" applyBorder="1" applyAlignment="1">
      <alignment vertical="center"/>
    </xf>
    <xf numFmtId="44" fontId="3" fillId="11" borderId="55" xfId="0" applyNumberFormat="1" applyFont="1" applyFill="1" applyBorder="1"/>
    <xf numFmtId="2" fontId="4" fillId="11" borderId="5" xfId="0" applyNumberFormat="1" applyFont="1" applyFill="1" applyBorder="1" applyAlignment="1">
      <alignment vertical="center" wrapText="1"/>
    </xf>
    <xf numFmtId="2" fontId="6" fillId="11" borderId="5" xfId="0" applyNumberFormat="1" applyFont="1" applyFill="1" applyBorder="1" applyAlignment="1">
      <alignment vertical="center" wrapText="1"/>
    </xf>
    <xf numFmtId="44" fontId="4" fillId="11" borderId="5" xfId="0" applyNumberFormat="1" applyFont="1" applyFill="1" applyBorder="1" applyAlignment="1">
      <alignment vertical="center" wrapText="1"/>
    </xf>
    <xf numFmtId="0" fontId="4" fillId="12" borderId="5" xfId="0" applyFont="1" applyFill="1" applyBorder="1" applyAlignment="1">
      <alignment vertical="center" wrapText="1"/>
    </xf>
    <xf numFmtId="2" fontId="4" fillId="12" borderId="5" xfId="0" applyNumberFormat="1" applyFont="1" applyFill="1" applyBorder="1" applyAlignment="1">
      <alignment vertical="center"/>
    </xf>
    <xf numFmtId="0" fontId="3" fillId="12" borderId="0" xfId="0" applyFont="1" applyFill="1"/>
    <xf numFmtId="2" fontId="3" fillId="11" borderId="6" xfId="0" applyNumberFormat="1" applyFont="1" applyFill="1" applyBorder="1"/>
    <xf numFmtId="4" fontId="3" fillId="11" borderId="6" xfId="0" applyNumberFormat="1" applyFont="1" applyFill="1" applyBorder="1"/>
    <xf numFmtId="0" fontId="3" fillId="13" borderId="26" xfId="0" applyFont="1" applyFill="1" applyBorder="1" applyAlignment="1">
      <alignment horizontal="left"/>
    </xf>
    <xf numFmtId="0" fontId="3" fillId="13" borderId="32" xfId="0" applyFont="1" applyFill="1" applyBorder="1" applyAlignment="1">
      <alignment horizontal="center"/>
    </xf>
    <xf numFmtId="0" fontId="3" fillId="13" borderId="27" xfId="0" applyFont="1" applyFill="1" applyBorder="1" applyAlignment="1">
      <alignment horizontal="center"/>
    </xf>
    <xf numFmtId="1" fontId="7" fillId="13" borderId="17" xfId="0" applyNumberFormat="1" applyFont="1" applyFill="1" applyBorder="1" applyAlignment="1">
      <alignment horizontal="center" vertical="center"/>
    </xf>
    <xf numFmtId="2" fontId="3" fillId="13" borderId="5" xfId="0" applyNumberFormat="1" applyFont="1" applyFill="1" applyBorder="1"/>
    <xf numFmtId="1" fontId="7" fillId="13" borderId="15" xfId="0" applyNumberFormat="1" applyFont="1" applyFill="1" applyBorder="1" applyAlignment="1">
      <alignment horizontal="center" vertical="center"/>
    </xf>
    <xf numFmtId="1" fontId="3" fillId="13" borderId="5" xfId="0" applyNumberFormat="1" applyFont="1" applyFill="1" applyBorder="1"/>
    <xf numFmtId="0" fontId="3" fillId="13" borderId="16" xfId="0" applyFont="1" applyFill="1" applyBorder="1"/>
    <xf numFmtId="1" fontId="7" fillId="13" borderId="17" xfId="0" applyNumberFormat="1" applyFont="1" applyFill="1" applyBorder="1" applyAlignment="1">
      <alignment horizontal="center"/>
    </xf>
    <xf numFmtId="2" fontId="3" fillId="13" borderId="18" xfId="0" applyNumberFormat="1" applyFont="1" applyFill="1" applyBorder="1"/>
    <xf numFmtId="2" fontId="3" fillId="13" borderId="5" xfId="0" applyNumberFormat="1" applyFont="1" applyFill="1" applyBorder="1" applyAlignment="1">
      <alignment vertical="center"/>
    </xf>
    <xf numFmtId="2" fontId="3" fillId="13" borderId="18" xfId="0" applyNumberFormat="1" applyFont="1" applyFill="1" applyBorder="1" applyAlignment="1">
      <alignment vertical="center"/>
    </xf>
    <xf numFmtId="1" fontId="7" fillId="13" borderId="28" xfId="0" applyNumberFormat="1" applyFont="1" applyFill="1" applyBorder="1" applyAlignment="1">
      <alignment horizontal="center" vertical="center"/>
    </xf>
    <xf numFmtId="9" fontId="3" fillId="13" borderId="33" xfId="0" applyNumberFormat="1" applyFont="1" applyFill="1" applyBorder="1"/>
    <xf numFmtId="9" fontId="3" fillId="13" borderId="29" xfId="0" applyNumberFormat="1" applyFont="1" applyFill="1" applyBorder="1"/>
    <xf numFmtId="0" fontId="3" fillId="13" borderId="26" xfId="0" applyFont="1" applyFill="1" applyBorder="1" applyAlignment="1">
      <alignment vertical="center" wrapText="1"/>
    </xf>
    <xf numFmtId="0" fontId="3" fillId="13" borderId="71" xfId="0" applyFont="1" applyFill="1" applyBorder="1" applyAlignment="1">
      <alignment vertical="center"/>
    </xf>
    <xf numFmtId="0" fontId="0" fillId="13" borderId="47" xfId="0" applyFill="1" applyBorder="1"/>
    <xf numFmtId="2" fontId="3" fillId="13" borderId="35" xfId="0" applyNumberFormat="1" applyFont="1" applyFill="1" applyBorder="1" applyAlignment="1">
      <alignment vertical="center"/>
    </xf>
    <xf numFmtId="0" fontId="3" fillId="13" borderId="47" xfId="0" quotePrefix="1" applyFont="1" applyFill="1" applyBorder="1" applyAlignment="1">
      <alignment wrapText="1"/>
    </xf>
    <xf numFmtId="1" fontId="3" fillId="13" borderId="6" xfId="0" applyNumberFormat="1" applyFont="1" applyFill="1" applyBorder="1"/>
    <xf numFmtId="0" fontId="3" fillId="13" borderId="47" xfId="0" applyFont="1" applyFill="1" applyBorder="1"/>
    <xf numFmtId="43" fontId="3" fillId="13" borderId="6" xfId="0" applyNumberFormat="1" applyFont="1" applyFill="1" applyBorder="1" applyAlignment="1">
      <alignment vertical="center"/>
    </xf>
    <xf numFmtId="0" fontId="3" fillId="13" borderId="47" xfId="0" applyFont="1" applyFill="1" applyBorder="1" applyAlignment="1">
      <alignment wrapText="1"/>
    </xf>
    <xf numFmtId="165" fontId="3" fillId="13" borderId="35" xfId="0" applyNumberFormat="1" applyFont="1" applyFill="1" applyBorder="1"/>
    <xf numFmtId="0" fontId="3" fillId="13" borderId="35" xfId="0" applyFont="1" applyFill="1" applyBorder="1" applyAlignment="1">
      <alignment vertical="center"/>
    </xf>
    <xf numFmtId="0" fontId="3" fillId="13" borderId="47" xfId="0" applyFont="1" applyFill="1" applyBorder="1" applyAlignment="1">
      <alignment vertical="center" wrapText="1"/>
    </xf>
    <xf numFmtId="2" fontId="3" fillId="13" borderId="47" xfId="0" applyNumberFormat="1" applyFont="1" applyFill="1" applyBorder="1" applyAlignment="1">
      <alignment vertical="center" wrapText="1"/>
    </xf>
    <xf numFmtId="9" fontId="3" fillId="13" borderId="35" xfId="0" applyNumberFormat="1" applyFont="1" applyFill="1" applyBorder="1"/>
    <xf numFmtId="0" fontId="3" fillId="13" borderId="47" xfId="0" applyFont="1" applyFill="1" applyBorder="1" applyAlignment="1">
      <alignment vertical="center"/>
    </xf>
    <xf numFmtId="2" fontId="3" fillId="13" borderId="47" xfId="0" applyNumberFormat="1" applyFont="1" applyFill="1" applyBorder="1" applyAlignment="1">
      <alignment vertical="center"/>
    </xf>
    <xf numFmtId="0" fontId="0" fillId="13" borderId="0" xfId="0" applyFill="1"/>
    <xf numFmtId="0" fontId="3" fillId="13" borderId="69" xfId="0" applyFont="1" applyFill="1" applyBorder="1" applyAlignment="1">
      <alignment vertical="center" wrapText="1"/>
    </xf>
    <xf numFmtId="0" fontId="3" fillId="13" borderId="73" xfId="0" applyFont="1" applyFill="1" applyBorder="1" applyAlignment="1">
      <alignment vertical="center"/>
    </xf>
    <xf numFmtId="0" fontId="0" fillId="13" borderId="51" xfId="0" applyFill="1" applyBorder="1"/>
    <xf numFmtId="1" fontId="7" fillId="13" borderId="67" xfId="0" applyNumberFormat="1" applyFont="1" applyFill="1" applyBorder="1" applyAlignment="1">
      <alignment horizontal="center" vertical="center"/>
    </xf>
    <xf numFmtId="0" fontId="3" fillId="13" borderId="53" xfId="0" quotePrefix="1" applyFont="1" applyFill="1" applyBorder="1" applyAlignment="1">
      <alignment wrapText="1"/>
    </xf>
    <xf numFmtId="1" fontId="7" fillId="13" borderId="52" xfId="0" applyNumberFormat="1" applyFont="1" applyFill="1" applyBorder="1" applyAlignment="1">
      <alignment horizontal="center" vertical="center"/>
    </xf>
    <xf numFmtId="1" fontId="3" fillId="13" borderId="16" xfId="0" applyNumberFormat="1" applyFont="1" applyFill="1" applyBorder="1"/>
    <xf numFmtId="0" fontId="3" fillId="13" borderId="53" xfId="0" applyFont="1" applyFill="1" applyBorder="1"/>
    <xf numFmtId="43" fontId="3" fillId="13" borderId="16" xfId="0" applyNumberFormat="1" applyFont="1" applyFill="1" applyBorder="1" applyAlignment="1">
      <alignment vertical="center"/>
    </xf>
    <xf numFmtId="0" fontId="3" fillId="13" borderId="53" xfId="0" applyFont="1" applyFill="1" applyBorder="1" applyAlignment="1">
      <alignment wrapText="1"/>
    </xf>
    <xf numFmtId="165" fontId="3" fillId="13" borderId="18" xfId="0" applyNumberFormat="1" applyFont="1" applyFill="1" applyBorder="1"/>
    <xf numFmtId="0" fontId="3" fillId="13" borderId="18" xfId="0" applyFont="1" applyFill="1" applyBorder="1" applyAlignment="1">
      <alignment vertical="center"/>
    </xf>
    <xf numFmtId="0" fontId="3" fillId="13" borderId="53" xfId="0" applyFont="1" applyFill="1" applyBorder="1" applyAlignment="1">
      <alignment vertical="center" wrapText="1"/>
    </xf>
    <xf numFmtId="1" fontId="7" fillId="13" borderId="67" xfId="0" applyNumberFormat="1" applyFont="1" applyFill="1" applyBorder="1" applyAlignment="1">
      <alignment horizontal="center"/>
    </xf>
    <xf numFmtId="2" fontId="3" fillId="13" borderId="53" xfId="0" applyNumberFormat="1" applyFont="1" applyFill="1" applyBorder="1" applyAlignment="1">
      <alignment vertical="center" wrapText="1"/>
    </xf>
    <xf numFmtId="0" fontId="0" fillId="13" borderId="53" xfId="0" applyFill="1" applyBorder="1"/>
    <xf numFmtId="9" fontId="3" fillId="13" borderId="18" xfId="0" applyNumberFormat="1" applyFont="1" applyFill="1" applyBorder="1"/>
    <xf numFmtId="0" fontId="3" fillId="13" borderId="18" xfId="0" applyFont="1" applyFill="1" applyBorder="1"/>
    <xf numFmtId="1" fontId="7" fillId="13" borderId="62" xfId="0" applyNumberFormat="1" applyFont="1" applyFill="1" applyBorder="1" applyAlignment="1">
      <alignment horizontal="center" vertical="center"/>
    </xf>
    <xf numFmtId="0" fontId="3" fillId="13" borderId="74" xfId="0" applyFont="1" applyFill="1" applyBorder="1"/>
    <xf numFmtId="0" fontId="0" fillId="13" borderId="56" xfId="0" applyFill="1" applyBorder="1"/>
    <xf numFmtId="0" fontId="3" fillId="13" borderId="13" xfId="0" applyFont="1" applyFill="1" applyBorder="1" applyAlignment="1">
      <alignment vertical="center" wrapText="1"/>
    </xf>
    <xf numFmtId="2" fontId="3" fillId="13" borderId="14" xfId="0" applyNumberFormat="1" applyFont="1" applyFill="1" applyBorder="1" applyAlignment="1">
      <alignment horizontal="center" vertical="center"/>
    </xf>
    <xf numFmtId="0" fontId="3" fillId="13" borderId="14" xfId="0" applyFont="1" applyFill="1" applyBorder="1" applyAlignment="1">
      <alignment wrapText="1"/>
    </xf>
    <xf numFmtId="0" fontId="3" fillId="13" borderId="16" xfId="0" quotePrefix="1" applyFont="1" applyFill="1" applyBorder="1" applyAlignment="1">
      <alignment wrapText="1"/>
    </xf>
    <xf numFmtId="0" fontId="3" fillId="13" borderId="16" xfId="0" applyFont="1" applyFill="1" applyBorder="1" applyAlignment="1">
      <alignment wrapText="1"/>
    </xf>
    <xf numFmtId="165" fontId="3" fillId="13" borderId="16" xfId="0" applyNumberFormat="1" applyFont="1" applyFill="1" applyBorder="1"/>
    <xf numFmtId="1" fontId="7" fillId="13" borderId="15" xfId="0" applyNumberFormat="1" applyFont="1" applyFill="1" applyBorder="1" applyAlignment="1">
      <alignment horizontal="center"/>
    </xf>
    <xf numFmtId="165" fontId="3" fillId="13" borderId="16" xfId="0" applyNumberFormat="1" applyFont="1" applyFill="1" applyBorder="1" applyAlignment="1">
      <alignment vertical="center"/>
    </xf>
    <xf numFmtId="1" fontId="7" fillId="13" borderId="19" xfId="0" applyNumberFormat="1" applyFont="1" applyFill="1" applyBorder="1" applyAlignment="1">
      <alignment horizontal="center" vertical="center"/>
    </xf>
    <xf numFmtId="9" fontId="3" fillId="13" borderId="20" xfId="0" applyNumberFormat="1" applyFont="1" applyFill="1" applyBorder="1"/>
    <xf numFmtId="0" fontId="3" fillId="13" borderId="20" xfId="0" applyFont="1" applyFill="1" applyBorder="1" applyAlignment="1">
      <alignment wrapText="1"/>
    </xf>
    <xf numFmtId="0" fontId="3" fillId="13" borderId="48" xfId="0" applyFont="1" applyFill="1" applyBorder="1" applyAlignment="1">
      <alignment vertical="center" wrapText="1"/>
    </xf>
    <xf numFmtId="2" fontId="3" fillId="13" borderId="75" xfId="0" applyNumberFormat="1" applyFont="1" applyFill="1" applyBorder="1" applyAlignment="1">
      <alignment horizontal="center" vertical="center"/>
    </xf>
    <xf numFmtId="0" fontId="3" fillId="13" borderId="65" xfId="0" applyFont="1" applyFill="1" applyBorder="1" applyAlignment="1">
      <alignment wrapText="1"/>
    </xf>
    <xf numFmtId="0" fontId="3" fillId="13" borderId="49" xfId="0" applyFont="1" applyFill="1" applyBorder="1" applyAlignment="1">
      <alignment horizontal="center" vertical="center" wrapText="1"/>
    </xf>
    <xf numFmtId="2" fontId="3" fillId="13" borderId="57" xfId="0" applyNumberFormat="1" applyFont="1" applyFill="1" applyBorder="1" applyAlignment="1">
      <alignment horizontal="center" vertical="center"/>
    </xf>
    <xf numFmtId="1" fontId="7" fillId="13" borderId="49" xfId="0" applyNumberFormat="1" applyFont="1" applyFill="1" applyBorder="1" applyAlignment="1">
      <alignment horizontal="center" vertical="center"/>
    </xf>
    <xf numFmtId="43" fontId="3" fillId="13" borderId="57" xfId="0" applyNumberFormat="1" applyFont="1" applyFill="1" applyBorder="1" applyAlignment="1">
      <alignment vertical="center"/>
    </xf>
    <xf numFmtId="1" fontId="3" fillId="13" borderId="58" xfId="0" applyNumberFormat="1" applyFont="1" applyFill="1" applyBorder="1"/>
    <xf numFmtId="43" fontId="3" fillId="13" borderId="58" xfId="0" applyNumberFormat="1" applyFont="1" applyFill="1" applyBorder="1" applyAlignment="1">
      <alignment vertical="center"/>
    </xf>
    <xf numFmtId="165" fontId="3" fillId="13" borderId="58" xfId="0" applyNumberFormat="1" applyFont="1" applyFill="1" applyBorder="1"/>
    <xf numFmtId="1" fontId="7" fillId="13" borderId="52" xfId="0" applyNumberFormat="1" applyFont="1" applyFill="1" applyBorder="1" applyAlignment="1">
      <alignment horizontal="center"/>
    </xf>
    <xf numFmtId="165" fontId="3" fillId="13" borderId="58" xfId="0" applyNumberFormat="1" applyFont="1" applyFill="1" applyBorder="1" applyAlignment="1">
      <alignment vertical="center"/>
    </xf>
    <xf numFmtId="165" fontId="10" fillId="13" borderId="58" xfId="0" applyNumberFormat="1" applyFont="1" applyFill="1" applyBorder="1"/>
    <xf numFmtId="9" fontId="3" fillId="13" borderId="58" xfId="0" applyNumberFormat="1" applyFont="1" applyFill="1" applyBorder="1"/>
    <xf numFmtId="1" fontId="7" fillId="13" borderId="54" xfId="0" applyNumberFormat="1" applyFont="1" applyFill="1" applyBorder="1" applyAlignment="1">
      <alignment horizontal="center" vertical="center"/>
    </xf>
    <xf numFmtId="43" fontId="3" fillId="13" borderId="59" xfId="0" applyNumberFormat="1" applyFont="1" applyFill="1" applyBorder="1"/>
    <xf numFmtId="0" fontId="3" fillId="13" borderId="39" xfId="0" applyFont="1" applyFill="1" applyBorder="1" applyAlignment="1">
      <alignment horizontal="center" vertical="center" wrapText="1"/>
    </xf>
    <xf numFmtId="2" fontId="3" fillId="13" borderId="41" xfId="0" applyNumberFormat="1" applyFont="1" applyFill="1" applyBorder="1" applyAlignment="1">
      <alignment horizontal="center" vertical="center"/>
    </xf>
    <xf numFmtId="0" fontId="3" fillId="13" borderId="40" xfId="0" applyFont="1" applyFill="1" applyBorder="1"/>
    <xf numFmtId="0" fontId="0" fillId="13" borderId="40" xfId="0" applyFill="1" applyBorder="1"/>
    <xf numFmtId="0" fontId="0" fillId="13" borderId="41" xfId="0" applyFill="1" applyBorder="1"/>
    <xf numFmtId="1" fontId="7" fillId="13" borderId="42" xfId="0" applyNumberFormat="1" applyFont="1" applyFill="1" applyBorder="1" applyAlignment="1">
      <alignment horizontal="center" vertical="center"/>
    </xf>
    <xf numFmtId="165" fontId="3" fillId="13" borderId="43" xfId="0" applyNumberFormat="1" applyFont="1" applyFill="1" applyBorder="1" applyAlignment="1">
      <alignment vertical="center"/>
    </xf>
    <xf numFmtId="0" fontId="3" fillId="13" borderId="6" xfId="0" quotePrefix="1" applyFont="1" applyFill="1" applyBorder="1"/>
    <xf numFmtId="0" fontId="0" fillId="13" borderId="6" xfId="0" applyFill="1" applyBorder="1"/>
    <xf numFmtId="0" fontId="0" fillId="13" borderId="43" xfId="0" applyFill="1" applyBorder="1"/>
    <xf numFmtId="1" fontId="3" fillId="13" borderId="43" xfId="0" applyNumberFormat="1" applyFont="1" applyFill="1" applyBorder="1"/>
    <xf numFmtId="0" fontId="3" fillId="13" borderId="6" xfId="0" applyFont="1" applyFill="1" applyBorder="1"/>
    <xf numFmtId="1" fontId="7" fillId="13" borderId="42" xfId="0" applyNumberFormat="1" applyFont="1" applyFill="1" applyBorder="1" applyAlignment="1">
      <alignment horizontal="center"/>
    </xf>
    <xf numFmtId="1" fontId="3" fillId="13" borderId="43" xfId="0" applyNumberFormat="1" applyFont="1" applyFill="1" applyBorder="1" applyAlignment="1">
      <alignment vertical="center"/>
    </xf>
    <xf numFmtId="1" fontId="7" fillId="13" borderId="44" xfId="0" applyNumberFormat="1" applyFont="1" applyFill="1" applyBorder="1" applyAlignment="1">
      <alignment horizontal="center" vertical="center"/>
    </xf>
    <xf numFmtId="1" fontId="3" fillId="13" borderId="46" xfId="0" applyNumberFormat="1" applyFont="1" applyFill="1" applyBorder="1"/>
    <xf numFmtId="0" fontId="3" fillId="13" borderId="45" xfId="0" applyFont="1" applyFill="1" applyBorder="1"/>
    <xf numFmtId="0" fontId="0" fillId="13" borderId="45" xfId="0" applyFill="1" applyBorder="1"/>
    <xf numFmtId="0" fontId="0" fillId="13" borderId="46" xfId="0" applyFill="1" applyBorder="1"/>
    <xf numFmtId="165" fontId="3" fillId="13" borderId="35" xfId="1" applyNumberFormat="1" applyFont="1" applyFill="1" applyBorder="1" applyAlignment="1">
      <alignment vertical="center"/>
    </xf>
    <xf numFmtId="165" fontId="3" fillId="13" borderId="31" xfId="1" applyNumberFormat="1" applyFont="1" applyFill="1" applyBorder="1"/>
    <xf numFmtId="165" fontId="3" fillId="13" borderId="35" xfId="1" applyNumberFormat="1" applyFont="1" applyFill="1" applyBorder="1"/>
    <xf numFmtId="0" fontId="4" fillId="7" borderId="5" xfId="0" applyFont="1" applyFill="1" applyBorder="1" applyAlignment="1">
      <alignment horizontal="right"/>
    </xf>
    <xf numFmtId="0" fontId="4" fillId="10" borderId="5" xfId="0" applyFont="1" applyFill="1" applyBorder="1"/>
    <xf numFmtId="0" fontId="16" fillId="10" borderId="5" xfId="0" applyFont="1" applyFill="1" applyBorder="1" applyAlignment="1">
      <alignment wrapText="1"/>
    </xf>
    <xf numFmtId="0" fontId="4" fillId="10" borderId="5" xfId="0" applyFont="1" applyFill="1" applyBorder="1" applyAlignment="1">
      <alignment horizontal="center" vertical="center" wrapText="1"/>
    </xf>
    <xf numFmtId="2" fontId="4" fillId="8" borderId="5" xfId="0" applyNumberFormat="1" applyFont="1" applyFill="1" applyBorder="1"/>
    <xf numFmtId="168" fontId="4" fillId="8" borderId="5" xfId="0" applyNumberFormat="1" applyFont="1" applyFill="1" applyBorder="1"/>
    <xf numFmtId="9" fontId="4" fillId="8" borderId="5" xfId="0" applyNumberFormat="1" applyFont="1" applyFill="1" applyBorder="1"/>
    <xf numFmtId="9" fontId="4" fillId="8" borderId="0" xfId="0" applyNumberFormat="1" applyFont="1" applyFill="1"/>
    <xf numFmtId="0" fontId="4" fillId="7" borderId="36" xfId="0" applyFont="1" applyFill="1" applyBorder="1" applyAlignment="1">
      <alignment horizontal="right"/>
    </xf>
    <xf numFmtId="0" fontId="4" fillId="7" borderId="47" xfId="0" applyFont="1" applyFill="1" applyBorder="1" applyAlignment="1">
      <alignment horizontal="right"/>
    </xf>
    <xf numFmtId="0" fontId="4" fillId="7" borderId="57" xfId="0" applyFont="1" applyFill="1" applyBorder="1" applyAlignment="1">
      <alignment horizontal="right"/>
    </xf>
    <xf numFmtId="9" fontId="4" fillId="8" borderId="6" xfId="0" applyNumberFormat="1" applyFont="1" applyFill="1" applyBorder="1"/>
    <xf numFmtId="0" fontId="0" fillId="10" borderId="48" xfId="0" applyFill="1" applyBorder="1"/>
    <xf numFmtId="0" fontId="4" fillId="10" borderId="76" xfId="0" applyFont="1" applyFill="1" applyBorder="1" applyAlignment="1">
      <alignment horizontal="right"/>
    </xf>
    <xf numFmtId="9" fontId="4" fillId="10" borderId="76" xfId="0" applyNumberFormat="1" applyFont="1" applyFill="1" applyBorder="1"/>
    <xf numFmtId="9" fontId="4" fillId="10" borderId="65" xfId="0" applyNumberFormat="1" applyFont="1" applyFill="1" applyBorder="1"/>
    <xf numFmtId="9" fontId="4" fillId="8" borderId="47" xfId="0" applyNumberFormat="1" applyFont="1" applyFill="1" applyBorder="1"/>
    <xf numFmtId="9" fontId="4" fillId="8" borderId="36" xfId="0" applyNumberFormat="1" applyFont="1" applyFill="1" applyBorder="1"/>
    <xf numFmtId="0" fontId="4" fillId="7" borderId="5" xfId="0" applyFont="1" applyFill="1" applyBorder="1"/>
    <xf numFmtId="0" fontId="8" fillId="13" borderId="0" xfId="0" applyFont="1" applyFill="1" applyAlignment="1">
      <alignment horizontal="center" vertical="center" wrapText="1"/>
    </xf>
    <xf numFmtId="9" fontId="3" fillId="13" borderId="0" xfId="0" applyNumberFormat="1" applyFont="1" applyFill="1" applyAlignment="1">
      <alignment horizontal="center"/>
    </xf>
    <xf numFmtId="10" fontId="3" fillId="13" borderId="0" xfId="0" applyNumberFormat="1" applyFont="1" applyFill="1"/>
    <xf numFmtId="9" fontId="3" fillId="13" borderId="0" xfId="0" applyNumberFormat="1" applyFont="1" applyFill="1"/>
    <xf numFmtId="9" fontId="6" fillId="13" borderId="0" xfId="0" applyNumberFormat="1" applyFont="1" applyFill="1"/>
    <xf numFmtId="1" fontId="3" fillId="13" borderId="0" xfId="0" applyNumberFormat="1" applyFont="1" applyFill="1"/>
    <xf numFmtId="168" fontId="3" fillId="13" borderId="0" xfId="0" applyNumberFormat="1" applyFont="1" applyFill="1"/>
    <xf numFmtId="0" fontId="26" fillId="10" borderId="0" xfId="0" applyFont="1" applyFill="1"/>
    <xf numFmtId="9" fontId="5" fillId="4" borderId="47" xfId="2" applyFont="1" applyFill="1" applyBorder="1" applyAlignment="1">
      <alignment vertical="center"/>
    </xf>
    <xf numFmtId="0" fontId="1" fillId="0" borderId="0" xfId="0" applyFont="1"/>
    <xf numFmtId="3" fontId="5" fillId="8" borderId="47" xfId="0" applyNumberFormat="1" applyFont="1" applyFill="1" applyBorder="1"/>
    <xf numFmtId="3" fontId="4" fillId="11" borderId="62" xfId="0" applyNumberFormat="1" applyFont="1" applyFill="1" applyBorder="1" applyAlignment="1">
      <alignment vertical="center"/>
    </xf>
    <xf numFmtId="0" fontId="3" fillId="0" borderId="0" xfId="0" applyFont="1" applyAlignment="1">
      <alignment horizontal="right" vertical="center" wrapText="1"/>
    </xf>
    <xf numFmtId="1" fontId="0" fillId="0" borderId="0" xfId="0" applyNumberFormat="1" applyAlignment="1">
      <alignment horizontal="right"/>
    </xf>
    <xf numFmtId="1" fontId="3" fillId="0" borderId="0" xfId="0" applyNumberFormat="1" applyFont="1" applyAlignment="1">
      <alignment horizontal="right" vertical="center"/>
    </xf>
    <xf numFmtId="3" fontId="5" fillId="14" borderId="47" xfId="0" applyNumberFormat="1" applyFont="1" applyFill="1" applyBorder="1" applyAlignment="1">
      <alignment vertical="center"/>
    </xf>
    <xf numFmtId="0" fontId="3" fillId="7" borderId="36" xfId="0" applyFont="1" applyFill="1" applyBorder="1" applyAlignment="1">
      <alignment horizontal="center" vertical="center" wrapText="1"/>
    </xf>
    <xf numFmtId="0" fontId="3" fillId="7" borderId="30" xfId="0" applyFont="1" applyFill="1" applyBorder="1" applyAlignment="1">
      <alignment horizontal="center" vertical="center" wrapText="1"/>
    </xf>
    <xf numFmtId="0" fontId="3" fillId="7" borderId="37" xfId="0" applyFont="1" applyFill="1" applyBorder="1" applyAlignment="1">
      <alignment horizontal="center" vertical="center" wrapText="1"/>
    </xf>
    <xf numFmtId="0" fontId="3" fillId="0" borderId="0" xfId="0" applyFont="1" applyAlignment="1">
      <alignment vertical="center" wrapText="1"/>
    </xf>
    <xf numFmtId="0" fontId="0" fillId="0" borderId="0" xfId="0"/>
    <xf numFmtId="0" fontId="8" fillId="7" borderId="4"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10" fillId="7" borderId="31" xfId="0" applyFont="1" applyFill="1" applyBorder="1" applyAlignment="1">
      <alignment horizontal="center" vertical="center" wrapText="1"/>
    </xf>
    <xf numFmtId="0" fontId="8" fillId="7" borderId="21" xfId="0" applyFont="1" applyFill="1" applyBorder="1" applyAlignment="1">
      <alignment horizontal="center"/>
    </xf>
    <xf numFmtId="0" fontId="8" fillId="7" borderId="22" xfId="0" applyFont="1" applyFill="1" applyBorder="1" applyAlignment="1">
      <alignment horizontal="center"/>
    </xf>
    <xf numFmtId="0" fontId="8" fillId="7" borderId="23" xfId="0" applyFont="1" applyFill="1" applyBorder="1" applyAlignment="1">
      <alignment horizontal="center"/>
    </xf>
    <xf numFmtId="169" fontId="10" fillId="7" borderId="6" xfId="0" applyNumberFormat="1" applyFont="1" applyFill="1" applyBorder="1" applyAlignment="1">
      <alignment horizontal="center" vertical="center" wrapText="1"/>
    </xf>
    <xf numFmtId="2" fontId="3"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0.64011980849324301</c:v>
                </c:pt>
                <c:pt idx="1">
                  <c:v>0.38718026736614253</c:v>
                </c:pt>
                <c:pt idx="2">
                  <c:v>1.3499827146915164</c:v>
                </c:pt>
                <c:pt idx="3">
                  <c:v>3.7441333511816076E-2</c:v>
                </c:pt>
                <c:pt idx="4">
                  <c:v>8.6508519484960855E-2</c:v>
                </c:pt>
                <c:pt idx="5">
                  <c:v>4.1120119644091235E-2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9.0846853223841173E-2</c:v>
                </c:pt>
                <c:pt idx="1">
                  <c:v>8.6774690495418097E-2</c:v>
                </c:pt>
                <c:pt idx="2">
                  <c:v>3.6674704744767181E-2</c:v>
                </c:pt>
                <c:pt idx="3">
                  <c:v>2.6909513482113148E-2</c:v>
                </c:pt>
                <c:pt idx="4">
                  <c:v>0.48104404207193902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7.1931063398120762E-2</c:v>
                </c:pt>
                <c:pt idx="1">
                  <c:v>0.65031874061995798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126.55209293667498</c:v>
                </c:pt>
                <c:pt idx="1">
                  <c:v>1144.1398724483263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8" customFormat="1" ht="16" x14ac:dyDescent="0.2"/>
    <row r="2" spans="1:2" s="138" customFormat="1" ht="16" x14ac:dyDescent="0.2">
      <c r="A2" s="138" t="s">
        <v>485</v>
      </c>
    </row>
    <row r="3" spans="1:2" s="138" customFormat="1" ht="16" x14ac:dyDescent="0.2">
      <c r="B3" s="137" t="s">
        <v>486</v>
      </c>
    </row>
    <row r="4" spans="1:2" s="138" customFormat="1" ht="16" x14ac:dyDescent="0.2">
      <c r="B4" s="138" t="s">
        <v>487</v>
      </c>
    </row>
    <row r="5" spans="1:2" s="138" customFormat="1" ht="16" x14ac:dyDescent="0.2"/>
    <row r="6" spans="1:2" s="138" customFormat="1" ht="16" x14ac:dyDescent="0.2">
      <c r="B6" s="137" t="s">
        <v>488</v>
      </c>
    </row>
    <row r="7" spans="1:2" s="138" customFormat="1" ht="16" x14ac:dyDescent="0.2">
      <c r="B7" s="138" t="s">
        <v>489</v>
      </c>
    </row>
    <row r="8" spans="1:2" s="138" customFormat="1" ht="16" x14ac:dyDescent="0.2"/>
    <row r="9" spans="1:2" s="138" customFormat="1" ht="16" x14ac:dyDescent="0.2">
      <c r="B9" s="138" t="s">
        <v>490</v>
      </c>
    </row>
    <row r="10" spans="1:2" s="138" customFormat="1" ht="16" x14ac:dyDescent="0.2"/>
    <row r="11" spans="1:2" s="138" customFormat="1" ht="16" x14ac:dyDescent="0.2"/>
    <row r="12" spans="1:2" s="138" customFormat="1" ht="16" x14ac:dyDescent="0.2"/>
    <row r="13" spans="1:2" s="138" customFormat="1" ht="16" x14ac:dyDescent="0.2">
      <c r="A13" s="457" t="s">
        <v>542</v>
      </c>
    </row>
    <row r="14" spans="1:2" s="138" customFormat="1" ht="16" x14ac:dyDescent="0.2">
      <c r="B14" s="457" t="s">
        <v>543</v>
      </c>
    </row>
    <row r="15" spans="1:2" s="138" customFormat="1" ht="16" x14ac:dyDescent="0.2">
      <c r="B15" s="457" t="s">
        <v>544</v>
      </c>
    </row>
    <row r="16" spans="1:2" s="138" customFormat="1" ht="16" x14ac:dyDescent="0.2">
      <c r="B16" s="457" t="s">
        <v>545</v>
      </c>
    </row>
    <row r="17" spans="2:2" s="138" customFormat="1" ht="16" x14ac:dyDescent="0.2">
      <c r="B17" s="457" t="s">
        <v>546</v>
      </c>
    </row>
    <row r="18" spans="2:2" s="138" customFormat="1" ht="16" x14ac:dyDescent="0.2"/>
    <row r="19" spans="2:2" s="138" customFormat="1" ht="16" x14ac:dyDescent="0.2"/>
    <row r="20" spans="2:2" s="138" customFormat="1" ht="16" x14ac:dyDescent="0.2"/>
    <row r="21" spans="2:2" s="138" customFormat="1" ht="16" x14ac:dyDescent="0.2"/>
    <row r="22" spans="2:2" s="138" customFormat="1" ht="16" x14ac:dyDescent="0.2"/>
    <row r="23" spans="2:2" s="138" customFormat="1" ht="16" x14ac:dyDescent="0.2"/>
    <row r="24" spans="2:2" s="138" customFormat="1" ht="16" x14ac:dyDescent="0.2"/>
    <row r="25" spans="2:2" s="138"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abSelected="1" zoomScale="150" workbookViewId="0">
      <selection activeCell="C17" sqref="C17"/>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475</v>
      </c>
      <c r="C1" s="128" t="s">
        <v>532</v>
      </c>
    </row>
    <row r="2" spans="1:8" ht="14.25" customHeight="1" x14ac:dyDescent="0.2">
      <c r="A2" s="102"/>
      <c r="B2" s="134" t="s">
        <v>0</v>
      </c>
      <c r="C2" s="146" t="s">
        <v>1</v>
      </c>
      <c r="D2" s="147" t="s">
        <v>2</v>
      </c>
      <c r="E2" s="147" t="s">
        <v>3</v>
      </c>
      <c r="F2" s="147" t="s">
        <v>4</v>
      </c>
      <c r="G2" s="148" t="s">
        <v>5</v>
      </c>
      <c r="H2" s="195" t="s">
        <v>6</v>
      </c>
    </row>
    <row r="3" spans="1:8" ht="14.25" customHeight="1" x14ac:dyDescent="0.2">
      <c r="A3" s="102"/>
      <c r="B3" s="188" t="s">
        <v>491</v>
      </c>
      <c r="C3" s="132">
        <v>32850</v>
      </c>
      <c r="D3" s="182" t="s">
        <v>7</v>
      </c>
      <c r="E3" s="129">
        <v>32850</v>
      </c>
      <c r="F3" s="129">
        <v>32850</v>
      </c>
      <c r="G3" s="129">
        <v>1</v>
      </c>
      <c r="H3" s="196" t="s">
        <v>483</v>
      </c>
    </row>
    <row r="4" spans="1:8" ht="14.25" customHeight="1" x14ac:dyDescent="0.2">
      <c r="A4" s="102"/>
      <c r="B4" s="188" t="s">
        <v>9</v>
      </c>
      <c r="C4" s="133">
        <v>2.3370786516853901</v>
      </c>
      <c r="D4" s="182" t="s">
        <v>10</v>
      </c>
      <c r="E4" s="129">
        <v>1</v>
      </c>
      <c r="F4" s="129">
        <v>8</v>
      </c>
      <c r="G4" s="129">
        <v>1</v>
      </c>
      <c r="H4" s="197"/>
    </row>
    <row r="5" spans="1:8" ht="14.25" customHeight="1" x14ac:dyDescent="0.2">
      <c r="A5" s="102"/>
      <c r="B5" s="188" t="s">
        <v>11</v>
      </c>
      <c r="C5" s="133">
        <v>2.29213483146067</v>
      </c>
      <c r="D5" s="182" t="s">
        <v>12</v>
      </c>
      <c r="E5" s="129">
        <v>0</v>
      </c>
      <c r="F5" s="129">
        <v>9</v>
      </c>
      <c r="G5" s="129">
        <v>1</v>
      </c>
      <c r="H5" s="197"/>
    </row>
    <row r="6" spans="1:8" ht="14.25" customHeight="1" x14ac:dyDescent="0.2">
      <c r="A6" s="102"/>
      <c r="B6" s="188" t="s">
        <v>13</v>
      </c>
      <c r="C6" s="133">
        <v>62.307692307692299</v>
      </c>
      <c r="D6" s="182" t="s">
        <v>14</v>
      </c>
      <c r="E6" s="129">
        <v>0</v>
      </c>
      <c r="F6" s="129">
        <v>150</v>
      </c>
      <c r="G6" s="129">
        <v>1</v>
      </c>
      <c r="H6" s="197"/>
    </row>
    <row r="7" spans="1:8" ht="14.25" customHeight="1" x14ac:dyDescent="0.2">
      <c r="A7" s="102"/>
      <c r="B7" s="189" t="s">
        <v>15</v>
      </c>
      <c r="C7" s="194">
        <v>32000</v>
      </c>
      <c r="D7" s="186" t="s">
        <v>16</v>
      </c>
      <c r="E7" s="129">
        <v>32000</v>
      </c>
      <c r="F7" s="129">
        <v>32000</v>
      </c>
      <c r="G7" s="129">
        <v>1</v>
      </c>
      <c r="H7" s="198"/>
    </row>
    <row r="8" spans="1:8" ht="14.25" customHeight="1" x14ac:dyDescent="0.2">
      <c r="A8" s="102"/>
      <c r="B8" s="130"/>
      <c r="C8" s="193"/>
      <c r="D8" s="102"/>
      <c r="E8" s="102"/>
      <c r="F8" s="102"/>
      <c r="G8" s="102"/>
      <c r="H8" s="150"/>
    </row>
    <row r="9" spans="1:8" ht="14.25" customHeight="1" x14ac:dyDescent="0.2">
      <c r="A9" s="102"/>
      <c r="B9" s="130"/>
      <c r="C9" s="7"/>
    </row>
    <row r="10" spans="1:8" ht="14.25" customHeight="1" x14ac:dyDescent="0.2">
      <c r="A10" s="102"/>
      <c r="B10" s="136" t="s">
        <v>17</v>
      </c>
      <c r="C10" s="128" t="s">
        <v>532</v>
      </c>
    </row>
    <row r="11" spans="1:8" ht="14.25" customHeight="1" x14ac:dyDescent="0.2">
      <c r="A11" s="102"/>
      <c r="B11" s="134" t="s">
        <v>0</v>
      </c>
      <c r="C11" s="131" t="s">
        <v>1</v>
      </c>
      <c r="D11" s="2" t="s">
        <v>2</v>
      </c>
      <c r="E11" s="2" t="s">
        <v>3</v>
      </c>
      <c r="F11" s="2" t="s">
        <v>4</v>
      </c>
      <c r="G11" s="3" t="s">
        <v>5</v>
      </c>
      <c r="H11" s="4" t="s">
        <v>6</v>
      </c>
    </row>
    <row r="12" spans="1:8" ht="14.25" customHeight="1" x14ac:dyDescent="0.2">
      <c r="A12" s="102"/>
      <c r="B12" s="191" t="s">
        <v>20</v>
      </c>
      <c r="C12" s="135">
        <v>86.842324116100428</v>
      </c>
      <c r="D12" s="182" t="s">
        <v>21</v>
      </c>
      <c r="E12" s="129">
        <v>0</v>
      </c>
      <c r="F12" s="129">
        <v>236</v>
      </c>
      <c r="G12" s="129">
        <v>0.1</v>
      </c>
      <c r="H12" s="8" t="s">
        <v>22</v>
      </c>
    </row>
    <row r="13" spans="1:8" ht="14.25" customHeight="1" x14ac:dyDescent="0.2">
      <c r="A13" s="102"/>
      <c r="B13" s="191" t="s">
        <v>23</v>
      </c>
      <c r="C13" s="135">
        <v>199.40027132349115</v>
      </c>
      <c r="D13" s="182" t="s">
        <v>24</v>
      </c>
      <c r="E13" s="129">
        <v>0</v>
      </c>
      <c r="F13" s="129">
        <v>694</v>
      </c>
      <c r="G13" s="129">
        <v>0.1</v>
      </c>
      <c r="H13" s="8"/>
    </row>
    <row r="14" spans="1:8" ht="14.25" customHeight="1" x14ac:dyDescent="0.2">
      <c r="A14" s="102"/>
      <c r="B14" s="191" t="s">
        <v>25</v>
      </c>
      <c r="C14" s="135">
        <v>206.72012911534654</v>
      </c>
      <c r="D14" s="182" t="s">
        <v>26</v>
      </c>
      <c r="E14" s="129">
        <v>0</v>
      </c>
      <c r="F14" s="129">
        <v>536</v>
      </c>
      <c r="G14" s="129">
        <v>0.1</v>
      </c>
      <c r="H14" s="8"/>
    </row>
    <row r="15" spans="1:8" ht="14.25" customHeight="1" x14ac:dyDescent="0.2">
      <c r="A15" s="102"/>
      <c r="B15" s="191" t="s">
        <v>27</v>
      </c>
      <c r="C15" s="135">
        <v>60.767560767577862</v>
      </c>
      <c r="D15" s="182" t="s">
        <v>28</v>
      </c>
      <c r="E15" s="129">
        <v>0</v>
      </c>
      <c r="F15" s="129">
        <v>225</v>
      </c>
      <c r="G15" s="129">
        <v>0.1</v>
      </c>
      <c r="H15" s="8"/>
    </row>
    <row r="16" spans="1:8" ht="14.25" customHeight="1" x14ac:dyDescent="0.2">
      <c r="A16" s="102"/>
      <c r="B16" s="192" t="s">
        <v>29</v>
      </c>
      <c r="C16" s="135">
        <v>207.83092179064991</v>
      </c>
      <c r="D16" s="190" t="s">
        <v>30</v>
      </c>
      <c r="E16" s="129">
        <v>0</v>
      </c>
      <c r="F16" s="129">
        <v>962</v>
      </c>
      <c r="G16" s="129">
        <v>0.1</v>
      </c>
      <c r="H16" s="9"/>
    </row>
    <row r="17" spans="1:8" ht="14.25" customHeight="1" x14ac:dyDescent="0.2">
      <c r="A17" s="102"/>
      <c r="B17" s="192" t="s">
        <v>554</v>
      </c>
      <c r="C17" s="135">
        <v>409.63954681120686</v>
      </c>
      <c r="D17" s="190" t="s">
        <v>18</v>
      </c>
      <c r="E17" s="129">
        <v>0</v>
      </c>
      <c r="F17" s="129">
        <v>1145</v>
      </c>
      <c r="G17" s="129">
        <v>0.1</v>
      </c>
      <c r="H17" s="1" t="s">
        <v>19</v>
      </c>
    </row>
    <row r="18" spans="1:8" ht="14.25" customHeight="1" x14ac:dyDescent="0.2"/>
    <row r="19" spans="1:8" ht="14.25" customHeight="1" x14ac:dyDescent="0.2">
      <c r="B19" s="460" t="s">
        <v>553</v>
      </c>
      <c r="C19" s="461">
        <f>C17*(C3+C7)</f>
        <v>26565124.610706765</v>
      </c>
    </row>
    <row r="20" spans="1:8" ht="14.25" customHeight="1" x14ac:dyDescent="0.2">
      <c r="B20" s="11"/>
      <c r="C20" s="462">
        <f>NatParkPA!C6</f>
        <v>26565124.610706765</v>
      </c>
      <c r="D20" s="1" t="str">
        <f>IF(ABS(C19-C20)&lt;10, "ok equal", "not equal")</f>
        <v>ok equal</v>
      </c>
    </row>
    <row r="21" spans="1:8" ht="14.25" customHeight="1" x14ac:dyDescent="0.2">
      <c r="B21" s="11"/>
      <c r="C21" s="12"/>
      <c r="D21" s="1"/>
    </row>
    <row r="22" spans="1:8" ht="14.25" customHeight="1" x14ac:dyDescent="0.2">
      <c r="C22" s="12"/>
      <c r="D22" s="1"/>
    </row>
    <row r="23" spans="1:8" ht="14.25" customHeight="1" thickBot="1" x14ac:dyDescent="0.25">
      <c r="B23" s="11" t="s">
        <v>484</v>
      </c>
      <c r="C23" s="12"/>
      <c r="D23" s="1"/>
    </row>
    <row r="24" spans="1:8" ht="14.25" customHeight="1" x14ac:dyDescent="0.2">
      <c r="B24" s="407" t="s">
        <v>31</v>
      </c>
      <c r="C24" s="408" t="s">
        <v>32</v>
      </c>
      <c r="D24" s="409"/>
      <c r="E24" s="410"/>
      <c r="F24" s="410"/>
      <c r="G24" s="410"/>
      <c r="H24" s="411"/>
    </row>
    <row r="25" spans="1:8" ht="14.25" customHeight="1" x14ac:dyDescent="0.2">
      <c r="B25" s="412" t="s">
        <v>33</v>
      </c>
      <c r="C25" s="413">
        <v>0</v>
      </c>
      <c r="D25" s="414" t="s">
        <v>34</v>
      </c>
      <c r="E25" s="415"/>
      <c r="F25" s="415"/>
      <c r="G25" s="415"/>
      <c r="H25" s="416"/>
    </row>
    <row r="26" spans="1:8" ht="14.25" customHeight="1" x14ac:dyDescent="0.2">
      <c r="B26" s="412" t="s">
        <v>35</v>
      </c>
      <c r="C26" s="417">
        <f>($C$7+$C$4*$C$3)*SUM($C$13:$C$14)</f>
        <v>44174948.006385349</v>
      </c>
      <c r="D26" s="418" t="s">
        <v>36</v>
      </c>
      <c r="E26" s="415"/>
      <c r="F26" s="415"/>
      <c r="G26" s="415"/>
      <c r="H26" s="416"/>
    </row>
    <row r="27" spans="1:8" ht="14.25" customHeight="1" x14ac:dyDescent="0.2">
      <c r="B27" s="412" t="s">
        <v>37</v>
      </c>
      <c r="C27" s="417">
        <f>($C$7+$C$4*$C$3)*SUM($C$15:$C$16)</f>
        <v>29216271.797187515</v>
      </c>
      <c r="D27" s="414" t="s">
        <v>38</v>
      </c>
      <c r="E27" s="415"/>
      <c r="F27" s="415"/>
      <c r="G27" s="415"/>
      <c r="H27" s="416"/>
    </row>
    <row r="28" spans="1:8" ht="14.25" customHeight="1" x14ac:dyDescent="0.2">
      <c r="B28" s="412" t="s">
        <v>39</v>
      </c>
      <c r="C28" s="417">
        <v>0</v>
      </c>
      <c r="D28" s="418" t="s">
        <v>40</v>
      </c>
      <c r="E28" s="415"/>
      <c r="F28" s="415"/>
      <c r="G28" s="415"/>
      <c r="H28" s="416"/>
    </row>
    <row r="29" spans="1:8" ht="14.25" customHeight="1" x14ac:dyDescent="0.2">
      <c r="B29" s="412" t="s">
        <v>41</v>
      </c>
      <c r="C29" s="417">
        <v>0</v>
      </c>
      <c r="D29" s="414" t="s">
        <v>42</v>
      </c>
      <c r="E29" s="415"/>
      <c r="F29" s="415"/>
      <c r="G29" s="415"/>
      <c r="H29" s="416"/>
    </row>
    <row r="30" spans="1:8" ht="15.75" customHeight="1" x14ac:dyDescent="0.2">
      <c r="B30" s="412" t="s">
        <v>43</v>
      </c>
      <c r="C30" s="417">
        <v>0</v>
      </c>
      <c r="D30" s="414" t="s">
        <v>42</v>
      </c>
      <c r="E30" s="415"/>
      <c r="F30" s="415"/>
      <c r="G30" s="415"/>
      <c r="H30" s="416"/>
    </row>
    <row r="31" spans="1:8" ht="15.75" customHeight="1" x14ac:dyDescent="0.2">
      <c r="B31" s="412" t="s">
        <v>44</v>
      </c>
      <c r="C31" s="417">
        <v>0</v>
      </c>
      <c r="D31" s="414" t="s">
        <v>42</v>
      </c>
      <c r="E31" s="415"/>
      <c r="F31" s="415"/>
      <c r="G31" s="415"/>
      <c r="H31" s="416"/>
    </row>
    <row r="32" spans="1:8" ht="15.75" customHeight="1" x14ac:dyDescent="0.2">
      <c r="B32" s="412" t="s">
        <v>45</v>
      </c>
      <c r="C32" s="417">
        <v>0</v>
      </c>
      <c r="D32" s="414" t="s">
        <v>42</v>
      </c>
      <c r="E32" s="415"/>
      <c r="F32" s="415"/>
      <c r="G32" s="415"/>
      <c r="H32" s="416"/>
    </row>
    <row r="33" spans="2:8" ht="15.75" customHeight="1" x14ac:dyDescent="0.2">
      <c r="B33" s="412" t="s">
        <v>46</v>
      </c>
      <c r="C33" s="417">
        <v>0</v>
      </c>
      <c r="D33" s="418" t="s">
        <v>47</v>
      </c>
      <c r="E33" s="415"/>
      <c r="F33" s="415"/>
      <c r="G33" s="415"/>
      <c r="H33" s="416"/>
    </row>
    <row r="34" spans="2:8" ht="14.25" customHeight="1" x14ac:dyDescent="0.2">
      <c r="B34" s="412" t="s">
        <v>48</v>
      </c>
      <c r="C34" s="417">
        <v>0</v>
      </c>
      <c r="D34" s="418" t="s">
        <v>49</v>
      </c>
      <c r="E34" s="415"/>
      <c r="F34" s="415"/>
      <c r="G34" s="415"/>
      <c r="H34" s="416"/>
    </row>
    <row r="35" spans="2:8" ht="14.25" customHeight="1" x14ac:dyDescent="0.2">
      <c r="B35" s="412" t="s">
        <v>50</v>
      </c>
      <c r="C35" s="417">
        <v>0</v>
      </c>
      <c r="D35" s="418" t="s">
        <v>49</v>
      </c>
      <c r="E35" s="415"/>
      <c r="F35" s="415"/>
      <c r="G35" s="415"/>
      <c r="H35" s="416"/>
    </row>
    <row r="36" spans="2:8" ht="14.25" customHeight="1" x14ac:dyDescent="0.2">
      <c r="B36" s="412" t="s">
        <v>51</v>
      </c>
      <c r="C36" s="417">
        <f>(C7+C4*C3)*$C$12</f>
        <v>9446103.0483499356</v>
      </c>
      <c r="D36" s="418" t="s">
        <v>52</v>
      </c>
      <c r="E36" s="415"/>
      <c r="F36" s="415"/>
      <c r="G36" s="415"/>
      <c r="H36" s="416"/>
    </row>
    <row r="37" spans="2:8" ht="14.25" customHeight="1" x14ac:dyDescent="0.2">
      <c r="B37" s="412" t="s">
        <v>53</v>
      </c>
      <c r="C37" s="417">
        <f>C5*C3*$C$6</f>
        <v>4691559.2048400948</v>
      </c>
      <c r="D37" s="418" t="s">
        <v>54</v>
      </c>
      <c r="E37" s="415"/>
      <c r="F37" s="415"/>
      <c r="G37" s="415"/>
      <c r="H37" s="416"/>
    </row>
    <row r="38" spans="2:8" ht="14.25" customHeight="1" x14ac:dyDescent="0.2">
      <c r="B38" s="412" t="s">
        <v>55</v>
      </c>
      <c r="C38" s="417">
        <v>0</v>
      </c>
      <c r="D38" s="418" t="s">
        <v>56</v>
      </c>
      <c r="E38" s="415"/>
      <c r="F38" s="415"/>
      <c r="G38" s="415"/>
      <c r="H38" s="416"/>
    </row>
    <row r="39" spans="2:8" ht="14.25" customHeight="1" x14ac:dyDescent="0.2">
      <c r="B39" s="412" t="s">
        <v>57</v>
      </c>
      <c r="C39" s="417">
        <f>NatParkPA!C6</f>
        <v>26565124.610706765</v>
      </c>
      <c r="D39" s="418" t="s">
        <v>548</v>
      </c>
      <c r="E39" s="415"/>
      <c r="F39" s="415"/>
      <c r="G39" s="415"/>
      <c r="H39" s="416"/>
    </row>
    <row r="40" spans="2:8" ht="14.25" customHeight="1" x14ac:dyDescent="0.2">
      <c r="B40" s="412" t="s">
        <v>58</v>
      </c>
      <c r="C40" s="417">
        <v>0</v>
      </c>
      <c r="D40" s="418" t="s">
        <v>59</v>
      </c>
      <c r="E40" s="415"/>
      <c r="F40" s="415"/>
      <c r="G40" s="415"/>
      <c r="H40" s="416"/>
    </row>
    <row r="41" spans="2:8" ht="14.25" customHeight="1" x14ac:dyDescent="0.2">
      <c r="B41" s="412" t="s">
        <v>60</v>
      </c>
      <c r="C41" s="417"/>
      <c r="D41" s="418" t="s">
        <v>61</v>
      </c>
      <c r="E41" s="415"/>
      <c r="F41" s="415"/>
      <c r="G41" s="415"/>
      <c r="H41" s="416"/>
    </row>
    <row r="42" spans="2:8" ht="14.25" customHeight="1" x14ac:dyDescent="0.2">
      <c r="B42" s="419" t="s">
        <v>62</v>
      </c>
      <c r="C42" s="420"/>
      <c r="D42" s="418" t="s">
        <v>63</v>
      </c>
      <c r="E42" s="415"/>
      <c r="F42" s="415"/>
      <c r="G42" s="415"/>
      <c r="H42" s="416"/>
    </row>
    <row r="43" spans="2:8" ht="14.25" customHeight="1" x14ac:dyDescent="0.2">
      <c r="B43" s="412" t="s">
        <v>64</v>
      </c>
      <c r="C43" s="420">
        <f>SUM(C25:C42)</f>
        <v>114094006.66746965</v>
      </c>
      <c r="D43" s="418" t="s">
        <v>65</v>
      </c>
      <c r="E43" s="415"/>
      <c r="F43" s="415"/>
      <c r="G43" s="415"/>
      <c r="H43" s="416"/>
    </row>
    <row r="44" spans="2:8" ht="14.25" customHeight="1" x14ac:dyDescent="0.2">
      <c r="B44" s="412" t="s">
        <v>66</v>
      </c>
      <c r="C44" s="417">
        <f>$C$3*($C$17+$C$4*SUM($C$12:$C$16)+$C$5*$C$6)+$C$7*($C$17+SUM($C$12:$C$16))</f>
        <v>114094006.66746968</v>
      </c>
      <c r="D44" s="418" t="s">
        <v>67</v>
      </c>
      <c r="E44" s="415"/>
      <c r="F44" s="415"/>
      <c r="G44" s="415"/>
      <c r="H44" s="416"/>
    </row>
    <row r="45" spans="2:8" ht="14.25" customHeight="1" x14ac:dyDescent="0.2">
      <c r="B45" s="412" t="s">
        <v>68</v>
      </c>
      <c r="C45" s="417">
        <f>C44-C43</f>
        <v>0</v>
      </c>
      <c r="D45" s="418" t="s">
        <v>69</v>
      </c>
      <c r="E45" s="415"/>
      <c r="F45" s="415"/>
      <c r="G45" s="415"/>
      <c r="H45" s="416"/>
    </row>
    <row r="46" spans="2:8" ht="14.25" customHeight="1" thickBot="1" x14ac:dyDescent="0.25">
      <c r="B46" s="421" t="s">
        <v>70</v>
      </c>
      <c r="C46" s="422">
        <f>C45/C44</f>
        <v>0</v>
      </c>
      <c r="D46" s="423" t="s">
        <v>71</v>
      </c>
      <c r="E46" s="424"/>
      <c r="F46" s="424"/>
      <c r="G46" s="424"/>
      <c r="H46" s="425"/>
    </row>
    <row r="47" spans="2:8" ht="14.25" customHeight="1" x14ac:dyDescent="0.2"/>
    <row r="48" spans="2:8" ht="14.25" customHeight="1" x14ac:dyDescent="0.2"/>
    <row r="49" spans="3:3" ht="14.25" customHeight="1" x14ac:dyDescent="0.2">
      <c r="C49" s="42" t="s">
        <v>549</v>
      </c>
    </row>
    <row r="50" spans="3:3" ht="14.25" customHeight="1" x14ac:dyDescent="0.2"/>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42" sqref="C42"/>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7"/>
      <c r="B1" s="102" t="s">
        <v>72</v>
      </c>
      <c r="C1" s="128" t="s">
        <v>532</v>
      </c>
      <c r="D1" s="42"/>
      <c r="H1" s="8"/>
    </row>
    <row r="2" spans="1:8" ht="54" customHeight="1" x14ac:dyDescent="0.2">
      <c r="A2" s="226"/>
      <c r="B2" s="262" t="s">
        <v>477</v>
      </c>
      <c r="C2" s="263"/>
      <c r="D2" s="264"/>
      <c r="F2" s="116"/>
      <c r="G2" s="116"/>
      <c r="H2" s="125"/>
    </row>
    <row r="3" spans="1:8" ht="14.25" customHeight="1" x14ac:dyDescent="0.2">
      <c r="A3" s="259"/>
      <c r="B3" s="265" t="s">
        <v>0</v>
      </c>
      <c r="C3" s="266" t="s">
        <v>481</v>
      </c>
      <c r="D3" s="267" t="s">
        <v>524</v>
      </c>
      <c r="E3" s="42" t="s">
        <v>478</v>
      </c>
      <c r="F3" s="126"/>
      <c r="G3" s="126"/>
      <c r="H3" s="126"/>
    </row>
    <row r="4" spans="1:8" ht="33.75" customHeight="1" x14ac:dyDescent="0.2">
      <c r="A4" s="464" t="s">
        <v>525</v>
      </c>
      <c r="B4" s="118" t="s">
        <v>74</v>
      </c>
      <c r="C4" s="120">
        <v>0.182</v>
      </c>
      <c r="D4" s="124">
        <f t="shared" ref="D4:D14" si="0">C4/$C$19*(1-$C$17)</f>
        <v>0.12676616915422884</v>
      </c>
      <c r="E4" s="37" t="s">
        <v>75</v>
      </c>
      <c r="F4" s="102"/>
      <c r="G4" s="102"/>
      <c r="H4" s="116"/>
    </row>
    <row r="5" spans="1:8" ht="33.75" customHeight="1" x14ac:dyDescent="0.2">
      <c r="A5" s="465"/>
      <c r="B5" s="118" t="s">
        <v>76</v>
      </c>
      <c r="C5" s="120">
        <v>0.12</v>
      </c>
      <c r="D5" s="124">
        <f t="shared" si="0"/>
        <v>8.3582089552238795E-2</v>
      </c>
      <c r="F5" s="102"/>
      <c r="G5" s="102"/>
      <c r="H5" s="127"/>
    </row>
    <row r="6" spans="1:8" ht="33.75" customHeight="1" x14ac:dyDescent="0.2">
      <c r="A6" s="465"/>
      <c r="B6" s="118" t="s">
        <v>77</v>
      </c>
      <c r="C6" s="120">
        <v>0.02</v>
      </c>
      <c r="D6" s="124">
        <f t="shared" si="0"/>
        <v>1.3930348258706466E-2</v>
      </c>
      <c r="F6" s="102"/>
      <c r="G6" s="102"/>
      <c r="H6" s="127"/>
    </row>
    <row r="7" spans="1:8" ht="33.75" customHeight="1" x14ac:dyDescent="0.2">
      <c r="A7" s="465"/>
      <c r="B7" s="118" t="s">
        <v>78</v>
      </c>
      <c r="C7" s="120">
        <v>0.01</v>
      </c>
      <c r="D7" s="124">
        <f t="shared" si="0"/>
        <v>6.9651741293532332E-3</v>
      </c>
      <c r="F7" s="102"/>
      <c r="G7" s="102"/>
      <c r="H7" s="127"/>
    </row>
    <row r="8" spans="1:8" ht="33.75" customHeight="1" x14ac:dyDescent="0.2">
      <c r="A8" s="465"/>
      <c r="B8" s="118" t="s">
        <v>79</v>
      </c>
      <c r="C8" s="120">
        <v>0.14244999999999999</v>
      </c>
      <c r="D8" s="162">
        <f t="shared" si="0"/>
        <v>9.9218905472636787E-2</v>
      </c>
      <c r="F8" s="102"/>
      <c r="G8" s="102"/>
      <c r="H8" s="127"/>
    </row>
    <row r="9" spans="1:8" ht="33.75" customHeight="1" x14ac:dyDescent="0.2">
      <c r="A9" s="465"/>
      <c r="B9" s="118" t="s">
        <v>513</v>
      </c>
      <c r="C9" s="120">
        <v>0</v>
      </c>
      <c r="D9" s="162">
        <f t="shared" si="0"/>
        <v>0</v>
      </c>
      <c r="F9" s="102"/>
      <c r="G9" s="102"/>
      <c r="H9" s="127"/>
    </row>
    <row r="10" spans="1:8" ht="33.75" customHeight="1" x14ac:dyDescent="0.2">
      <c r="A10" s="465"/>
      <c r="B10" s="119" t="s">
        <v>80</v>
      </c>
      <c r="C10" s="121">
        <v>1.1550000000000001E-2</v>
      </c>
      <c r="D10" s="162">
        <f t="shared" si="0"/>
        <v>8.044776119402984E-3</v>
      </c>
      <c r="F10" s="102"/>
      <c r="G10" s="102"/>
      <c r="H10" s="127"/>
    </row>
    <row r="11" spans="1:8" ht="33.75" customHeight="1" x14ac:dyDescent="0.2">
      <c r="A11" s="465"/>
      <c r="B11" s="118" t="s">
        <v>81</v>
      </c>
      <c r="C11" s="120">
        <v>0.13500000000000001</v>
      </c>
      <c r="D11" s="162">
        <f t="shared" si="0"/>
        <v>9.4029850746268656E-2</v>
      </c>
      <c r="E11" s="37" t="s">
        <v>82</v>
      </c>
      <c r="F11" s="102"/>
      <c r="G11" s="102"/>
      <c r="H11" s="116"/>
    </row>
    <row r="12" spans="1:8" ht="33.75" customHeight="1" x14ac:dyDescent="0.2">
      <c r="A12" s="465"/>
      <c r="B12" s="118" t="s">
        <v>83</v>
      </c>
      <c r="C12" s="120">
        <v>0.17699999999999999</v>
      </c>
      <c r="D12" s="162">
        <f t="shared" si="0"/>
        <v>0.1232835820895522</v>
      </c>
      <c r="F12" s="102"/>
      <c r="G12" s="102"/>
      <c r="H12" s="127"/>
    </row>
    <row r="13" spans="1:8" ht="33.75" customHeight="1" x14ac:dyDescent="0.2">
      <c r="A13" s="465"/>
      <c r="B13" s="118" t="s">
        <v>84</v>
      </c>
      <c r="C13" s="120">
        <v>0.157</v>
      </c>
      <c r="D13" s="124">
        <f t="shared" si="0"/>
        <v>0.10935323383084576</v>
      </c>
      <c r="F13" s="102"/>
      <c r="G13" s="102"/>
      <c r="H13" s="127"/>
    </row>
    <row r="14" spans="1:8" ht="18" customHeight="1" x14ac:dyDescent="0.2">
      <c r="A14" s="466"/>
      <c r="B14" s="118" t="s">
        <v>85</v>
      </c>
      <c r="C14" s="120">
        <v>0.05</v>
      </c>
      <c r="D14" s="124">
        <f t="shared" si="0"/>
        <v>3.4825870646766163E-2</v>
      </c>
      <c r="F14" s="102"/>
      <c r="G14" s="102"/>
      <c r="H14" s="127"/>
    </row>
    <row r="15" spans="1:8" ht="18" customHeight="1" x14ac:dyDescent="0.2">
      <c r="A15" s="231"/>
      <c r="B15" s="292" t="s">
        <v>86</v>
      </c>
      <c r="C15" s="122">
        <v>1</v>
      </c>
      <c r="D15" s="229">
        <f>C15</f>
        <v>1</v>
      </c>
      <c r="F15" s="102"/>
      <c r="G15" s="102"/>
      <c r="H15" s="127"/>
    </row>
    <row r="16" spans="1:8" ht="18" customHeight="1" x14ac:dyDescent="0.2">
      <c r="A16" s="232"/>
      <c r="B16" s="292" t="s">
        <v>87</v>
      </c>
      <c r="C16" s="122">
        <v>1</v>
      </c>
      <c r="D16" s="229">
        <f>C16</f>
        <v>1</v>
      </c>
      <c r="F16" s="102"/>
      <c r="G16" s="102"/>
      <c r="H16" s="127"/>
    </row>
    <row r="17" spans="1:8" ht="18" customHeight="1" x14ac:dyDescent="0.2">
      <c r="A17" s="233"/>
      <c r="B17" s="293" t="s">
        <v>399</v>
      </c>
      <c r="C17" s="123">
        <v>0.3</v>
      </c>
      <c r="D17" s="230">
        <f>C17</f>
        <v>0.3</v>
      </c>
      <c r="F17" s="116"/>
      <c r="G17" s="116"/>
      <c r="H17" s="125"/>
    </row>
    <row r="18" spans="1:8" ht="18" customHeight="1" x14ac:dyDescent="0.2">
      <c r="A18" s="19"/>
      <c r="B18" s="11"/>
      <c r="C18" s="12"/>
      <c r="D18" s="8"/>
    </row>
    <row r="19" spans="1:8" ht="18" customHeight="1" x14ac:dyDescent="0.2">
      <c r="A19" s="19"/>
      <c r="B19" s="11" t="s">
        <v>476</v>
      </c>
      <c r="C19" s="163">
        <f>SUM(C4:C14)</f>
        <v>1.0050000000000001</v>
      </c>
      <c r="D19" s="113">
        <f>SUM(D4:D14)</f>
        <v>0.69999999999999984</v>
      </c>
    </row>
    <row r="20" spans="1:8" ht="18" customHeight="1" x14ac:dyDescent="0.2">
      <c r="A20" s="19"/>
      <c r="B20" s="11" t="s">
        <v>482</v>
      </c>
      <c r="C20" s="113">
        <f>C19+C17</f>
        <v>1.3050000000000002</v>
      </c>
      <c r="D20" s="113">
        <f>D19+D17</f>
        <v>0.99999999999999978</v>
      </c>
    </row>
    <row r="21" spans="1:8" ht="18" customHeight="1" x14ac:dyDescent="0.2">
      <c r="A21" s="19"/>
      <c r="B21" s="11"/>
      <c r="C21" s="12"/>
      <c r="D21" s="8"/>
    </row>
    <row r="22" spans="1:8" ht="18" customHeight="1" x14ac:dyDescent="0.2">
      <c r="A22" s="19"/>
      <c r="B22" s="11"/>
      <c r="C22" s="12"/>
      <c r="D22" s="8"/>
    </row>
    <row r="23" spans="1:8" ht="18" customHeight="1" x14ac:dyDescent="0.2">
      <c r="A23" s="19"/>
      <c r="B23" s="157" t="s">
        <v>535</v>
      </c>
      <c r="C23" s="12"/>
      <c r="D23" s="8"/>
    </row>
    <row r="24" spans="1:8" ht="33.75" customHeight="1" x14ac:dyDescent="0.2">
      <c r="A24" s="19"/>
      <c r="B24" s="394" t="s">
        <v>31</v>
      </c>
      <c r="C24" s="395" t="s">
        <v>33</v>
      </c>
      <c r="D24" s="350"/>
    </row>
    <row r="25" spans="1:8" ht="16.5" customHeight="1" x14ac:dyDescent="0.2">
      <c r="A25" s="19"/>
      <c r="B25" s="396" t="s">
        <v>33</v>
      </c>
      <c r="C25" s="397">
        <f>C43*$D$8</f>
        <v>2939105.736664861</v>
      </c>
      <c r="D25" s="363" t="s">
        <v>88</v>
      </c>
    </row>
    <row r="26" spans="1:8" ht="14.25" customHeight="1" x14ac:dyDescent="0.2">
      <c r="B26" s="364" t="s">
        <v>35</v>
      </c>
      <c r="C26" s="398">
        <v>0</v>
      </c>
      <c r="D26" s="366" t="s">
        <v>89</v>
      </c>
    </row>
    <row r="27" spans="1:8" ht="16.5" customHeight="1" x14ac:dyDescent="0.2">
      <c r="A27" s="19"/>
      <c r="B27" s="364" t="s">
        <v>37</v>
      </c>
      <c r="C27" s="399">
        <f>SUM($D$11:$D$12)*C43</f>
        <v>6437353.3860262325</v>
      </c>
      <c r="D27" s="363" t="s">
        <v>90</v>
      </c>
    </row>
    <row r="28" spans="1:8" ht="16.5" customHeight="1" x14ac:dyDescent="0.2">
      <c r="A28" s="19"/>
      <c r="B28" s="364" t="s">
        <v>39</v>
      </c>
      <c r="C28" s="399">
        <f>$D$10*$C$43</f>
        <v>238305.87054039419</v>
      </c>
      <c r="D28" s="363" t="s">
        <v>91</v>
      </c>
    </row>
    <row r="29" spans="1:8" ht="16.5" customHeight="1" x14ac:dyDescent="0.2">
      <c r="A29" s="19"/>
      <c r="B29" s="364" t="s">
        <v>41</v>
      </c>
      <c r="C29" s="400">
        <f>$D4*$C$43*C16</f>
        <v>3755122.8085153019</v>
      </c>
      <c r="D29" s="368" t="s">
        <v>92</v>
      </c>
    </row>
    <row r="30" spans="1:8" ht="16.5" customHeight="1" x14ac:dyDescent="0.2">
      <c r="A30" s="19"/>
      <c r="B30" s="364" t="s">
        <v>43</v>
      </c>
      <c r="C30" s="400">
        <f>$D5*$C$43*C16</f>
        <v>2475905.1484716279</v>
      </c>
      <c r="D30" s="368" t="s">
        <v>93</v>
      </c>
    </row>
    <row r="31" spans="1:8" ht="16.5" customHeight="1" x14ac:dyDescent="0.2">
      <c r="A31" s="19"/>
      <c r="B31" s="364" t="s">
        <v>44</v>
      </c>
      <c r="C31" s="400">
        <f>$D6*$C$43*C16</f>
        <v>412650.85807860468</v>
      </c>
      <c r="D31" s="368" t="s">
        <v>94</v>
      </c>
    </row>
    <row r="32" spans="1:8" ht="16.5" customHeight="1" x14ac:dyDescent="0.2">
      <c r="A32" s="19"/>
      <c r="B32" s="364" t="s">
        <v>45</v>
      </c>
      <c r="C32" s="400">
        <f>$D7*$C$43*C16</f>
        <v>206325.42903930234</v>
      </c>
      <c r="D32" s="368" t="s">
        <v>95</v>
      </c>
    </row>
    <row r="33" spans="1:8" ht="16.5" customHeight="1" x14ac:dyDescent="0.2">
      <c r="A33" s="19"/>
      <c r="B33" s="364" t="s">
        <v>46</v>
      </c>
      <c r="C33" s="400">
        <f>D17*C$43*C15</f>
        <v>8886730.9793356657</v>
      </c>
      <c r="D33" s="368" t="s">
        <v>96</v>
      </c>
    </row>
    <row r="34" spans="1:8" ht="16.5" customHeight="1" x14ac:dyDescent="0.2">
      <c r="A34" s="19"/>
      <c r="B34" s="364" t="s">
        <v>48</v>
      </c>
      <c r="C34" s="400">
        <v>0</v>
      </c>
      <c r="D34" s="368" t="s">
        <v>97</v>
      </c>
      <c r="G34" s="110">
        <f>Restaurants!C25</f>
        <v>1977845.3242602397</v>
      </c>
    </row>
    <row r="35" spans="1:8" ht="16.5" customHeight="1" x14ac:dyDescent="0.2">
      <c r="A35" s="19"/>
      <c r="B35" s="364" t="s">
        <v>50</v>
      </c>
      <c r="C35" s="400">
        <v>0</v>
      </c>
      <c r="D35" s="368" t="s">
        <v>97</v>
      </c>
      <c r="G35" s="111">
        <f>+Lodges!C26</f>
        <v>291345.82662056992</v>
      </c>
    </row>
    <row r="36" spans="1:8" ht="16.5" customHeight="1" x14ac:dyDescent="0.2">
      <c r="A36" s="19"/>
      <c r="B36" s="364" t="s">
        <v>51</v>
      </c>
      <c r="C36" s="400">
        <v>0</v>
      </c>
      <c r="D36" s="368" t="s">
        <v>98</v>
      </c>
      <c r="G36" s="111">
        <f>+SUM(Households!C28:D28)</f>
        <v>7869060.7944228984</v>
      </c>
    </row>
    <row r="37" spans="1:8" ht="16.5" customHeight="1" x14ac:dyDescent="0.2">
      <c r="A37" s="19"/>
      <c r="B37" s="364" t="s">
        <v>53</v>
      </c>
      <c r="C37" s="400">
        <v>0</v>
      </c>
      <c r="D37" s="368" t="s">
        <v>99</v>
      </c>
      <c r="G37" s="111">
        <f>+NatParkPA!C27</f>
        <v>103757.84284800001</v>
      </c>
    </row>
    <row r="38" spans="1:8" ht="16.5" customHeight="1" x14ac:dyDescent="0.2">
      <c r="A38" s="19"/>
      <c r="B38" s="364" t="s">
        <v>55</v>
      </c>
      <c r="C38" s="400">
        <v>0</v>
      </c>
      <c r="D38" s="368" t="s">
        <v>100</v>
      </c>
      <c r="G38" s="111">
        <f>+ Tourism!C25</f>
        <v>9188159.1074739527</v>
      </c>
    </row>
    <row r="39" spans="1:8" ht="16.5" customHeight="1" x14ac:dyDescent="0.2">
      <c r="A39" s="19"/>
      <c r="B39" s="364" t="s">
        <v>57</v>
      </c>
      <c r="C39" s="400">
        <v>0</v>
      </c>
      <c r="D39" s="368" t="s">
        <v>101</v>
      </c>
    </row>
    <row r="40" spans="1:8" ht="16.5" customHeight="1" x14ac:dyDescent="0.2">
      <c r="A40" s="19"/>
      <c r="B40" s="364" t="s">
        <v>60</v>
      </c>
      <c r="C40" s="402">
        <f>$C$43*$D$14</f>
        <v>1031627.1451965115</v>
      </c>
      <c r="D40" s="368" t="s">
        <v>102</v>
      </c>
    </row>
    <row r="41" spans="1:8" ht="16.5" customHeight="1" x14ac:dyDescent="0.2">
      <c r="A41" s="19"/>
      <c r="B41" s="401" t="s">
        <v>62</v>
      </c>
      <c r="C41" s="402">
        <f>$C$43*$D$13+C43*SUM(D4:D7)*(1-C16)+C43*C17*(1-C15)</f>
        <v>3239309.2359170467</v>
      </c>
      <c r="D41" s="368" t="s">
        <v>103</v>
      </c>
      <c r="G41" s="109">
        <f>(Restaurants!C25+Lodges!C26+SUM(Households!C28:D28)+NatParkPA!C27+ Tourism!C25 + Tourists!C25 + ComRevSh!C25 )/(1-0)</f>
        <v>20007671.604554065</v>
      </c>
    </row>
    <row r="42" spans="1:8" ht="16.5" customHeight="1" x14ac:dyDescent="0.2">
      <c r="A42" s="19"/>
      <c r="B42" s="364" t="s">
        <v>64</v>
      </c>
      <c r="C42" s="402">
        <f>SUM(C25:C41)</f>
        <v>29622436.597785547</v>
      </c>
      <c r="D42" s="368" t="s">
        <v>104</v>
      </c>
    </row>
    <row r="43" spans="1:8" ht="16.5" customHeight="1" x14ac:dyDescent="0.2">
      <c r="A43" s="19"/>
      <c r="B43" s="364" t="s">
        <v>66</v>
      </c>
      <c r="C43" s="403">
        <f>(Restaurants!C25+Lodges!C26+SUM(Households!C28:D28)+NatParkPA!C27+Tourism!C25+Tourists!C25+ComRevSh!C25)/(1-SUM(D8:D12))</f>
        <v>29622436.597785551</v>
      </c>
      <c r="D43" s="368" t="s">
        <v>105</v>
      </c>
      <c r="F43" s="128" t="s">
        <v>479</v>
      </c>
      <c r="G43" s="128"/>
      <c r="H43" s="128"/>
    </row>
    <row r="44" spans="1:8" ht="16.5" customHeight="1" x14ac:dyDescent="0.2">
      <c r="A44" s="19"/>
      <c r="B44" s="364" t="s">
        <v>68</v>
      </c>
      <c r="C44" s="400">
        <f>C43-C42</f>
        <v>0</v>
      </c>
      <c r="D44" s="368" t="s">
        <v>106</v>
      </c>
      <c r="F44" s="128"/>
      <c r="G44" s="161">
        <f>(1-SUM(D8:D12))</f>
        <v>0.67542288557213936</v>
      </c>
    </row>
    <row r="45" spans="1:8" ht="16.5" customHeight="1" x14ac:dyDescent="0.2">
      <c r="A45" s="19"/>
      <c r="B45" s="364" t="s">
        <v>70</v>
      </c>
      <c r="C45" s="404">
        <f>C44/C43</f>
        <v>0</v>
      </c>
      <c r="D45" s="368" t="s">
        <v>107</v>
      </c>
      <c r="G45" s="109">
        <f>(Restaurants!C25+Lodges!C26+SUM(Households!C28:D28)+NatParkPA!C27+ Tourism!C25 + Tourists!C25 + ComRevSh!C25 )/0.6605</f>
        <v>30291705.684411909</v>
      </c>
    </row>
    <row r="46" spans="1:8" ht="33.75" customHeight="1" x14ac:dyDescent="0.2">
      <c r="A46" s="19"/>
      <c r="B46" s="405" t="s">
        <v>108</v>
      </c>
      <c r="C46" s="406">
        <f>C33/C43</f>
        <v>0.3</v>
      </c>
      <c r="D46" s="379"/>
      <c r="H46" s="8"/>
    </row>
    <row r="47" spans="1:8" ht="33.75" customHeight="1" x14ac:dyDescent="0.2">
      <c r="A47" s="19"/>
      <c r="H47" s="8"/>
    </row>
    <row r="48" spans="1:8" ht="33.75" customHeight="1" x14ac:dyDescent="0.2">
      <c r="A48" s="19"/>
      <c r="C48" s="22"/>
      <c r="D48" s="125"/>
      <c r="H48" s="8"/>
    </row>
    <row r="49" spans="1:8" ht="33.75" customHeight="1" x14ac:dyDescent="0.2">
      <c r="A49" s="19"/>
      <c r="H49" s="8"/>
    </row>
    <row r="50" spans="1:8" ht="33.75" customHeight="1" x14ac:dyDescent="0.2">
      <c r="A50" s="19"/>
      <c r="B50" s="23" t="s">
        <v>480</v>
      </c>
      <c r="H50" s="8"/>
    </row>
    <row r="51" spans="1:8" ht="20" customHeight="1" x14ac:dyDescent="0.2">
      <c r="A51" s="19"/>
      <c r="B51" s="24" t="s">
        <v>0</v>
      </c>
      <c r="C51" s="25" t="s">
        <v>1</v>
      </c>
      <c r="D51" s="26" t="s">
        <v>2</v>
      </c>
      <c r="E51" s="26" t="s">
        <v>3</v>
      </c>
      <c r="F51" s="26" t="s">
        <v>4</v>
      </c>
      <c r="G51" s="27" t="s">
        <v>5</v>
      </c>
      <c r="H51" s="8"/>
    </row>
    <row r="52" spans="1:8" ht="20" customHeight="1" x14ac:dyDescent="0.2">
      <c r="A52" s="19"/>
      <c r="B52" s="176" t="s">
        <v>74</v>
      </c>
      <c r="C52" s="177">
        <f>C4*100</f>
        <v>18.2</v>
      </c>
      <c r="D52" s="178" t="s">
        <v>409</v>
      </c>
      <c r="E52" s="179">
        <v>0</v>
      </c>
      <c r="F52" s="179">
        <v>100</v>
      </c>
      <c r="G52" s="180">
        <v>0.01</v>
      </c>
      <c r="H52" s="8"/>
    </row>
    <row r="53" spans="1:8" ht="28" customHeight="1" x14ac:dyDescent="0.2">
      <c r="A53" s="19"/>
      <c r="B53" s="176" t="s">
        <v>76</v>
      </c>
      <c r="C53" s="177">
        <f t="shared" ref="C53:C62" si="1">C5*100</f>
        <v>12</v>
      </c>
      <c r="D53" s="181" t="s">
        <v>410</v>
      </c>
      <c r="E53" s="182">
        <v>0</v>
      </c>
      <c r="F53" s="182">
        <v>100</v>
      </c>
      <c r="G53" s="183">
        <v>0.01</v>
      </c>
      <c r="H53" s="8"/>
    </row>
    <row r="54" spans="1:8" ht="20" customHeight="1" x14ac:dyDescent="0.2">
      <c r="A54" s="19"/>
      <c r="B54" s="176" t="s">
        <v>77</v>
      </c>
      <c r="C54" s="177">
        <f t="shared" si="1"/>
        <v>2</v>
      </c>
      <c r="D54" s="181" t="s">
        <v>411</v>
      </c>
      <c r="E54" s="182">
        <v>0</v>
      </c>
      <c r="F54" s="182">
        <v>100</v>
      </c>
      <c r="G54" s="183">
        <v>0.01</v>
      </c>
      <c r="H54" s="8"/>
    </row>
    <row r="55" spans="1:8" ht="20" customHeight="1" x14ac:dyDescent="0.2">
      <c r="A55" s="19"/>
      <c r="B55" s="176" t="s">
        <v>78</v>
      </c>
      <c r="C55" s="177">
        <f t="shared" si="1"/>
        <v>1</v>
      </c>
      <c r="D55" s="181" t="s">
        <v>412</v>
      </c>
      <c r="E55" s="182">
        <v>0</v>
      </c>
      <c r="F55" s="182">
        <v>100</v>
      </c>
      <c r="G55" s="183">
        <v>0.01</v>
      </c>
      <c r="H55" s="8"/>
    </row>
    <row r="56" spans="1:8" ht="20" customHeight="1" x14ac:dyDescent="0.2">
      <c r="A56" s="19"/>
      <c r="B56" s="176" t="s">
        <v>111</v>
      </c>
      <c r="C56" s="177">
        <f t="shared" si="1"/>
        <v>14.244999999999999</v>
      </c>
      <c r="D56" s="181" t="s">
        <v>438</v>
      </c>
      <c r="E56" s="182">
        <v>0</v>
      </c>
      <c r="F56" s="182">
        <v>100</v>
      </c>
      <c r="G56" s="183">
        <v>0.01</v>
      </c>
      <c r="H56" s="8"/>
    </row>
    <row r="57" spans="1:8" ht="20" customHeight="1" x14ac:dyDescent="0.2">
      <c r="A57" s="19"/>
      <c r="B57" s="184" t="s">
        <v>510</v>
      </c>
      <c r="C57" s="177">
        <f t="shared" si="1"/>
        <v>0</v>
      </c>
      <c r="D57" s="181" t="s">
        <v>413</v>
      </c>
      <c r="E57" s="182">
        <v>0</v>
      </c>
      <c r="F57" s="182">
        <v>100</v>
      </c>
      <c r="G57" s="183">
        <v>0.01</v>
      </c>
      <c r="H57" s="8"/>
    </row>
    <row r="58" spans="1:8" ht="20" customHeight="1" x14ac:dyDescent="0.2">
      <c r="A58" s="19"/>
      <c r="B58" s="184" t="s">
        <v>112</v>
      </c>
      <c r="C58" s="177">
        <f t="shared" si="1"/>
        <v>1.155</v>
      </c>
      <c r="D58" s="181" t="s">
        <v>414</v>
      </c>
      <c r="E58" s="182">
        <v>0</v>
      </c>
      <c r="F58" s="182">
        <v>100</v>
      </c>
      <c r="G58" s="183">
        <v>0.01</v>
      </c>
      <c r="H58" s="8"/>
    </row>
    <row r="59" spans="1:8" ht="20" customHeight="1" x14ac:dyDescent="0.2">
      <c r="A59" s="19"/>
      <c r="B59" s="176" t="s">
        <v>81</v>
      </c>
      <c r="C59" s="177">
        <f t="shared" si="1"/>
        <v>13.5</v>
      </c>
      <c r="D59" s="181" t="s">
        <v>415</v>
      </c>
      <c r="E59" s="182">
        <v>0</v>
      </c>
      <c r="F59" s="182">
        <v>100</v>
      </c>
      <c r="G59" s="183">
        <v>0.01</v>
      </c>
      <c r="H59" s="8"/>
    </row>
    <row r="60" spans="1:8" ht="20" customHeight="1" x14ac:dyDescent="0.2">
      <c r="A60" s="19"/>
      <c r="B60" s="176" t="s">
        <v>113</v>
      </c>
      <c r="C60" s="177">
        <f t="shared" si="1"/>
        <v>17.7</v>
      </c>
      <c r="D60" s="181" t="s">
        <v>416</v>
      </c>
      <c r="E60" s="182">
        <v>0</v>
      </c>
      <c r="F60" s="182">
        <v>100</v>
      </c>
      <c r="G60" s="183">
        <v>0.01</v>
      </c>
      <c r="H60" s="8"/>
    </row>
    <row r="61" spans="1:8" ht="28" customHeight="1" x14ac:dyDescent="0.2">
      <c r="A61" s="19"/>
      <c r="B61" s="176" t="s">
        <v>114</v>
      </c>
      <c r="C61" s="177">
        <f t="shared" si="1"/>
        <v>15.7</v>
      </c>
      <c r="D61" s="181" t="s">
        <v>417</v>
      </c>
      <c r="E61" s="182">
        <v>0</v>
      </c>
      <c r="F61" s="182">
        <v>100</v>
      </c>
      <c r="G61" s="183">
        <v>0.01</v>
      </c>
      <c r="H61" s="8"/>
    </row>
    <row r="62" spans="1:8" ht="20" customHeight="1" x14ac:dyDescent="0.2">
      <c r="A62" s="19"/>
      <c r="B62" s="176" t="s">
        <v>85</v>
      </c>
      <c r="C62" s="177">
        <f t="shared" si="1"/>
        <v>5</v>
      </c>
      <c r="D62" s="181" t="s">
        <v>469</v>
      </c>
      <c r="E62" s="182">
        <v>0</v>
      </c>
      <c r="F62" s="182">
        <v>100</v>
      </c>
      <c r="G62" s="183">
        <v>0.01</v>
      </c>
      <c r="H62" s="8"/>
    </row>
    <row r="63" spans="1:8" ht="20" customHeight="1" x14ac:dyDescent="0.2">
      <c r="A63" s="19"/>
      <c r="B63" s="176" t="s">
        <v>86</v>
      </c>
      <c r="C63" s="177">
        <f t="shared" ref="C63:C64" si="2">D15*100</f>
        <v>100</v>
      </c>
      <c r="D63" s="181" t="s">
        <v>109</v>
      </c>
      <c r="E63" s="182">
        <v>0</v>
      </c>
      <c r="F63" s="182">
        <v>100</v>
      </c>
      <c r="G63" s="183">
        <v>0.01</v>
      </c>
      <c r="H63" s="8"/>
    </row>
    <row r="64" spans="1:8" ht="20" customHeight="1" x14ac:dyDescent="0.2">
      <c r="A64" s="19"/>
      <c r="B64" s="176" t="s">
        <v>87</v>
      </c>
      <c r="C64" s="177">
        <f t="shared" si="2"/>
        <v>100</v>
      </c>
      <c r="D64" s="181" t="s">
        <v>110</v>
      </c>
      <c r="E64" s="182">
        <v>0</v>
      </c>
      <c r="F64" s="182">
        <v>100</v>
      </c>
      <c r="G64" s="183">
        <v>0.01</v>
      </c>
      <c r="H64" s="8"/>
    </row>
    <row r="65" spans="1:8" ht="20" customHeight="1" x14ac:dyDescent="0.2">
      <c r="A65" s="19"/>
      <c r="B65" s="176" t="s">
        <v>399</v>
      </c>
      <c r="C65" s="177">
        <f>C17*100</f>
        <v>30</v>
      </c>
      <c r="D65" s="185" t="s">
        <v>402</v>
      </c>
      <c r="E65" s="186">
        <v>0</v>
      </c>
      <c r="F65" s="186">
        <v>100</v>
      </c>
      <c r="G65" s="187">
        <v>0.01</v>
      </c>
      <c r="H65" s="8"/>
    </row>
    <row r="66" spans="1:8" ht="33.75" customHeight="1" x14ac:dyDescent="0.2">
      <c r="A66" s="19"/>
      <c r="H66" s="8"/>
    </row>
    <row r="67" spans="1:8" ht="33.75" customHeight="1" x14ac:dyDescent="0.2">
      <c r="A67" s="19"/>
      <c r="C67" s="160"/>
      <c r="H67" s="8"/>
    </row>
    <row r="68" spans="1:8" ht="33.75" customHeight="1" x14ac:dyDescent="0.2">
      <c r="A68" s="19"/>
      <c r="H68" s="8"/>
    </row>
    <row r="69" spans="1:8" ht="33.75" customHeight="1" x14ac:dyDescent="0.2">
      <c r="A69" s="19"/>
      <c r="H69" s="8"/>
    </row>
    <row r="70" spans="1:8" ht="33.75" customHeight="1" x14ac:dyDescent="0.2">
      <c r="A70" s="1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27" zoomScale="125" workbookViewId="0">
      <selection activeCell="C41" sqref="C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7"/>
      <c r="B1" s="102" t="s">
        <v>132</v>
      </c>
      <c r="C1" s="28"/>
      <c r="H1" s="8"/>
    </row>
    <row r="2" spans="1:8" ht="63.75" customHeight="1" x14ac:dyDescent="0.2">
      <c r="A2" s="227"/>
      <c r="B2" s="256" t="s">
        <v>521</v>
      </c>
      <c r="C2" s="257" t="s">
        <v>523</v>
      </c>
      <c r="D2" s="258"/>
      <c r="H2" s="8"/>
    </row>
    <row r="3" spans="1:8" ht="14.25" customHeight="1" x14ac:dyDescent="0.2">
      <c r="A3" s="259"/>
      <c r="B3" s="260" t="s">
        <v>0</v>
      </c>
      <c r="C3" s="261" t="s">
        <v>1</v>
      </c>
      <c r="D3" s="267" t="s">
        <v>524</v>
      </c>
      <c r="E3" s="10"/>
      <c r="F3" s="10"/>
      <c r="G3" s="10"/>
      <c r="H3" s="10" t="s">
        <v>6</v>
      </c>
    </row>
    <row r="4" spans="1:8" ht="29.25" customHeight="1" x14ac:dyDescent="0.2">
      <c r="A4" s="464" t="s">
        <v>525</v>
      </c>
      <c r="B4" s="214" t="s">
        <v>74</v>
      </c>
      <c r="C4" s="211">
        <v>5.3333333333333297E-3</v>
      </c>
      <c r="D4" s="215">
        <f t="shared" ref="D4:D14" si="0">C4/$C$19*(1-$C$17)</f>
        <v>4.7466666666666603E-3</v>
      </c>
      <c r="E4" s="29"/>
      <c r="F4" s="29"/>
      <c r="G4" s="30"/>
      <c r="H4" s="31" t="s">
        <v>75</v>
      </c>
    </row>
    <row r="5" spans="1:8" ht="36" customHeight="1" x14ac:dyDescent="0.2">
      <c r="A5" s="465"/>
      <c r="B5" s="216" t="s">
        <v>76</v>
      </c>
      <c r="C5" s="212">
        <v>4.7333333333333297E-2</v>
      </c>
      <c r="D5" s="215">
        <f t="shared" si="0"/>
        <v>4.2126666666666604E-2</v>
      </c>
      <c r="G5" s="16"/>
      <c r="H5" s="11"/>
    </row>
    <row r="6" spans="1:8" ht="33.75" customHeight="1" x14ac:dyDescent="0.2">
      <c r="A6" s="465"/>
      <c r="B6" s="216" t="s">
        <v>77</v>
      </c>
      <c r="C6" s="212">
        <v>0</v>
      </c>
      <c r="D6" s="215">
        <f t="shared" si="0"/>
        <v>0</v>
      </c>
      <c r="G6" s="16"/>
      <c r="H6" s="11"/>
    </row>
    <row r="7" spans="1:8" ht="33.75" customHeight="1" x14ac:dyDescent="0.2">
      <c r="A7" s="465"/>
      <c r="B7" s="216" t="s">
        <v>78</v>
      </c>
      <c r="C7" s="212">
        <v>0.01</v>
      </c>
      <c r="D7" s="215">
        <f t="shared" si="0"/>
        <v>8.8999999999999947E-3</v>
      </c>
      <c r="G7" s="16"/>
      <c r="H7" s="11"/>
    </row>
    <row r="8" spans="1:8" ht="33.75" customHeight="1" x14ac:dyDescent="0.2">
      <c r="A8" s="465"/>
      <c r="B8" s="217" t="s">
        <v>111</v>
      </c>
      <c r="C8" s="212">
        <v>0.15146666666666697</v>
      </c>
      <c r="D8" s="215">
        <f t="shared" si="0"/>
        <v>0.1348053333333335</v>
      </c>
      <c r="G8" s="16"/>
      <c r="H8" s="11"/>
    </row>
    <row r="9" spans="1:8" ht="33.75" customHeight="1" x14ac:dyDescent="0.2">
      <c r="A9" s="465"/>
      <c r="B9" s="217" t="s">
        <v>513</v>
      </c>
      <c r="C9" s="212">
        <v>0</v>
      </c>
      <c r="D9" s="215">
        <f t="shared" si="0"/>
        <v>0</v>
      </c>
      <c r="G9" s="16"/>
      <c r="H9" s="11"/>
    </row>
    <row r="10" spans="1:8" ht="18" customHeight="1" x14ac:dyDescent="0.2">
      <c r="A10" s="465"/>
      <c r="B10" s="217" t="s">
        <v>112</v>
      </c>
      <c r="C10" s="212">
        <v>1.9200000000000036E-2</v>
      </c>
      <c r="D10" s="215">
        <f t="shared" si="0"/>
        <v>1.708800000000002E-2</v>
      </c>
      <c r="G10" s="16"/>
      <c r="H10" s="11"/>
    </row>
    <row r="11" spans="1:8" ht="27" customHeight="1" x14ac:dyDescent="0.2">
      <c r="A11" s="465"/>
      <c r="B11" s="217" t="s">
        <v>81</v>
      </c>
      <c r="C11" s="212">
        <v>0.106</v>
      </c>
      <c r="D11" s="215">
        <f t="shared" si="0"/>
        <v>9.4339999999999938E-2</v>
      </c>
      <c r="G11" s="16"/>
      <c r="H11" s="11"/>
    </row>
    <row r="12" spans="1:8" ht="18" customHeight="1" x14ac:dyDescent="0.2">
      <c r="A12" s="465"/>
      <c r="B12" s="217" t="s">
        <v>113</v>
      </c>
      <c r="C12" s="212">
        <v>0.212666666666667</v>
      </c>
      <c r="D12" s="215">
        <f t="shared" si="0"/>
        <v>0.18927333333333352</v>
      </c>
      <c r="G12" s="16"/>
      <c r="H12" s="11"/>
    </row>
    <row r="13" spans="1:8" ht="41.25" customHeight="1" x14ac:dyDescent="0.2">
      <c r="A13" s="465"/>
      <c r="B13" s="217" t="s">
        <v>114</v>
      </c>
      <c r="C13" s="212">
        <v>0.42333333333333334</v>
      </c>
      <c r="D13" s="215">
        <f t="shared" si="0"/>
        <v>0.37676666666666642</v>
      </c>
      <c r="G13" s="16"/>
      <c r="H13" s="32"/>
    </row>
    <row r="14" spans="1:8" ht="16.5" customHeight="1" x14ac:dyDescent="0.2">
      <c r="A14" s="466"/>
      <c r="B14" s="218" t="s">
        <v>130</v>
      </c>
      <c r="C14" s="212">
        <v>2.4666666666666698E-2</v>
      </c>
      <c r="D14" s="215">
        <f t="shared" si="0"/>
        <v>2.1953333333333346E-2</v>
      </c>
      <c r="G14" s="16"/>
      <c r="H14" s="11"/>
    </row>
    <row r="15" spans="1:8" ht="16.5" customHeight="1" x14ac:dyDescent="0.2">
      <c r="A15" s="233"/>
      <c r="B15" s="221" t="s">
        <v>86</v>
      </c>
      <c r="C15" s="213">
        <v>0.93333333333333302</v>
      </c>
      <c r="D15" s="223">
        <f>C15</f>
        <v>0.93333333333333302</v>
      </c>
      <c r="G15" s="16"/>
      <c r="H15" s="11"/>
    </row>
    <row r="16" spans="1:8" ht="16.5" customHeight="1" x14ac:dyDescent="0.2">
      <c r="A16" s="233"/>
      <c r="B16" s="221" t="s">
        <v>87</v>
      </c>
      <c r="C16" s="220">
        <v>0.47</v>
      </c>
      <c r="D16" s="224">
        <f>C16</f>
        <v>0.47</v>
      </c>
      <c r="E16" s="6"/>
      <c r="F16" s="6"/>
      <c r="G16" s="17"/>
      <c r="H16" s="18"/>
    </row>
    <row r="17" spans="1:8" ht="27" customHeight="1" x14ac:dyDescent="0.2">
      <c r="A17" s="233"/>
      <c r="B17" s="222" t="s">
        <v>399</v>
      </c>
      <c r="C17" s="123">
        <v>0.11</v>
      </c>
      <c r="D17" s="225">
        <f>C17</f>
        <v>0.11</v>
      </c>
      <c r="H17" s="8"/>
    </row>
    <row r="18" spans="1:8" ht="16.5" customHeight="1" x14ac:dyDescent="0.2">
      <c r="A18" s="117"/>
      <c r="B18" s="127"/>
      <c r="C18" s="128" t="s">
        <v>532</v>
      </c>
      <c r="D18" s="8"/>
    </row>
    <row r="19" spans="1:8" ht="16.5" customHeight="1" x14ac:dyDescent="0.2">
      <c r="A19" s="19"/>
      <c r="B19" s="11" t="s">
        <v>401</v>
      </c>
      <c r="C19" s="113">
        <f>SUM(C4:C14)</f>
        <v>1.0000000000000007</v>
      </c>
      <c r="D19" s="159">
        <f>SUM(D4:D14)+D17</f>
        <v>1</v>
      </c>
    </row>
    <row r="20" spans="1:8" ht="16.5" customHeight="1" x14ac:dyDescent="0.2">
      <c r="A20" s="19"/>
      <c r="B20" s="11"/>
      <c r="C20" s="12"/>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535</v>
      </c>
      <c r="C23" s="12"/>
      <c r="D23" s="8"/>
    </row>
    <row r="24" spans="1:8" ht="16.5" customHeight="1" x14ac:dyDescent="0.2">
      <c r="A24" s="19"/>
      <c r="B24" s="391" t="s">
        <v>116</v>
      </c>
      <c r="C24" s="392" t="s">
        <v>37</v>
      </c>
      <c r="D24" s="393"/>
    </row>
    <row r="25" spans="1:8" ht="16.5" customHeight="1" x14ac:dyDescent="0.2">
      <c r="A25" s="19"/>
      <c r="B25" s="332" t="s">
        <v>33</v>
      </c>
      <c r="C25" s="387">
        <f>$D$8*$C$43</f>
        <v>14044772.569821486</v>
      </c>
      <c r="D25" s="383" t="s">
        <v>133</v>
      </c>
    </row>
    <row r="26" spans="1:8" ht="14.25" customHeight="1" x14ac:dyDescent="0.2">
      <c r="B26" s="332" t="s">
        <v>35</v>
      </c>
      <c r="C26" s="385">
        <v>0</v>
      </c>
      <c r="D26" s="334" t="s">
        <v>134</v>
      </c>
    </row>
    <row r="27" spans="1:8" ht="16.5" customHeight="1" x14ac:dyDescent="0.2">
      <c r="A27" s="19"/>
      <c r="B27" s="332" t="s">
        <v>37</v>
      </c>
      <c r="C27" s="387">
        <f>SUM($D$11:$D$12)*$C$43</f>
        <v>29548421.163620882</v>
      </c>
      <c r="D27" s="383" t="s">
        <v>135</v>
      </c>
    </row>
    <row r="28" spans="1:8" ht="16.5" customHeight="1" x14ac:dyDescent="0.2">
      <c r="A28" s="19"/>
      <c r="B28" s="332" t="s">
        <v>39</v>
      </c>
      <c r="C28" s="387">
        <f>$D$10*$C$43</f>
        <v>1780323.2834984981</v>
      </c>
      <c r="D28" s="383" t="s">
        <v>396</v>
      </c>
    </row>
    <row r="29" spans="1:8" ht="16.5" customHeight="1" x14ac:dyDescent="0.2">
      <c r="A29" s="19"/>
      <c r="B29" s="332" t="s">
        <v>41</v>
      </c>
      <c r="C29" s="387">
        <f>D4*$C$43*C16</f>
        <v>232431.09534563666</v>
      </c>
      <c r="D29" s="384" t="s">
        <v>92</v>
      </c>
    </row>
    <row r="30" spans="1:8" ht="16.5" customHeight="1" x14ac:dyDescent="0.2">
      <c r="A30" s="19"/>
      <c r="B30" s="332" t="s">
        <v>43</v>
      </c>
      <c r="C30" s="387">
        <f>D5*$C$43*C16</f>
        <v>2062825.971192525</v>
      </c>
      <c r="D30" s="384" t="s">
        <v>93</v>
      </c>
    </row>
    <row r="31" spans="1:8" ht="16.5" customHeight="1" x14ac:dyDescent="0.2">
      <c r="A31" s="19"/>
      <c r="B31" s="332" t="s">
        <v>44</v>
      </c>
      <c r="C31" s="387">
        <f>D6*$C$43*C16</f>
        <v>0</v>
      </c>
      <c r="D31" s="384" t="s">
        <v>94</v>
      </c>
    </row>
    <row r="32" spans="1:8" ht="16.5" customHeight="1" x14ac:dyDescent="0.2">
      <c r="A32" s="19"/>
      <c r="B32" s="332" t="s">
        <v>45</v>
      </c>
      <c r="C32" s="387">
        <f>D7*$C$43*C16</f>
        <v>435808.30377306906</v>
      </c>
      <c r="D32" s="384" t="s">
        <v>95</v>
      </c>
    </row>
    <row r="33" spans="1:8" ht="16.5" customHeight="1" x14ac:dyDescent="0.2">
      <c r="A33" s="19"/>
      <c r="B33" s="332" t="s">
        <v>46</v>
      </c>
      <c r="C33" s="387">
        <f>$C$43*D17*C15</f>
        <v>10696386.768834593</v>
      </c>
      <c r="D33" s="384" t="s">
        <v>96</v>
      </c>
    </row>
    <row r="34" spans="1:8" ht="16.5" customHeight="1" x14ac:dyDescent="0.2">
      <c r="A34" s="19"/>
      <c r="B34" s="332" t="s">
        <v>48</v>
      </c>
      <c r="C34" s="387">
        <v>0</v>
      </c>
      <c r="D34" s="384" t="s">
        <v>136</v>
      </c>
    </row>
    <row r="35" spans="1:8" ht="16.5" customHeight="1" x14ac:dyDescent="0.2">
      <c r="A35" s="19"/>
      <c r="B35" s="332" t="s">
        <v>50</v>
      </c>
      <c r="C35" s="385">
        <v>0</v>
      </c>
      <c r="D35" s="384" t="s">
        <v>136</v>
      </c>
    </row>
    <row r="36" spans="1:8" ht="16.5" customHeight="1" x14ac:dyDescent="0.2">
      <c r="A36" s="19"/>
      <c r="B36" s="332" t="s">
        <v>51</v>
      </c>
      <c r="C36" s="385">
        <v>0</v>
      </c>
      <c r="D36" s="384" t="s">
        <v>137</v>
      </c>
    </row>
    <row r="37" spans="1:8" ht="16.5" customHeight="1" x14ac:dyDescent="0.2">
      <c r="A37" s="19"/>
      <c r="B37" s="332" t="s">
        <v>53</v>
      </c>
      <c r="C37" s="385">
        <v>0</v>
      </c>
      <c r="D37" s="384" t="s">
        <v>138</v>
      </c>
    </row>
    <row r="38" spans="1:8" ht="16.5" customHeight="1" x14ac:dyDescent="0.2">
      <c r="A38" s="19"/>
      <c r="B38" s="332" t="s">
        <v>55</v>
      </c>
      <c r="C38" s="385">
        <v>0</v>
      </c>
      <c r="D38" s="384" t="s">
        <v>139</v>
      </c>
    </row>
    <row r="39" spans="1:8" ht="16.5" customHeight="1" x14ac:dyDescent="0.2">
      <c r="A39" s="19"/>
      <c r="B39" s="332" t="s">
        <v>57</v>
      </c>
      <c r="C39" s="385">
        <v>0</v>
      </c>
      <c r="D39" s="384" t="s">
        <v>140</v>
      </c>
    </row>
    <row r="40" spans="1:8" ht="16.5" customHeight="1" x14ac:dyDescent="0.2">
      <c r="A40" s="19"/>
      <c r="B40" s="332" t="s">
        <v>60</v>
      </c>
      <c r="C40" s="387">
        <f>$D$14*$C$43</f>
        <v>2287220.8850501524</v>
      </c>
      <c r="D40" s="384" t="s">
        <v>141</v>
      </c>
    </row>
    <row r="41" spans="1:8" ht="16.5" customHeight="1" x14ac:dyDescent="0.2">
      <c r="A41" s="19"/>
      <c r="B41" s="386" t="s">
        <v>62</v>
      </c>
      <c r="C41" s="387">
        <f>$D$13*$C$43 + C43*SUM(D4:D7)*(1-C16) + C43*C17*(1-C15)</f>
        <v>43097395.369589746</v>
      </c>
      <c r="D41" s="384" t="s">
        <v>142</v>
      </c>
    </row>
    <row r="42" spans="1:8" ht="16.5" customHeight="1" x14ac:dyDescent="0.2">
      <c r="A42" s="19"/>
      <c r="B42" s="332" t="s">
        <v>64</v>
      </c>
      <c r="C42" s="387">
        <f>SUM($C$25:$C$41)</f>
        <v>104185585.41072658</v>
      </c>
      <c r="D42" s="384" t="s">
        <v>65</v>
      </c>
    </row>
    <row r="43" spans="1:8" ht="33" customHeight="1" x14ac:dyDescent="0.2">
      <c r="A43" s="19"/>
      <c r="B43" s="332" t="s">
        <v>66</v>
      </c>
      <c r="C43" s="385">
        <f>SUM(Tourists!C27, Tourism!C27, Lodges!C28,Restaurants!C27,SUM(Households!C30:D30) + NatParkPA!C29  + ComRevSh!C27)/(1-SUM(D8:D12))</f>
        <v>104185585.41072659</v>
      </c>
      <c r="D43" s="384" t="s">
        <v>143</v>
      </c>
      <c r="E43" s="128" t="s">
        <v>397</v>
      </c>
    </row>
    <row r="44" spans="1:8" ht="16.5" customHeight="1" x14ac:dyDescent="0.2">
      <c r="A44" s="19"/>
      <c r="B44" s="332" t="s">
        <v>68</v>
      </c>
      <c r="C44" s="385">
        <f>C43-C42</f>
        <v>0</v>
      </c>
      <c r="D44" s="384" t="s">
        <v>106</v>
      </c>
    </row>
    <row r="45" spans="1:8" ht="16.5" customHeight="1" x14ac:dyDescent="0.2">
      <c r="A45" s="19"/>
      <c r="B45" s="388" t="s">
        <v>70</v>
      </c>
      <c r="C45" s="389">
        <f>C44/C43</f>
        <v>0</v>
      </c>
      <c r="D45" s="390" t="s">
        <v>107</v>
      </c>
    </row>
    <row r="46" spans="1:8" ht="27" customHeight="1" x14ac:dyDescent="0.2">
      <c r="A46" s="19"/>
      <c r="B46" s="20" t="s">
        <v>108</v>
      </c>
      <c r="C46" s="21">
        <f>C33/C43</f>
        <v>0.10266666666666663</v>
      </c>
      <c r="H46" s="8"/>
    </row>
    <row r="47" spans="1:8" ht="27" customHeight="1" x14ac:dyDescent="0.2">
      <c r="A47" s="19"/>
      <c r="C47" s="28"/>
      <c r="H47" s="8"/>
    </row>
    <row r="48" spans="1:8" ht="27" customHeight="1" x14ac:dyDescent="0.2">
      <c r="A48" s="19"/>
      <c r="C48" s="28"/>
      <c r="H48" s="8"/>
    </row>
    <row r="49" spans="1:8" ht="27" customHeight="1" x14ac:dyDescent="0.2">
      <c r="A49" s="19"/>
      <c r="C49" s="28"/>
      <c r="H49" s="8"/>
    </row>
    <row r="50" spans="1:8" ht="27" customHeight="1" x14ac:dyDescent="0.2">
      <c r="A50" s="19"/>
      <c r="B50" s="23" t="s">
        <v>520</v>
      </c>
      <c r="H50" s="8"/>
    </row>
    <row r="51" spans="1:8" ht="27" customHeight="1" x14ac:dyDescent="0.2">
      <c r="A51" s="19"/>
      <c r="B51" s="33" t="s">
        <v>0</v>
      </c>
      <c r="C51" s="34" t="s">
        <v>1</v>
      </c>
      <c r="D51" s="35" t="s">
        <v>2</v>
      </c>
      <c r="E51" s="35" t="s">
        <v>3</v>
      </c>
      <c r="F51" s="35" t="s">
        <v>4</v>
      </c>
      <c r="G51" s="35" t="s">
        <v>5</v>
      </c>
      <c r="H51" s="8"/>
    </row>
    <row r="52" spans="1:8" ht="27" customHeight="1" x14ac:dyDescent="0.2">
      <c r="A52" s="19"/>
      <c r="B52" s="199" t="s">
        <v>74</v>
      </c>
      <c r="C52" s="200">
        <f>C4*100</f>
        <v>0.53333333333333299</v>
      </c>
      <c r="D52" s="201" t="s">
        <v>428</v>
      </c>
      <c r="E52" s="201">
        <v>0</v>
      </c>
      <c r="F52" s="201">
        <v>100</v>
      </c>
      <c r="G52" s="202">
        <v>0.01</v>
      </c>
      <c r="H52" s="8"/>
    </row>
    <row r="53" spans="1:8" ht="27" customHeight="1" x14ac:dyDescent="0.2">
      <c r="A53" s="19"/>
      <c r="B53" s="199" t="s">
        <v>76</v>
      </c>
      <c r="C53" s="200">
        <f t="shared" ref="C53:C62" si="1">C5*100</f>
        <v>4.7333333333333298</v>
      </c>
      <c r="D53" s="182" t="s">
        <v>429</v>
      </c>
      <c r="E53" s="182">
        <v>0</v>
      </c>
      <c r="F53" s="182">
        <v>100</v>
      </c>
      <c r="G53" s="203">
        <v>0.01</v>
      </c>
      <c r="H53" s="8"/>
    </row>
    <row r="54" spans="1:8" ht="27" customHeight="1" x14ac:dyDescent="0.2">
      <c r="A54" s="19"/>
      <c r="B54" s="199" t="s">
        <v>77</v>
      </c>
      <c r="C54" s="200">
        <f t="shared" si="1"/>
        <v>0</v>
      </c>
      <c r="D54" s="201" t="s">
        <v>430</v>
      </c>
      <c r="E54" s="182">
        <v>0</v>
      </c>
      <c r="F54" s="182">
        <v>100</v>
      </c>
      <c r="G54" s="203">
        <v>0.01</v>
      </c>
      <c r="H54" s="8"/>
    </row>
    <row r="55" spans="1:8" ht="27" customHeight="1" x14ac:dyDescent="0.2">
      <c r="A55" s="19"/>
      <c r="B55" s="199" t="s">
        <v>78</v>
      </c>
      <c r="C55" s="200">
        <f t="shared" si="1"/>
        <v>1</v>
      </c>
      <c r="D55" s="182" t="s">
        <v>431</v>
      </c>
      <c r="E55" s="182">
        <v>0</v>
      </c>
      <c r="F55" s="182">
        <v>100</v>
      </c>
      <c r="G55" s="203">
        <v>0.01</v>
      </c>
      <c r="H55" s="8"/>
    </row>
    <row r="56" spans="1:8" ht="27" customHeight="1" x14ac:dyDescent="0.2">
      <c r="A56" s="19"/>
      <c r="B56" s="199" t="s">
        <v>111</v>
      </c>
      <c r="C56" s="200">
        <f t="shared" si="1"/>
        <v>15.146666666666697</v>
      </c>
      <c r="D56" s="182" t="s">
        <v>432</v>
      </c>
      <c r="E56" s="182">
        <v>0</v>
      </c>
      <c r="F56" s="182">
        <v>100</v>
      </c>
      <c r="G56" s="204">
        <v>0.01</v>
      </c>
      <c r="H56" s="8"/>
    </row>
    <row r="57" spans="1:8" ht="27" customHeight="1" x14ac:dyDescent="0.2">
      <c r="A57" s="19"/>
      <c r="B57" s="205" t="s">
        <v>510</v>
      </c>
      <c r="C57" s="200">
        <f t="shared" si="1"/>
        <v>0</v>
      </c>
      <c r="D57" s="182" t="s">
        <v>433</v>
      </c>
      <c r="E57" s="182">
        <v>0</v>
      </c>
      <c r="F57" s="182">
        <v>100</v>
      </c>
      <c r="G57" s="182">
        <v>0.01</v>
      </c>
      <c r="H57" s="8"/>
    </row>
    <row r="58" spans="1:8" ht="27" customHeight="1" x14ac:dyDescent="0.2">
      <c r="A58" s="19"/>
      <c r="B58" s="199" t="s">
        <v>112</v>
      </c>
      <c r="C58" s="200">
        <f t="shared" si="1"/>
        <v>1.9200000000000037</v>
      </c>
      <c r="D58" s="182" t="s">
        <v>434</v>
      </c>
      <c r="E58" s="182">
        <v>0</v>
      </c>
      <c r="F58" s="182">
        <v>100</v>
      </c>
      <c r="G58" s="204">
        <v>0.01</v>
      </c>
      <c r="H58" s="8"/>
    </row>
    <row r="59" spans="1:8" ht="27" customHeight="1" x14ac:dyDescent="0.2">
      <c r="A59" s="19"/>
      <c r="B59" s="199" t="s">
        <v>81</v>
      </c>
      <c r="C59" s="200">
        <f t="shared" si="1"/>
        <v>10.6</v>
      </c>
      <c r="D59" s="182" t="s">
        <v>435</v>
      </c>
      <c r="E59" s="182">
        <v>0</v>
      </c>
      <c r="F59" s="182">
        <v>100</v>
      </c>
      <c r="G59" s="204">
        <v>0.01</v>
      </c>
      <c r="H59" s="8"/>
    </row>
    <row r="60" spans="1:8" ht="27" customHeight="1" x14ac:dyDescent="0.2">
      <c r="A60" s="19"/>
      <c r="B60" s="199" t="s">
        <v>113</v>
      </c>
      <c r="C60" s="200">
        <f t="shared" si="1"/>
        <v>21.266666666666701</v>
      </c>
      <c r="D60" s="182" t="s">
        <v>436</v>
      </c>
      <c r="E60" s="182">
        <v>0</v>
      </c>
      <c r="F60" s="182">
        <v>100</v>
      </c>
      <c r="G60" s="204">
        <v>0.01</v>
      </c>
      <c r="H60" s="8"/>
    </row>
    <row r="61" spans="1:8" ht="27" customHeight="1" x14ac:dyDescent="0.2">
      <c r="A61" s="19"/>
      <c r="B61" s="199" t="s">
        <v>114</v>
      </c>
      <c r="C61" s="200">
        <f t="shared" si="1"/>
        <v>42.333333333333336</v>
      </c>
      <c r="D61" s="182" t="s">
        <v>437</v>
      </c>
      <c r="E61" s="182">
        <v>0</v>
      </c>
      <c r="F61" s="182">
        <v>100</v>
      </c>
      <c r="G61" s="204">
        <v>0.01</v>
      </c>
      <c r="H61" s="8"/>
    </row>
    <row r="62" spans="1:8" ht="27" customHeight="1" x14ac:dyDescent="0.2">
      <c r="A62" s="19"/>
      <c r="B62" s="206" t="s">
        <v>130</v>
      </c>
      <c r="C62" s="200">
        <f t="shared" si="1"/>
        <v>2.4666666666666699</v>
      </c>
      <c r="D62" s="182" t="s">
        <v>471</v>
      </c>
      <c r="E62" s="182">
        <v>0</v>
      </c>
      <c r="F62" s="182">
        <v>100</v>
      </c>
      <c r="G62" s="204">
        <v>0.01</v>
      </c>
      <c r="H62" s="8"/>
    </row>
    <row r="63" spans="1:8" ht="27" customHeight="1" x14ac:dyDescent="0.2">
      <c r="A63" s="19"/>
      <c r="B63" s="206" t="s">
        <v>86</v>
      </c>
      <c r="C63" s="200">
        <f t="shared" ref="C63:C64" si="2">D15*100</f>
        <v>93.3333333333333</v>
      </c>
      <c r="D63" s="182" t="s">
        <v>518</v>
      </c>
      <c r="E63" s="182">
        <v>0</v>
      </c>
      <c r="F63" s="182">
        <v>100</v>
      </c>
      <c r="G63" s="204">
        <v>0.01</v>
      </c>
      <c r="H63" s="8"/>
    </row>
    <row r="64" spans="1:8" ht="27" customHeight="1" x14ac:dyDescent="0.2">
      <c r="A64" s="19"/>
      <c r="B64" s="206" t="s">
        <v>87</v>
      </c>
      <c r="C64" s="200">
        <f t="shared" si="2"/>
        <v>47</v>
      </c>
      <c r="D64" s="190" t="s">
        <v>131</v>
      </c>
      <c r="E64" s="190">
        <v>0</v>
      </c>
      <c r="F64" s="190">
        <v>100</v>
      </c>
      <c r="G64" s="207">
        <v>0.01</v>
      </c>
      <c r="H64" s="8"/>
    </row>
    <row r="65" spans="1:8" ht="27" customHeight="1" x14ac:dyDescent="0.2">
      <c r="A65" s="19"/>
      <c r="B65" s="208" t="s">
        <v>399</v>
      </c>
      <c r="C65" s="209">
        <f>C17*100</f>
        <v>11</v>
      </c>
      <c r="D65" s="182" t="s">
        <v>406</v>
      </c>
      <c r="E65" s="190">
        <v>0</v>
      </c>
      <c r="F65" s="190">
        <v>100</v>
      </c>
      <c r="G65" s="207">
        <v>0.01</v>
      </c>
      <c r="H65" s="8"/>
    </row>
    <row r="66" spans="1:8" ht="27" customHeight="1" x14ac:dyDescent="0.2">
      <c r="A66" s="19"/>
      <c r="C66" s="28"/>
      <c r="H66" s="8"/>
    </row>
    <row r="67" spans="1:8" ht="27" customHeight="1" x14ac:dyDescent="0.2">
      <c r="A67" s="19"/>
      <c r="C67" s="28"/>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18" zoomScale="108" workbookViewId="0">
      <selection activeCell="C41" sqref="C41"/>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144</v>
      </c>
      <c r="C1" s="28"/>
      <c r="H1" s="8"/>
    </row>
    <row r="2" spans="1:8" ht="63" customHeight="1" x14ac:dyDescent="0.2">
      <c r="A2" s="249"/>
      <c r="B2" s="250" t="s">
        <v>145</v>
      </c>
      <c r="C2" s="251" t="s">
        <v>523</v>
      </c>
      <c r="D2" s="252"/>
      <c r="H2" s="8"/>
    </row>
    <row r="3" spans="1:8" ht="18.75" customHeight="1" x14ac:dyDescent="0.2">
      <c r="A3" s="253"/>
      <c r="B3" s="254" t="s">
        <v>0</v>
      </c>
      <c r="C3" s="255" t="s">
        <v>1</v>
      </c>
      <c r="D3" s="267" t="s">
        <v>524</v>
      </c>
      <c r="E3" s="10"/>
      <c r="F3" s="10"/>
      <c r="G3" s="10"/>
      <c r="H3" s="10" t="s">
        <v>6</v>
      </c>
    </row>
    <row r="4" spans="1:8" ht="40.5" customHeight="1" x14ac:dyDescent="0.2">
      <c r="A4" s="464" t="s">
        <v>525</v>
      </c>
      <c r="B4" s="172" t="s">
        <v>74</v>
      </c>
      <c r="C4" s="243">
        <v>0</v>
      </c>
      <c r="D4" s="215">
        <f t="shared" ref="D4:D14" si="0">IF($C$19&lt;&gt;0,C4/$C$19*(1-$C$17),0)</f>
        <v>0</v>
      </c>
      <c r="H4" s="11" t="s">
        <v>75</v>
      </c>
    </row>
    <row r="5" spans="1:8" ht="32.25" customHeight="1" x14ac:dyDescent="0.2">
      <c r="A5" s="465"/>
      <c r="B5" s="172" t="s">
        <v>76</v>
      </c>
      <c r="C5" s="242">
        <v>0</v>
      </c>
      <c r="D5" s="215">
        <f t="shared" si="0"/>
        <v>0</v>
      </c>
      <c r="H5" s="11"/>
    </row>
    <row r="6" spans="1:8" ht="33" customHeight="1" x14ac:dyDescent="0.2">
      <c r="A6" s="465"/>
      <c r="B6" s="172" t="s">
        <v>77</v>
      </c>
      <c r="C6" s="242">
        <v>0</v>
      </c>
      <c r="D6" s="215">
        <f t="shared" si="0"/>
        <v>0</v>
      </c>
      <c r="H6" s="11"/>
    </row>
    <row r="7" spans="1:8" ht="33" customHeight="1" x14ac:dyDescent="0.2">
      <c r="A7" s="465"/>
      <c r="B7" s="172" t="s">
        <v>78</v>
      </c>
      <c r="C7" s="242">
        <v>0</v>
      </c>
      <c r="D7" s="215">
        <f t="shared" si="0"/>
        <v>0</v>
      </c>
      <c r="H7" s="11"/>
    </row>
    <row r="8" spans="1:8" ht="33" customHeight="1" x14ac:dyDescent="0.2">
      <c r="A8" s="465"/>
      <c r="B8" s="173" t="s">
        <v>146</v>
      </c>
      <c r="C8" s="242">
        <v>0</v>
      </c>
      <c r="D8" s="215">
        <f t="shared" si="0"/>
        <v>0</v>
      </c>
      <c r="H8" s="11"/>
    </row>
    <row r="9" spans="1:8" ht="33" customHeight="1" x14ac:dyDescent="0.2">
      <c r="A9" s="465"/>
      <c r="B9" s="173" t="s">
        <v>514</v>
      </c>
      <c r="C9" s="242">
        <v>0</v>
      </c>
      <c r="D9" s="215">
        <f t="shared" si="0"/>
        <v>0</v>
      </c>
      <c r="H9" s="11"/>
    </row>
    <row r="10" spans="1:8" ht="53.25" customHeight="1" x14ac:dyDescent="0.2">
      <c r="A10" s="465"/>
      <c r="B10" s="173" t="s">
        <v>147</v>
      </c>
      <c r="C10" s="242">
        <v>0</v>
      </c>
      <c r="D10" s="215">
        <f t="shared" si="0"/>
        <v>0</v>
      </c>
      <c r="H10" s="11"/>
    </row>
    <row r="11" spans="1:8" ht="30" customHeight="1" x14ac:dyDescent="0.2">
      <c r="A11" s="465"/>
      <c r="B11" s="173" t="s">
        <v>148</v>
      </c>
      <c r="C11" s="242">
        <v>0</v>
      </c>
      <c r="D11" s="215">
        <f t="shared" si="0"/>
        <v>0</v>
      </c>
      <c r="H11" s="467"/>
    </row>
    <row r="12" spans="1:8" ht="30" customHeight="1" x14ac:dyDescent="0.2">
      <c r="A12" s="465"/>
      <c r="B12" s="173" t="s">
        <v>149</v>
      </c>
      <c r="C12" s="242">
        <v>0</v>
      </c>
      <c r="D12" s="215">
        <f t="shared" si="0"/>
        <v>0</v>
      </c>
      <c r="H12" s="468"/>
    </row>
    <row r="13" spans="1:8" ht="56.25" customHeight="1" x14ac:dyDescent="0.2">
      <c r="A13" s="465"/>
      <c r="B13" s="173" t="s">
        <v>150</v>
      </c>
      <c r="C13" s="242">
        <v>1</v>
      </c>
      <c r="D13" s="215">
        <f t="shared" si="0"/>
        <v>1</v>
      </c>
      <c r="E13" s="128" t="s">
        <v>507</v>
      </c>
      <c r="H13" s="157"/>
    </row>
    <row r="14" spans="1:8" ht="18.75" customHeight="1" x14ac:dyDescent="0.2">
      <c r="A14" s="466"/>
      <c r="B14" s="174" t="s">
        <v>151</v>
      </c>
      <c r="C14" s="242">
        <v>0</v>
      </c>
      <c r="D14" s="215">
        <f t="shared" si="0"/>
        <v>0</v>
      </c>
      <c r="F14" s="115"/>
      <c r="G14" s="115"/>
      <c r="H14" s="11"/>
    </row>
    <row r="15" spans="1:8" ht="18.75" customHeight="1" x14ac:dyDescent="0.2">
      <c r="A15" s="235"/>
      <c r="B15" s="166" t="s">
        <v>152</v>
      </c>
      <c r="C15" s="114">
        <v>1</v>
      </c>
      <c r="D15" s="244">
        <v>1</v>
      </c>
      <c r="E15" s="128" t="s">
        <v>508</v>
      </c>
      <c r="H15" s="11"/>
    </row>
    <row r="16" spans="1:8" ht="18.75" customHeight="1" x14ac:dyDescent="0.2">
      <c r="A16" s="235"/>
      <c r="B16" s="166" t="s">
        <v>153</v>
      </c>
      <c r="C16" s="114">
        <v>1</v>
      </c>
      <c r="D16" s="244">
        <v>1</v>
      </c>
      <c r="E16" s="128" t="s">
        <v>508</v>
      </c>
      <c r="H16" s="11"/>
    </row>
    <row r="17" spans="1:8" ht="27" customHeight="1" x14ac:dyDescent="0.2">
      <c r="A17" s="238"/>
      <c r="B17" s="239" t="s">
        <v>399</v>
      </c>
      <c r="C17" s="219">
        <v>0</v>
      </c>
      <c r="D17" s="225">
        <f>C17</f>
        <v>0</v>
      </c>
      <c r="H17" s="8"/>
    </row>
    <row r="18" spans="1:8" ht="16.5" customHeight="1" x14ac:dyDescent="0.2">
      <c r="A18" s="19"/>
      <c r="B18" s="11"/>
      <c r="C18" s="128" t="s">
        <v>532</v>
      </c>
      <c r="D18" s="8"/>
    </row>
    <row r="19" spans="1:8" ht="16.5" customHeight="1" x14ac:dyDescent="0.2">
      <c r="A19" s="19"/>
      <c r="B19" s="11" t="s">
        <v>401</v>
      </c>
      <c r="C19" s="113">
        <f>SUM(C4:C14)</f>
        <v>1</v>
      </c>
      <c r="D19" s="8"/>
    </row>
    <row r="20" spans="1:8" ht="16.5" customHeight="1" x14ac:dyDescent="0.2">
      <c r="A20" s="19"/>
      <c r="B20" s="11"/>
      <c r="C20" s="12"/>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535</v>
      </c>
      <c r="C23" s="12"/>
      <c r="D23" s="8"/>
    </row>
    <row r="24" spans="1:8" ht="16.5" customHeight="1" x14ac:dyDescent="0.2">
      <c r="A24" s="19"/>
      <c r="B24" s="380" t="s">
        <v>116</v>
      </c>
      <c r="C24" s="381" t="s">
        <v>154</v>
      </c>
      <c r="D24" s="382"/>
    </row>
    <row r="25" spans="1:8" ht="16.5" customHeight="1" x14ac:dyDescent="0.2">
      <c r="A25" s="19"/>
      <c r="B25" s="332" t="s">
        <v>33</v>
      </c>
      <c r="C25" s="367">
        <f>$C$43*$D$8</f>
        <v>0</v>
      </c>
      <c r="D25" s="383" t="s">
        <v>155</v>
      </c>
    </row>
    <row r="26" spans="1:8" ht="14.25" customHeight="1" x14ac:dyDescent="0.2">
      <c r="B26" s="332" t="s">
        <v>35</v>
      </c>
      <c r="C26" s="365">
        <v>0</v>
      </c>
      <c r="D26" s="334" t="s">
        <v>156</v>
      </c>
    </row>
    <row r="27" spans="1:8" ht="16.5" customHeight="1" x14ac:dyDescent="0.2">
      <c r="A27" s="19"/>
      <c r="B27" s="332" t="s">
        <v>37</v>
      </c>
      <c r="C27" s="367">
        <f>$C$43*$D$12</f>
        <v>0</v>
      </c>
      <c r="D27" s="383" t="s">
        <v>157</v>
      </c>
    </row>
    <row r="28" spans="1:8" ht="16.5" customHeight="1" x14ac:dyDescent="0.2">
      <c r="A28" s="19"/>
      <c r="B28" s="332" t="s">
        <v>39</v>
      </c>
      <c r="C28" s="367">
        <f>$C$43*D10</f>
        <v>0</v>
      </c>
      <c r="D28" s="383" t="s">
        <v>158</v>
      </c>
    </row>
    <row r="29" spans="1:8" ht="16.5" customHeight="1" x14ac:dyDescent="0.2">
      <c r="A29" s="19"/>
      <c r="B29" s="332" t="s">
        <v>41</v>
      </c>
      <c r="C29" s="367">
        <f>D4*$C$43*C16</f>
        <v>0</v>
      </c>
      <c r="D29" s="384" t="s">
        <v>92</v>
      </c>
    </row>
    <row r="30" spans="1:8" ht="16.5" customHeight="1" x14ac:dyDescent="0.2">
      <c r="A30" s="19"/>
      <c r="B30" s="332" t="s">
        <v>43</v>
      </c>
      <c r="C30" s="367">
        <f>D5*$C$43*C16</f>
        <v>0</v>
      </c>
      <c r="D30" s="384" t="s">
        <v>93</v>
      </c>
    </row>
    <row r="31" spans="1:8" ht="16.5" customHeight="1" x14ac:dyDescent="0.2">
      <c r="A31" s="19"/>
      <c r="B31" s="332" t="s">
        <v>44</v>
      </c>
      <c r="C31" s="367">
        <f>D6*$C$43*C16</f>
        <v>0</v>
      </c>
      <c r="D31" s="384" t="s">
        <v>94</v>
      </c>
    </row>
    <row r="32" spans="1:8" ht="16.5" customHeight="1" x14ac:dyDescent="0.2">
      <c r="A32" s="19"/>
      <c r="B32" s="332" t="s">
        <v>45</v>
      </c>
      <c r="C32" s="367">
        <f>D7*$C$43*C16</f>
        <v>0</v>
      </c>
      <c r="D32" s="384" t="s">
        <v>95</v>
      </c>
    </row>
    <row r="33" spans="1:8" ht="16.5" customHeight="1" x14ac:dyDescent="0.2">
      <c r="A33" s="19"/>
      <c r="B33" s="332" t="s">
        <v>46</v>
      </c>
      <c r="C33" s="367">
        <f>D17*C$43*C15</f>
        <v>0</v>
      </c>
      <c r="D33" s="384" t="s">
        <v>96</v>
      </c>
      <c r="G33" s="111">
        <f>SUM(Lodges!C29,Restaurants!C28,SUM(Households!C31:D31),NatParkPA!C30,Tourism!C28,ComRevSh!C28)/(1-C10-C8-C11-C12)</f>
        <v>1040118.85523884</v>
      </c>
    </row>
    <row r="34" spans="1:8" ht="16.5" customHeight="1" x14ac:dyDescent="0.2">
      <c r="A34" s="19"/>
      <c r="B34" s="332" t="s">
        <v>48</v>
      </c>
      <c r="C34" s="385">
        <v>0</v>
      </c>
      <c r="D34" s="384" t="s">
        <v>159</v>
      </c>
      <c r="G34" s="111">
        <f>SUM(Lodges!C29,Restaurants!C28,SUM(Households!C31:D31),NatParkPA!C30,Tourism!C28,ComRevSh!C28)</f>
        <v>1040118.85523884</v>
      </c>
    </row>
    <row r="35" spans="1:8" ht="16.5" customHeight="1" x14ac:dyDescent="0.2">
      <c r="A35" s="19"/>
      <c r="B35" s="332" t="s">
        <v>50</v>
      </c>
      <c r="C35" s="385">
        <v>0</v>
      </c>
      <c r="D35" s="384" t="s">
        <v>159</v>
      </c>
      <c r="G35" s="111"/>
    </row>
    <row r="36" spans="1:8" ht="16.5" customHeight="1" x14ac:dyDescent="0.2">
      <c r="A36" s="19"/>
      <c r="B36" s="332" t="s">
        <v>51</v>
      </c>
      <c r="C36" s="385">
        <v>0</v>
      </c>
      <c r="D36" s="384" t="s">
        <v>160</v>
      </c>
      <c r="G36" s="111"/>
    </row>
    <row r="37" spans="1:8" ht="16.5" customHeight="1" x14ac:dyDescent="0.2">
      <c r="A37" s="19"/>
      <c r="B37" s="332" t="s">
        <v>53</v>
      </c>
      <c r="C37" s="385">
        <v>0</v>
      </c>
      <c r="D37" s="384" t="s">
        <v>161</v>
      </c>
      <c r="G37" s="111"/>
    </row>
    <row r="38" spans="1:8" ht="16.5" customHeight="1" x14ac:dyDescent="0.2">
      <c r="A38" s="19"/>
      <c r="B38" s="332" t="s">
        <v>55</v>
      </c>
      <c r="C38" s="385">
        <v>0</v>
      </c>
      <c r="D38" s="384" t="s">
        <v>162</v>
      </c>
      <c r="G38" s="111"/>
    </row>
    <row r="39" spans="1:8" ht="16.5" customHeight="1" x14ac:dyDescent="0.2">
      <c r="A39" s="19"/>
      <c r="B39" s="332" t="s">
        <v>57</v>
      </c>
      <c r="C39" s="367">
        <v>0</v>
      </c>
      <c r="D39" s="384" t="s">
        <v>163</v>
      </c>
      <c r="G39" s="111"/>
    </row>
    <row r="40" spans="1:8" ht="16.5" customHeight="1" x14ac:dyDescent="0.2">
      <c r="A40" s="19"/>
      <c r="B40" s="332" t="s">
        <v>60</v>
      </c>
      <c r="C40" s="367">
        <f>$C$43*$D$14</f>
        <v>0</v>
      </c>
      <c r="D40" s="384" t="s">
        <v>404</v>
      </c>
      <c r="G40" s="111"/>
    </row>
    <row r="41" spans="1:8" ht="16.5" customHeight="1" x14ac:dyDescent="0.2">
      <c r="A41" s="19"/>
      <c r="B41" s="386" t="s">
        <v>62</v>
      </c>
      <c r="C41" s="367">
        <f>$C$43*$D$13 + C43*SUM(D4:D7)*(1-D16) + C43*D17*(1-D15)</f>
        <v>1040118.85523884</v>
      </c>
      <c r="D41" s="384" t="s">
        <v>164</v>
      </c>
      <c r="G41" s="111"/>
    </row>
    <row r="42" spans="1:8" ht="16.5" customHeight="1" x14ac:dyDescent="0.2">
      <c r="A42" s="19"/>
      <c r="B42" s="332" t="s">
        <v>64</v>
      </c>
      <c r="C42" s="387">
        <f>SUM(C25:C41)</f>
        <v>1040118.85523884</v>
      </c>
      <c r="D42" s="384" t="s">
        <v>65</v>
      </c>
      <c r="G42" s="111"/>
    </row>
    <row r="43" spans="1:8" ht="47.25" customHeight="1" x14ac:dyDescent="0.2">
      <c r="A43" s="19"/>
      <c r="B43" s="332" t="s">
        <v>66</v>
      </c>
      <c r="C43" s="385">
        <f>SUM(Lodges!C29,Restaurants!C28,SUM(Households!C31:D31),NatParkPA!C30,Tourism!C28,ComRevSh!C28)/(1-SUM(D8:D12))</f>
        <v>1040118.85523884</v>
      </c>
      <c r="D43" s="384" t="s">
        <v>165</v>
      </c>
      <c r="F43" s="128" t="s">
        <v>397</v>
      </c>
    </row>
    <row r="44" spans="1:8" ht="16.5" customHeight="1" x14ac:dyDescent="0.2">
      <c r="A44" s="19"/>
      <c r="B44" s="332" t="s">
        <v>68</v>
      </c>
      <c r="C44" s="385">
        <f>C43-C42</f>
        <v>0</v>
      </c>
      <c r="D44" s="384" t="s">
        <v>106</v>
      </c>
    </row>
    <row r="45" spans="1:8" ht="16.5" customHeight="1" x14ac:dyDescent="0.2">
      <c r="A45" s="19"/>
      <c r="B45" s="388" t="s">
        <v>70</v>
      </c>
      <c r="C45" s="389">
        <f>C44/C43</f>
        <v>0</v>
      </c>
      <c r="D45" s="390" t="s">
        <v>107</v>
      </c>
    </row>
    <row r="46" spans="1:8" ht="15.75" customHeight="1" x14ac:dyDescent="0.2">
      <c r="A46" s="19"/>
      <c r="C46" s="28"/>
      <c r="H46" s="8"/>
    </row>
    <row r="47" spans="1:8" ht="15.75" customHeight="1" x14ac:dyDescent="0.2">
      <c r="A47" s="19"/>
      <c r="C47" s="28"/>
      <c r="H47" s="8"/>
    </row>
    <row r="48" spans="1:8" ht="15.75" customHeight="1" x14ac:dyDescent="0.2">
      <c r="A48" s="19"/>
      <c r="C48" s="28"/>
      <c r="H48" s="8"/>
    </row>
    <row r="49" spans="1:8" ht="15.75" customHeight="1" x14ac:dyDescent="0.2">
      <c r="A49" s="19"/>
      <c r="C49" s="28"/>
      <c r="H49" s="8"/>
    </row>
    <row r="50" spans="1:8" ht="15.75" customHeight="1" x14ac:dyDescent="0.2">
      <c r="A50" s="19"/>
      <c r="B50" s="23" t="s">
        <v>520</v>
      </c>
      <c r="H50" s="8"/>
    </row>
    <row r="51" spans="1:8" ht="15.75" customHeight="1" x14ac:dyDescent="0.2">
      <c r="A51" s="19"/>
      <c r="B51" s="33" t="s">
        <v>0</v>
      </c>
      <c r="C51" s="34" t="s">
        <v>1</v>
      </c>
      <c r="D51" s="35" t="s">
        <v>2</v>
      </c>
      <c r="E51" s="35" t="s">
        <v>3</v>
      </c>
      <c r="F51" s="35" t="s">
        <v>4</v>
      </c>
      <c r="G51" s="35" t="s">
        <v>5</v>
      </c>
      <c r="H51" s="8"/>
    </row>
    <row r="52" spans="1:8" ht="15.75" customHeight="1" x14ac:dyDescent="0.2">
      <c r="A52" s="19"/>
      <c r="B52" s="199" t="s">
        <v>74</v>
      </c>
      <c r="C52" s="200">
        <f>C4*100</f>
        <v>0</v>
      </c>
      <c r="D52" s="182" t="s">
        <v>439</v>
      </c>
      <c r="E52" s="182">
        <v>0</v>
      </c>
      <c r="F52" s="182">
        <v>100</v>
      </c>
      <c r="G52" s="182">
        <v>0.01</v>
      </c>
      <c r="H52" s="8"/>
    </row>
    <row r="53" spans="1:8" ht="15.75" customHeight="1" x14ac:dyDescent="0.2">
      <c r="A53" s="19"/>
      <c r="B53" s="199" t="s">
        <v>76</v>
      </c>
      <c r="C53" s="200">
        <f t="shared" ref="C53:C62" si="1">C5*100</f>
        <v>0</v>
      </c>
      <c r="D53" s="182" t="s">
        <v>440</v>
      </c>
      <c r="E53" s="182">
        <v>0</v>
      </c>
      <c r="F53" s="182">
        <v>100</v>
      </c>
      <c r="G53" s="182">
        <v>0.01</v>
      </c>
      <c r="H53" s="8"/>
    </row>
    <row r="54" spans="1:8" ht="15.75" customHeight="1" x14ac:dyDescent="0.2">
      <c r="A54" s="19"/>
      <c r="B54" s="199" t="s">
        <v>77</v>
      </c>
      <c r="C54" s="200">
        <f t="shared" si="1"/>
        <v>0</v>
      </c>
      <c r="D54" s="182" t="s">
        <v>441</v>
      </c>
      <c r="E54" s="182">
        <v>0</v>
      </c>
      <c r="F54" s="182">
        <v>100</v>
      </c>
      <c r="G54" s="182">
        <v>0.01</v>
      </c>
      <c r="H54" s="8"/>
    </row>
    <row r="55" spans="1:8" ht="15.75" customHeight="1" x14ac:dyDescent="0.2">
      <c r="A55" s="19"/>
      <c r="B55" s="199" t="s">
        <v>78</v>
      </c>
      <c r="C55" s="200">
        <f t="shared" si="1"/>
        <v>0</v>
      </c>
      <c r="D55" s="182" t="s">
        <v>442</v>
      </c>
      <c r="E55" s="182">
        <v>0</v>
      </c>
      <c r="F55" s="182">
        <v>100</v>
      </c>
      <c r="G55" s="182">
        <v>0.01</v>
      </c>
      <c r="H55" s="8"/>
    </row>
    <row r="56" spans="1:8" ht="15.75" customHeight="1" x14ac:dyDescent="0.2">
      <c r="A56" s="19"/>
      <c r="B56" s="199" t="s">
        <v>146</v>
      </c>
      <c r="C56" s="200">
        <f t="shared" si="1"/>
        <v>0</v>
      </c>
      <c r="D56" s="182" t="s">
        <v>443</v>
      </c>
      <c r="E56" s="182">
        <v>0</v>
      </c>
      <c r="F56" s="182">
        <v>100</v>
      </c>
      <c r="G56" s="182">
        <v>0.01</v>
      </c>
      <c r="H56" s="8"/>
    </row>
    <row r="57" spans="1:8" ht="15.75" customHeight="1" x14ac:dyDescent="0.2">
      <c r="A57" s="19"/>
      <c r="B57" s="205" t="s">
        <v>510</v>
      </c>
      <c r="C57" s="200">
        <f t="shared" si="1"/>
        <v>0</v>
      </c>
      <c r="D57" s="182" t="s">
        <v>444</v>
      </c>
      <c r="E57" s="182">
        <v>0</v>
      </c>
      <c r="F57" s="182">
        <v>100</v>
      </c>
      <c r="G57" s="182">
        <v>0.01</v>
      </c>
      <c r="H57" s="8"/>
    </row>
    <row r="58" spans="1:8" ht="15.75" customHeight="1" x14ac:dyDescent="0.2">
      <c r="A58" s="19"/>
      <c r="B58" s="199" t="s">
        <v>147</v>
      </c>
      <c r="C58" s="200">
        <f t="shared" si="1"/>
        <v>0</v>
      </c>
      <c r="D58" s="182" t="s">
        <v>445</v>
      </c>
      <c r="E58" s="182">
        <v>0</v>
      </c>
      <c r="F58" s="182">
        <v>100</v>
      </c>
      <c r="G58" s="182">
        <v>0.01</v>
      </c>
      <c r="H58" s="8"/>
    </row>
    <row r="59" spans="1:8" ht="15.75" customHeight="1" x14ac:dyDescent="0.2">
      <c r="A59" s="19"/>
      <c r="B59" s="199" t="s">
        <v>148</v>
      </c>
      <c r="C59" s="200">
        <f t="shared" si="1"/>
        <v>0</v>
      </c>
      <c r="D59" s="182" t="s">
        <v>446</v>
      </c>
      <c r="E59" s="182">
        <v>0</v>
      </c>
      <c r="F59" s="182">
        <v>100</v>
      </c>
      <c r="G59" s="182">
        <v>0.01</v>
      </c>
      <c r="H59" s="8"/>
    </row>
    <row r="60" spans="1:8" ht="15.75" customHeight="1" x14ac:dyDescent="0.2">
      <c r="A60" s="19"/>
      <c r="B60" s="199" t="s">
        <v>149</v>
      </c>
      <c r="C60" s="200">
        <f t="shared" si="1"/>
        <v>0</v>
      </c>
      <c r="D60" s="182" t="s">
        <v>447</v>
      </c>
      <c r="E60" s="182">
        <v>0</v>
      </c>
      <c r="F60" s="182">
        <v>100</v>
      </c>
      <c r="G60" s="182">
        <v>0.01</v>
      </c>
      <c r="H60" s="8"/>
    </row>
    <row r="61" spans="1:8" ht="15.75" customHeight="1" x14ac:dyDescent="0.2">
      <c r="A61" s="19"/>
      <c r="B61" s="199" t="s">
        <v>150</v>
      </c>
      <c r="C61" s="200">
        <f t="shared" si="1"/>
        <v>100</v>
      </c>
      <c r="D61" s="182" t="s">
        <v>448</v>
      </c>
      <c r="E61" s="182">
        <v>0</v>
      </c>
      <c r="F61" s="182">
        <v>100</v>
      </c>
      <c r="G61" s="182">
        <v>0.01</v>
      </c>
      <c r="H61" s="8"/>
    </row>
    <row r="62" spans="1:8" ht="15.75" customHeight="1" x14ac:dyDescent="0.2">
      <c r="A62" s="19"/>
      <c r="B62" s="206" t="s">
        <v>151</v>
      </c>
      <c r="C62" s="200">
        <f t="shared" si="1"/>
        <v>0</v>
      </c>
      <c r="D62" s="182" t="s">
        <v>472</v>
      </c>
      <c r="E62" s="182">
        <v>0</v>
      </c>
      <c r="F62" s="182">
        <v>100</v>
      </c>
      <c r="G62" s="182">
        <v>0.01</v>
      </c>
      <c r="H62" s="8"/>
    </row>
    <row r="63" spans="1:8" ht="15.75" customHeight="1" x14ac:dyDescent="0.2">
      <c r="A63" s="19"/>
      <c r="B63" s="206" t="s">
        <v>152</v>
      </c>
      <c r="C63" s="200">
        <f t="shared" ref="C63:C64" si="2">D15*100</f>
        <v>100</v>
      </c>
      <c r="D63" s="182" t="s">
        <v>517</v>
      </c>
      <c r="E63" s="182">
        <v>0</v>
      </c>
      <c r="F63" s="182">
        <v>100</v>
      </c>
      <c r="G63" s="182">
        <v>0.01</v>
      </c>
      <c r="H63" s="8"/>
    </row>
    <row r="64" spans="1:8" ht="15.75" customHeight="1" x14ac:dyDescent="0.2">
      <c r="A64" s="19"/>
      <c r="B64" s="206" t="s">
        <v>153</v>
      </c>
      <c r="C64" s="200">
        <f t="shared" si="2"/>
        <v>100</v>
      </c>
      <c r="D64" s="182" t="s">
        <v>166</v>
      </c>
      <c r="E64" s="182">
        <v>0</v>
      </c>
      <c r="F64" s="182">
        <v>100</v>
      </c>
      <c r="G64" s="182">
        <v>0.01</v>
      </c>
      <c r="H64" s="8"/>
    </row>
    <row r="65" spans="1:8" ht="15.75" customHeight="1" x14ac:dyDescent="0.2">
      <c r="A65" s="19"/>
      <c r="B65" s="208" t="s">
        <v>399</v>
      </c>
      <c r="C65" s="209">
        <f>C17*100</f>
        <v>0</v>
      </c>
      <c r="D65" s="182" t="s">
        <v>405</v>
      </c>
      <c r="E65" s="190">
        <v>0</v>
      </c>
      <c r="F65" s="190">
        <v>100</v>
      </c>
      <c r="G65" s="207">
        <v>0.01</v>
      </c>
      <c r="H65" s="8"/>
    </row>
    <row r="66" spans="1:8" ht="15.75" customHeight="1" x14ac:dyDescent="0.2">
      <c r="A66" s="19"/>
      <c r="C66" s="28"/>
      <c r="H66" s="8"/>
    </row>
    <row r="67" spans="1:8" ht="15.75" customHeight="1" x14ac:dyDescent="0.2">
      <c r="A67" s="19"/>
      <c r="C67" s="28"/>
      <c r="H67" s="8"/>
    </row>
    <row r="68" spans="1:8" ht="15.75" customHeight="1" x14ac:dyDescent="0.2">
      <c r="A68" s="19"/>
      <c r="C68" s="28"/>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opLeftCell="A16" workbookViewId="0">
      <selection activeCell="C41" sqref="C41"/>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167</v>
      </c>
    </row>
    <row r="2" spans="1:8" ht="47.25" customHeight="1" x14ac:dyDescent="0.2">
      <c r="A2" s="246"/>
      <c r="B2" s="271" t="s">
        <v>168</v>
      </c>
      <c r="C2" s="272" t="s">
        <v>73</v>
      </c>
      <c r="D2" s="252"/>
    </row>
    <row r="3" spans="1:8" ht="26.25" customHeight="1" x14ac:dyDescent="0.2">
      <c r="A3" s="270"/>
      <c r="B3" s="260" t="s">
        <v>0</v>
      </c>
      <c r="C3" s="255" t="s">
        <v>1</v>
      </c>
      <c r="D3" s="273" t="s">
        <v>524</v>
      </c>
      <c r="E3" s="10"/>
      <c r="F3" s="10"/>
      <c r="G3" s="10"/>
      <c r="H3" s="10" t="s">
        <v>6</v>
      </c>
    </row>
    <row r="4" spans="1:8" ht="30.75" customHeight="1" x14ac:dyDescent="0.2">
      <c r="A4" s="464" t="s">
        <v>525</v>
      </c>
      <c r="B4" s="175" t="s">
        <v>74</v>
      </c>
      <c r="C4" s="211">
        <v>4.2999999999999997E-2</v>
      </c>
      <c r="D4" s="245">
        <f t="shared" ref="D4:D14" si="0">C4/$C$19*(1-$C$17)</f>
        <v>3.2250000000000001E-2</v>
      </c>
      <c r="E4" s="1"/>
      <c r="F4" s="1"/>
      <c r="G4" s="1"/>
      <c r="H4" s="37" t="s">
        <v>75</v>
      </c>
    </row>
    <row r="5" spans="1:8" ht="30.75" customHeight="1" x14ac:dyDescent="0.2">
      <c r="A5" s="465"/>
      <c r="B5" s="172" t="s">
        <v>76</v>
      </c>
      <c r="C5" s="212">
        <v>3.5000000000000003E-2</v>
      </c>
      <c r="D5" s="245">
        <f t="shared" si="0"/>
        <v>2.6250000000000009E-2</v>
      </c>
      <c r="E5" s="1"/>
      <c r="F5" s="1"/>
      <c r="G5" s="1"/>
      <c r="H5" s="11"/>
    </row>
    <row r="6" spans="1:8" ht="30.75" customHeight="1" x14ac:dyDescent="0.2">
      <c r="A6" s="465"/>
      <c r="B6" s="172" t="s">
        <v>77</v>
      </c>
      <c r="C6" s="212">
        <v>7.2999999999999995E-2</v>
      </c>
      <c r="D6" s="245">
        <f t="shared" si="0"/>
        <v>5.4750000000000007E-2</v>
      </c>
      <c r="E6" s="1"/>
      <c r="F6" s="1"/>
      <c r="G6" s="1"/>
      <c r="H6" s="11"/>
    </row>
    <row r="7" spans="1:8" ht="30.75" customHeight="1" x14ac:dyDescent="0.2">
      <c r="A7" s="465"/>
      <c r="B7" s="172" t="s">
        <v>78</v>
      </c>
      <c r="C7" s="212">
        <v>7.1999999999999995E-2</v>
      </c>
      <c r="D7" s="245">
        <f t="shared" si="0"/>
        <v>5.4000000000000006E-2</v>
      </c>
      <c r="E7" s="1"/>
      <c r="F7" s="1"/>
      <c r="G7" s="1"/>
      <c r="H7" s="11"/>
    </row>
    <row r="8" spans="1:8" ht="39" customHeight="1" x14ac:dyDescent="0.2">
      <c r="A8" s="465"/>
      <c r="B8" s="173" t="s">
        <v>169</v>
      </c>
      <c r="C8" s="212">
        <v>0.27646124999999999</v>
      </c>
      <c r="D8" s="245">
        <f t="shared" si="0"/>
        <v>0.20734593750000002</v>
      </c>
      <c r="E8" s="1"/>
      <c r="F8" s="1"/>
      <c r="G8" s="1"/>
      <c r="H8" s="37" t="s">
        <v>82</v>
      </c>
    </row>
    <row r="9" spans="1:8" ht="39" customHeight="1" x14ac:dyDescent="0.2">
      <c r="A9" s="465"/>
      <c r="B9" s="173" t="s">
        <v>514</v>
      </c>
      <c r="C9" s="212">
        <v>0</v>
      </c>
      <c r="D9" s="245">
        <f t="shared" si="0"/>
        <v>0</v>
      </c>
      <c r="E9" s="1"/>
      <c r="F9" s="1"/>
      <c r="G9" s="1"/>
      <c r="H9" s="37"/>
    </row>
    <row r="10" spans="1:8" ht="26.25" customHeight="1" x14ac:dyDescent="0.2">
      <c r="A10" s="465"/>
      <c r="B10" s="173" t="s">
        <v>112</v>
      </c>
      <c r="C10" s="212">
        <v>4.4538749999999995E-2</v>
      </c>
      <c r="D10" s="245">
        <f t="shared" si="0"/>
        <v>3.3404062499999998E-2</v>
      </c>
      <c r="E10" s="1"/>
      <c r="F10" s="1"/>
      <c r="G10" s="1"/>
      <c r="H10" s="11"/>
    </row>
    <row r="11" spans="1:8" ht="26.25" customHeight="1" x14ac:dyDescent="0.2">
      <c r="A11" s="465"/>
      <c r="B11" s="173" t="s">
        <v>170</v>
      </c>
      <c r="C11" s="212">
        <v>0.16299999999999998</v>
      </c>
      <c r="D11" s="245">
        <f t="shared" si="0"/>
        <v>0.12225</v>
      </c>
      <c r="E11" s="1"/>
      <c r="F11" s="1"/>
      <c r="G11" s="1"/>
      <c r="H11" s="11"/>
    </row>
    <row r="12" spans="1:8" ht="26.25" customHeight="1" x14ac:dyDescent="0.2">
      <c r="A12" s="465"/>
      <c r="B12" s="173" t="s">
        <v>113</v>
      </c>
      <c r="C12" s="212">
        <v>0.127</v>
      </c>
      <c r="D12" s="245">
        <f t="shared" si="0"/>
        <v>9.5250000000000029E-2</v>
      </c>
      <c r="E12" s="1"/>
      <c r="F12" s="1"/>
      <c r="G12" s="1"/>
      <c r="H12" s="11"/>
    </row>
    <row r="13" spans="1:8" ht="26.25" customHeight="1" x14ac:dyDescent="0.2">
      <c r="A13" s="465"/>
      <c r="B13" s="173" t="s">
        <v>171</v>
      </c>
      <c r="C13" s="212">
        <v>0.14799999999999999</v>
      </c>
      <c r="D13" s="245">
        <f t="shared" si="0"/>
        <v>0.11100000000000002</v>
      </c>
      <c r="E13" s="1"/>
      <c r="F13" s="1"/>
      <c r="G13" s="1"/>
      <c r="H13" s="32">
        <f>SUM(C4:C14)</f>
        <v>0.99999999999999989</v>
      </c>
    </row>
    <row r="14" spans="1:8" ht="26.25" customHeight="1" x14ac:dyDescent="0.2">
      <c r="A14" s="466"/>
      <c r="B14" s="173" t="s">
        <v>172</v>
      </c>
      <c r="C14" s="212">
        <v>1.7999999999999999E-2</v>
      </c>
      <c r="D14" s="245">
        <f t="shared" si="0"/>
        <v>1.3500000000000002E-2</v>
      </c>
      <c r="E14" s="1"/>
      <c r="F14" s="1"/>
      <c r="G14" s="1"/>
      <c r="H14" s="11"/>
    </row>
    <row r="15" spans="1:8" ht="26.25" customHeight="1" x14ac:dyDescent="0.2">
      <c r="A15" s="246"/>
      <c r="B15" s="166" t="s">
        <v>173</v>
      </c>
      <c r="C15" s="114">
        <v>1</v>
      </c>
      <c r="D15" s="241">
        <f>C15</f>
        <v>1</v>
      </c>
      <c r="E15" s="1"/>
      <c r="F15" s="1"/>
      <c r="G15" s="1"/>
      <c r="H15" s="11"/>
    </row>
    <row r="16" spans="1:8" ht="26.25" customHeight="1" x14ac:dyDescent="0.2">
      <c r="A16" s="274"/>
      <c r="B16" s="240" t="s">
        <v>87</v>
      </c>
      <c r="C16" s="114">
        <v>0.8</v>
      </c>
      <c r="D16" s="275">
        <f>C16</f>
        <v>0.8</v>
      </c>
      <c r="E16" s="1"/>
      <c r="F16" s="1"/>
      <c r="G16" s="1"/>
      <c r="H16" s="11"/>
    </row>
    <row r="17" spans="1:9" ht="26.25" customHeight="1" x14ac:dyDescent="0.2">
      <c r="A17" s="258"/>
      <c r="B17" s="228" t="s">
        <v>399</v>
      </c>
      <c r="C17" s="112">
        <v>0.25</v>
      </c>
      <c r="D17" s="276">
        <f>C17</f>
        <v>0.25</v>
      </c>
      <c r="I17" s="11"/>
    </row>
    <row r="18" spans="1:9" ht="15.75" customHeight="1" x14ac:dyDescent="0.2">
      <c r="B18" s="11"/>
      <c r="C18" s="128" t="s">
        <v>532</v>
      </c>
    </row>
    <row r="19" spans="1:9" ht="15.75" customHeight="1" x14ac:dyDescent="0.2">
      <c r="B19" s="11" t="s">
        <v>401</v>
      </c>
      <c r="C19" s="113">
        <f>SUM(C4:C14)</f>
        <v>0.99999999999999989</v>
      </c>
    </row>
    <row r="20" spans="1:9" ht="15.75" customHeight="1" x14ac:dyDescent="0.2">
      <c r="B20" s="11"/>
      <c r="C20" s="37"/>
    </row>
    <row r="21" spans="1:9" ht="15.75" customHeight="1" x14ac:dyDescent="0.2">
      <c r="B21" s="11"/>
      <c r="C21" s="37"/>
    </row>
    <row r="22" spans="1:9" ht="15.75" customHeight="1" x14ac:dyDescent="0.2">
      <c r="B22" s="11"/>
      <c r="C22" s="37"/>
    </row>
    <row r="23" spans="1:9" ht="15.75" customHeight="1" x14ac:dyDescent="0.2">
      <c r="B23" s="157" t="s">
        <v>535</v>
      </c>
      <c r="C23" s="37"/>
    </row>
    <row r="24" spans="1:9" ht="15.75" customHeight="1" x14ac:dyDescent="0.2">
      <c r="B24" s="359" t="s">
        <v>174</v>
      </c>
      <c r="C24" s="360" t="s">
        <v>51</v>
      </c>
      <c r="D24" s="361"/>
    </row>
    <row r="25" spans="1:9" ht="15.75" customHeight="1" x14ac:dyDescent="0.2">
      <c r="B25" s="362" t="s">
        <v>33</v>
      </c>
      <c r="C25" s="338">
        <f>$D8*$C$43</f>
        <v>1977845.3242602397</v>
      </c>
      <c r="D25" s="363" t="s">
        <v>175</v>
      </c>
    </row>
    <row r="26" spans="1:9" ht="14.25" customHeight="1" x14ac:dyDescent="0.2">
      <c r="B26" s="364" t="s">
        <v>35</v>
      </c>
      <c r="C26" s="365">
        <v>0</v>
      </c>
      <c r="D26" s="366" t="s">
        <v>176</v>
      </c>
    </row>
    <row r="27" spans="1:9" ht="15.75" customHeight="1" x14ac:dyDescent="0.2">
      <c r="B27" s="362" t="s">
        <v>37</v>
      </c>
      <c r="C27" s="338">
        <f>($D11+$D$12)*$C$43</f>
        <v>2074703.5761267429</v>
      </c>
      <c r="D27" s="363" t="s">
        <v>177</v>
      </c>
    </row>
    <row r="28" spans="1:9" ht="15.75" customHeight="1" x14ac:dyDescent="0.2">
      <c r="B28" s="362" t="s">
        <v>39</v>
      </c>
      <c r="C28" s="338">
        <f>$D10*$C$43</f>
        <v>318636.91000418947</v>
      </c>
      <c r="D28" s="363" t="s">
        <v>178</v>
      </c>
    </row>
    <row r="29" spans="1:9" ht="15.75" customHeight="1" x14ac:dyDescent="0.2">
      <c r="B29" s="364" t="s">
        <v>41</v>
      </c>
      <c r="C29" s="367">
        <f>D4*$C$43*C16</f>
        <v>246102.76903020672</v>
      </c>
      <c r="D29" s="368" t="s">
        <v>92</v>
      </c>
    </row>
    <row r="30" spans="1:9" ht="15.75" customHeight="1" x14ac:dyDescent="0.2">
      <c r="B30" s="364" t="s">
        <v>43</v>
      </c>
      <c r="C30" s="367">
        <f>D5*$C$43*C16</f>
        <v>200316.20735016835</v>
      </c>
      <c r="D30" s="368" t="s">
        <v>93</v>
      </c>
    </row>
    <row r="31" spans="1:9" ht="15.75" customHeight="1" x14ac:dyDescent="0.2">
      <c r="B31" s="364" t="s">
        <v>44</v>
      </c>
      <c r="C31" s="367">
        <f>D6*$C$43*C16</f>
        <v>417802.375330351</v>
      </c>
      <c r="D31" s="368" t="s">
        <v>94</v>
      </c>
    </row>
    <row r="32" spans="1:9" ht="15.75" customHeight="1" x14ac:dyDescent="0.2">
      <c r="B32" s="364" t="s">
        <v>45</v>
      </c>
      <c r="C32" s="367">
        <f>D7*$C$43*C16</f>
        <v>412079.05512034619</v>
      </c>
      <c r="D32" s="368" t="s">
        <v>95</v>
      </c>
    </row>
    <row r="33" spans="2:5" ht="15.75" customHeight="1" x14ac:dyDescent="0.2">
      <c r="B33" s="362" t="s">
        <v>46</v>
      </c>
      <c r="C33" s="338">
        <f>D17*C43*C15</f>
        <v>2384716.7541686697</v>
      </c>
      <c r="D33" s="368" t="s">
        <v>96</v>
      </c>
    </row>
    <row r="34" spans="2:5" ht="15.75" customHeight="1" x14ac:dyDescent="0.2">
      <c r="B34" s="362" t="s">
        <v>48</v>
      </c>
      <c r="C34" s="369">
        <v>0</v>
      </c>
      <c r="D34" s="368" t="s">
        <v>179</v>
      </c>
    </row>
    <row r="35" spans="2:5" ht="15.75" customHeight="1" x14ac:dyDescent="0.2">
      <c r="B35" s="362" t="s">
        <v>50</v>
      </c>
      <c r="C35" s="369">
        <v>0</v>
      </c>
      <c r="D35" s="368" t="s">
        <v>179</v>
      </c>
    </row>
    <row r="36" spans="2:5" ht="15.75" customHeight="1" x14ac:dyDescent="0.2">
      <c r="B36" s="362" t="s">
        <v>51</v>
      </c>
      <c r="C36" s="370">
        <v>0</v>
      </c>
      <c r="D36" s="368" t="s">
        <v>180</v>
      </c>
    </row>
    <row r="37" spans="2:5" ht="15.75" customHeight="1" x14ac:dyDescent="0.2">
      <c r="B37" s="362" t="s">
        <v>53</v>
      </c>
      <c r="C37" s="370">
        <v>0</v>
      </c>
      <c r="D37" s="368" t="s">
        <v>181</v>
      </c>
    </row>
    <row r="38" spans="2:5" ht="15.75" customHeight="1" x14ac:dyDescent="0.2">
      <c r="B38" s="362" t="s">
        <v>55</v>
      </c>
      <c r="C38" s="370">
        <v>0</v>
      </c>
      <c r="D38" s="368" t="s">
        <v>182</v>
      </c>
    </row>
    <row r="39" spans="2:5" ht="15.75" customHeight="1" x14ac:dyDescent="0.2">
      <c r="B39" s="362" t="s">
        <v>57</v>
      </c>
      <c r="C39" s="370">
        <v>0</v>
      </c>
      <c r="D39" s="368" t="s">
        <v>183</v>
      </c>
    </row>
    <row r="40" spans="2:5" ht="15.75" customHeight="1" x14ac:dyDescent="0.2">
      <c r="B40" s="362" t="s">
        <v>60</v>
      </c>
      <c r="C40" s="338">
        <f>D14*C43</f>
        <v>128774.70472510818</v>
      </c>
      <c r="D40" s="371" t="s">
        <v>184</v>
      </c>
    </row>
    <row r="41" spans="2:5" ht="15.75" customHeight="1" x14ac:dyDescent="0.2">
      <c r="B41" s="372" t="s">
        <v>62</v>
      </c>
      <c r="C41" s="338">
        <f>D13*C43 + C43*SUM(D4:D7)*(1-C16) + C43*D17*(1-C15)</f>
        <v>1377889.3405586574</v>
      </c>
      <c r="D41" s="373" t="s">
        <v>185</v>
      </c>
    </row>
    <row r="42" spans="2:5" ht="15.75" customHeight="1" x14ac:dyDescent="0.2">
      <c r="B42" s="362" t="s">
        <v>64</v>
      </c>
      <c r="C42" s="338">
        <f>SUM(C25:C41)</f>
        <v>9538867.0166746788</v>
      </c>
      <c r="D42" s="371" t="s">
        <v>186</v>
      </c>
    </row>
    <row r="43" spans="2:5" ht="15.75" customHeight="1" x14ac:dyDescent="0.2">
      <c r="B43" s="362" t="s">
        <v>66</v>
      </c>
      <c r="C43" s="338">
        <f>Tourists!$C$36+SUM(Households!C39:D39) + Ag!C36 + Tourism!C36 + Nonag!C36 + Fishing!C36 + Lodges!C37 + ComRevSh!C36 + NatParkPA!C38</f>
        <v>9538867.0166746788</v>
      </c>
      <c r="D43" s="371" t="s">
        <v>187</v>
      </c>
      <c r="E43" s="42" t="s">
        <v>398</v>
      </c>
    </row>
    <row r="44" spans="2:5" ht="15.75" customHeight="1" x14ac:dyDescent="0.2">
      <c r="B44" s="362" t="s">
        <v>68</v>
      </c>
      <c r="C44" s="369">
        <f>C43-C42</f>
        <v>0</v>
      </c>
      <c r="D44" s="374"/>
    </row>
    <row r="45" spans="2:5" ht="15.75" customHeight="1" x14ac:dyDescent="0.2">
      <c r="B45" s="362" t="s">
        <v>70</v>
      </c>
      <c r="C45" s="375">
        <f>C44/C43</f>
        <v>0</v>
      </c>
      <c r="D45" s="374"/>
    </row>
    <row r="46" spans="2:5" ht="15.75" customHeight="1" x14ac:dyDescent="0.2">
      <c r="B46" s="372" t="s">
        <v>62</v>
      </c>
      <c r="C46" s="376"/>
      <c r="D46" s="374"/>
    </row>
    <row r="47" spans="2:5" ht="15.75" customHeight="1" x14ac:dyDescent="0.2">
      <c r="B47" s="377" t="s">
        <v>188</v>
      </c>
      <c r="C47" s="378"/>
      <c r="D47" s="379"/>
    </row>
    <row r="48" spans="2:5" ht="15.75" customHeight="1" x14ac:dyDescent="0.2"/>
    <row r="49" spans="2:7" ht="15.75" customHeight="1" x14ac:dyDescent="0.2"/>
    <row r="50" spans="2:7" ht="15.75" customHeight="1" x14ac:dyDescent="0.2">
      <c r="B50" s="23" t="s">
        <v>520</v>
      </c>
    </row>
    <row r="51" spans="2:7" ht="15.75" customHeight="1" x14ac:dyDescent="0.2">
      <c r="B51" s="33" t="s">
        <v>0</v>
      </c>
      <c r="C51" s="34" t="s">
        <v>1</v>
      </c>
      <c r="D51" s="35" t="s">
        <v>2</v>
      </c>
      <c r="E51" s="35" t="s">
        <v>3</v>
      </c>
      <c r="F51" s="35" t="s">
        <v>4</v>
      </c>
      <c r="G51" s="35" t="s">
        <v>5</v>
      </c>
    </row>
    <row r="52" spans="2:7" ht="15" customHeight="1" x14ac:dyDescent="0.2">
      <c r="B52" s="199" t="s">
        <v>74</v>
      </c>
      <c r="C52" s="200">
        <f>C4*100</f>
        <v>4.3</v>
      </c>
      <c r="D52" s="182" t="s">
        <v>449</v>
      </c>
      <c r="E52" s="182">
        <v>0</v>
      </c>
      <c r="F52" s="182">
        <v>100</v>
      </c>
      <c r="G52" s="182">
        <v>0.01</v>
      </c>
    </row>
    <row r="53" spans="2:7" ht="15" customHeight="1" x14ac:dyDescent="0.2">
      <c r="B53" s="199" t="s">
        <v>76</v>
      </c>
      <c r="C53" s="200">
        <f t="shared" ref="C53:C62" si="1">C5*100</f>
        <v>3.5000000000000004</v>
      </c>
      <c r="D53" s="182" t="s">
        <v>450</v>
      </c>
      <c r="E53" s="182">
        <v>0</v>
      </c>
      <c r="F53" s="182">
        <v>100</v>
      </c>
      <c r="G53" s="182">
        <v>0.01</v>
      </c>
    </row>
    <row r="54" spans="2:7" ht="15" customHeight="1" x14ac:dyDescent="0.2">
      <c r="B54" s="199" t="s">
        <v>77</v>
      </c>
      <c r="C54" s="200">
        <f t="shared" si="1"/>
        <v>7.3</v>
      </c>
      <c r="D54" s="182" t="s">
        <v>451</v>
      </c>
      <c r="E54" s="182">
        <v>0</v>
      </c>
      <c r="F54" s="182">
        <v>100</v>
      </c>
      <c r="G54" s="182">
        <v>0.01</v>
      </c>
    </row>
    <row r="55" spans="2:7" ht="15" customHeight="1" x14ac:dyDescent="0.2">
      <c r="B55" s="199" t="s">
        <v>78</v>
      </c>
      <c r="C55" s="200">
        <f t="shared" si="1"/>
        <v>7.1999999999999993</v>
      </c>
      <c r="D55" s="182" t="s">
        <v>452</v>
      </c>
      <c r="E55" s="182">
        <v>0</v>
      </c>
      <c r="F55" s="182">
        <v>100</v>
      </c>
      <c r="G55" s="182">
        <v>0.01</v>
      </c>
    </row>
    <row r="56" spans="2:7" ht="15" customHeight="1" x14ac:dyDescent="0.2">
      <c r="B56" s="199" t="s">
        <v>169</v>
      </c>
      <c r="C56" s="200">
        <f t="shared" si="1"/>
        <v>27.646124999999998</v>
      </c>
      <c r="D56" s="182" t="s">
        <v>453</v>
      </c>
      <c r="E56" s="182">
        <v>0</v>
      </c>
      <c r="F56" s="182">
        <v>100</v>
      </c>
      <c r="G56" s="182">
        <v>0.01</v>
      </c>
    </row>
    <row r="57" spans="2:7" ht="15" customHeight="1" x14ac:dyDescent="0.2">
      <c r="B57" s="199" t="s">
        <v>510</v>
      </c>
      <c r="C57" s="200">
        <f t="shared" si="1"/>
        <v>0</v>
      </c>
      <c r="D57" s="182" t="s">
        <v>454</v>
      </c>
      <c r="E57" s="182">
        <v>0</v>
      </c>
      <c r="F57" s="182">
        <v>100</v>
      </c>
      <c r="G57" s="182">
        <v>0.01</v>
      </c>
    </row>
    <row r="58" spans="2:7" ht="15" customHeight="1" x14ac:dyDescent="0.2">
      <c r="B58" s="199" t="s">
        <v>112</v>
      </c>
      <c r="C58" s="200">
        <f t="shared" si="1"/>
        <v>4.4538749999999991</v>
      </c>
      <c r="D58" s="182" t="s">
        <v>455</v>
      </c>
      <c r="E58" s="182">
        <v>0</v>
      </c>
      <c r="F58" s="182">
        <v>100</v>
      </c>
      <c r="G58" s="182">
        <v>0.01</v>
      </c>
    </row>
    <row r="59" spans="2:7" ht="15" customHeight="1" x14ac:dyDescent="0.2">
      <c r="B59" s="199" t="s">
        <v>170</v>
      </c>
      <c r="C59" s="200">
        <f t="shared" si="1"/>
        <v>16.299999999999997</v>
      </c>
      <c r="D59" s="182" t="s">
        <v>456</v>
      </c>
      <c r="E59" s="182">
        <v>0</v>
      </c>
      <c r="F59" s="182">
        <v>100</v>
      </c>
      <c r="G59" s="182">
        <v>0.01</v>
      </c>
    </row>
    <row r="60" spans="2:7" ht="15" customHeight="1" x14ac:dyDescent="0.2">
      <c r="B60" s="199" t="s">
        <v>113</v>
      </c>
      <c r="C60" s="200">
        <f t="shared" si="1"/>
        <v>12.7</v>
      </c>
      <c r="D60" s="182" t="s">
        <v>457</v>
      </c>
      <c r="E60" s="182">
        <v>0</v>
      </c>
      <c r="F60" s="182">
        <v>100</v>
      </c>
      <c r="G60" s="182">
        <v>0.01</v>
      </c>
    </row>
    <row r="61" spans="2:7" ht="15" customHeight="1" x14ac:dyDescent="0.2">
      <c r="B61" s="199" t="s">
        <v>171</v>
      </c>
      <c r="C61" s="200">
        <f t="shared" si="1"/>
        <v>14.799999999999999</v>
      </c>
      <c r="D61" s="182" t="s">
        <v>458</v>
      </c>
      <c r="E61" s="182">
        <v>0</v>
      </c>
      <c r="F61" s="182">
        <v>100</v>
      </c>
      <c r="G61" s="182">
        <v>0.01</v>
      </c>
    </row>
    <row r="62" spans="2:7" ht="15" customHeight="1" x14ac:dyDescent="0.2">
      <c r="B62" s="199" t="s">
        <v>172</v>
      </c>
      <c r="C62" s="200">
        <f t="shared" si="1"/>
        <v>1.7999999999999998</v>
      </c>
      <c r="D62" s="182" t="s">
        <v>473</v>
      </c>
      <c r="E62" s="182">
        <v>0</v>
      </c>
      <c r="F62" s="182">
        <v>100</v>
      </c>
      <c r="G62" s="182">
        <v>0.01</v>
      </c>
    </row>
    <row r="63" spans="2:7" ht="15" customHeight="1" x14ac:dyDescent="0.2">
      <c r="B63" s="206" t="s">
        <v>173</v>
      </c>
      <c r="C63" s="200">
        <f t="shared" ref="C63:C64" si="2">D15*100</f>
        <v>100</v>
      </c>
      <c r="D63" s="182" t="s">
        <v>516</v>
      </c>
      <c r="E63" s="182">
        <v>0</v>
      </c>
      <c r="F63" s="182">
        <v>100</v>
      </c>
      <c r="G63" s="182">
        <v>0.01</v>
      </c>
    </row>
    <row r="64" spans="2:7" ht="15" customHeight="1" x14ac:dyDescent="0.2">
      <c r="B64" s="206" t="s">
        <v>87</v>
      </c>
      <c r="C64" s="200">
        <f t="shared" si="2"/>
        <v>80</v>
      </c>
      <c r="D64" s="182" t="s">
        <v>189</v>
      </c>
      <c r="E64" s="182">
        <v>0</v>
      </c>
      <c r="F64" s="182">
        <v>100</v>
      </c>
      <c r="G64" s="182">
        <v>0.01</v>
      </c>
    </row>
    <row r="65" spans="2:7" ht="15" customHeight="1" x14ac:dyDescent="0.2">
      <c r="B65" s="208" t="s">
        <v>399</v>
      </c>
      <c r="C65" s="209">
        <f>C17*100</f>
        <v>25</v>
      </c>
      <c r="D65" s="182" t="s">
        <v>407</v>
      </c>
      <c r="E65" s="190">
        <v>0</v>
      </c>
      <c r="F65" s="190">
        <v>100</v>
      </c>
      <c r="G65" s="207">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opLeftCell="A12" zoomScale="125" workbookViewId="0">
      <selection activeCell="C43" sqref="C4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190</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6"/>
      <c r="B2" s="247" t="s">
        <v>191</v>
      </c>
      <c r="C2" s="248" t="s">
        <v>73</v>
      </c>
      <c r="D2" s="277"/>
      <c r="E2" s="37"/>
      <c r="F2" s="37"/>
      <c r="G2" s="37"/>
      <c r="H2" s="11" t="s">
        <v>192</v>
      </c>
      <c r="J2" s="37"/>
      <c r="K2" s="37"/>
      <c r="L2" s="37"/>
      <c r="M2" s="37"/>
      <c r="N2" s="37"/>
      <c r="O2" s="37"/>
      <c r="P2" s="37"/>
      <c r="Q2" s="37"/>
      <c r="R2" s="37"/>
      <c r="S2" s="37"/>
      <c r="T2" s="37"/>
      <c r="U2" s="37"/>
      <c r="V2" s="37"/>
      <c r="W2" s="37"/>
      <c r="X2" s="37"/>
      <c r="Y2" s="37"/>
      <c r="Z2" s="37"/>
    </row>
    <row r="3" spans="1:26" ht="20.25" customHeight="1" x14ac:dyDescent="0.2">
      <c r="A3" s="246"/>
      <c r="B3" s="165" t="s">
        <v>0</v>
      </c>
      <c r="C3" s="169" t="s">
        <v>1</v>
      </c>
      <c r="D3" s="167" t="s">
        <v>400</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64" t="s">
        <v>525</v>
      </c>
      <c r="B4" s="172" t="s">
        <v>74</v>
      </c>
      <c r="C4" s="279">
        <v>4.8000000000000001E-2</v>
      </c>
      <c r="D4" s="171">
        <f t="shared" ref="D4:D14" si="0">C4/$C$19*(1-$C$17)</f>
        <v>2.5920000000000002E-2</v>
      </c>
      <c r="E4" s="37"/>
      <c r="F4" s="37"/>
      <c r="G4" s="37"/>
      <c r="H4" s="36" t="s">
        <v>75</v>
      </c>
      <c r="J4" s="37"/>
      <c r="K4" s="37"/>
      <c r="L4" s="37"/>
      <c r="M4" s="37"/>
      <c r="N4" s="37"/>
      <c r="O4" s="37"/>
      <c r="P4" s="37"/>
      <c r="Q4" s="37"/>
      <c r="R4" s="37"/>
      <c r="S4" s="37"/>
      <c r="T4" s="37"/>
      <c r="U4" s="37"/>
      <c r="V4" s="37"/>
      <c r="W4" s="37"/>
      <c r="X4" s="37"/>
      <c r="Y4" s="37"/>
      <c r="Z4" s="37"/>
    </row>
    <row r="5" spans="1:26" ht="30" customHeight="1" x14ac:dyDescent="0.2">
      <c r="A5" s="465"/>
      <c r="B5" s="172" t="s">
        <v>76</v>
      </c>
      <c r="C5" s="280">
        <v>9.4E-2</v>
      </c>
      <c r="D5" s="171">
        <f t="shared" si="0"/>
        <v>5.0760000000000007E-2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65"/>
      <c r="B6" s="172" t="s">
        <v>77</v>
      </c>
      <c r="C6" s="280">
        <v>5.6000000000000001E-2</v>
      </c>
      <c r="D6" s="171">
        <f t="shared" si="0"/>
        <v>3.0240000000000003E-2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65"/>
      <c r="B7" s="172" t="s">
        <v>78</v>
      </c>
      <c r="C7" s="280">
        <v>0.122</v>
      </c>
      <c r="D7" s="171">
        <f t="shared" si="0"/>
        <v>6.5880000000000008E-2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65"/>
      <c r="B8" s="173" t="s">
        <v>193</v>
      </c>
      <c r="C8" s="280">
        <v>0.115</v>
      </c>
      <c r="D8" s="171">
        <f t="shared" si="0"/>
        <v>6.2100000000000009E-2</v>
      </c>
      <c r="E8" s="37"/>
      <c r="F8" s="37"/>
      <c r="G8" s="37"/>
      <c r="H8" s="36" t="s">
        <v>194</v>
      </c>
      <c r="J8" s="37"/>
      <c r="K8" s="37"/>
      <c r="L8" s="37"/>
      <c r="M8" s="37"/>
      <c r="N8" s="37"/>
      <c r="O8" s="37"/>
      <c r="P8" s="37"/>
      <c r="Q8" s="37"/>
      <c r="R8" s="37"/>
      <c r="S8" s="37"/>
      <c r="T8" s="37"/>
      <c r="U8" s="37"/>
      <c r="V8" s="37"/>
      <c r="W8" s="37"/>
      <c r="X8" s="37"/>
      <c r="Y8" s="37"/>
      <c r="Z8" s="37"/>
    </row>
    <row r="9" spans="1:26" ht="14.25" customHeight="1" x14ac:dyDescent="0.2">
      <c r="A9" s="465"/>
      <c r="B9" s="173" t="s">
        <v>494</v>
      </c>
      <c r="C9" s="280">
        <v>4.2999999999999997E-2</v>
      </c>
      <c r="D9" s="171">
        <f t="shared" si="0"/>
        <v>2.3220000000000001E-2</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65"/>
      <c r="B10" s="173" t="s">
        <v>495</v>
      </c>
      <c r="C10" s="280">
        <v>1.9E-2</v>
      </c>
      <c r="D10" s="171">
        <f t="shared" si="0"/>
        <v>1.026E-2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65"/>
      <c r="B11" s="173" t="s">
        <v>195</v>
      </c>
      <c r="C11" s="280">
        <v>0.1</v>
      </c>
      <c r="D11" s="171">
        <f t="shared" si="0"/>
        <v>5.4000000000000006E-2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65"/>
      <c r="B12" s="173" t="s">
        <v>113</v>
      </c>
      <c r="C12" s="280">
        <v>0.115</v>
      </c>
      <c r="D12" s="171">
        <f t="shared" si="0"/>
        <v>6.2100000000000009E-2</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65"/>
      <c r="B13" s="173" t="s">
        <v>196</v>
      </c>
      <c r="C13" s="280">
        <v>0.25600000000000001</v>
      </c>
      <c r="D13" s="171">
        <f t="shared" si="0"/>
        <v>0.13824</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66"/>
      <c r="B14" s="173" t="s">
        <v>197</v>
      </c>
      <c r="C14" s="280">
        <v>3.2000000000000001E-2</v>
      </c>
      <c r="D14" s="171">
        <f t="shared" si="0"/>
        <v>1.728E-2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246"/>
      <c r="B15" s="166" t="s">
        <v>198</v>
      </c>
      <c r="C15" s="280">
        <v>0.16500000000000001</v>
      </c>
      <c r="D15" s="278">
        <f>C15</f>
        <v>0.16500000000000001</v>
      </c>
      <c r="E15" s="37"/>
      <c r="F15" s="37"/>
      <c r="G15" s="37"/>
      <c r="H15" s="40">
        <f>SUM(C4:C14)</f>
        <v>1</v>
      </c>
      <c r="J15" s="37"/>
      <c r="K15" s="37"/>
      <c r="L15" s="37"/>
      <c r="M15" s="37"/>
      <c r="N15" s="37"/>
      <c r="O15" s="37"/>
      <c r="P15" s="37"/>
      <c r="Q15" s="37"/>
      <c r="R15" s="37"/>
      <c r="S15" s="37"/>
      <c r="T15" s="37"/>
      <c r="U15" s="37"/>
      <c r="V15" s="37"/>
      <c r="W15" s="37"/>
      <c r="X15" s="37"/>
      <c r="Y15" s="37"/>
      <c r="Z15" s="37"/>
    </row>
    <row r="16" spans="1:26" ht="14.25" customHeight="1" x14ac:dyDescent="0.2">
      <c r="A16" s="274"/>
      <c r="B16" s="240" t="s">
        <v>87</v>
      </c>
      <c r="C16" s="281">
        <v>0.8</v>
      </c>
      <c r="D16" s="282">
        <f>C16</f>
        <v>0.8</v>
      </c>
      <c r="E16" s="37"/>
      <c r="F16" s="37"/>
      <c r="G16" s="37"/>
      <c r="H16" s="36"/>
      <c r="J16" s="37"/>
      <c r="K16" s="37"/>
      <c r="L16" s="37"/>
      <c r="M16" s="37"/>
      <c r="N16" s="37"/>
      <c r="O16" s="37"/>
      <c r="P16" s="37"/>
      <c r="Q16" s="37"/>
      <c r="R16" s="37"/>
      <c r="S16" s="37"/>
      <c r="T16" s="37"/>
      <c r="U16" s="37"/>
      <c r="V16" s="37"/>
      <c r="W16" s="37"/>
      <c r="X16" s="37"/>
      <c r="Y16" s="37"/>
      <c r="Z16" s="37"/>
    </row>
    <row r="17" spans="1:26" ht="14.25" customHeight="1" x14ac:dyDescent="0.2">
      <c r="A17" s="258"/>
      <c r="B17" s="228" t="s">
        <v>399</v>
      </c>
      <c r="C17" s="123">
        <v>0.46</v>
      </c>
      <c r="D17" s="230">
        <f>C17</f>
        <v>0.46</v>
      </c>
      <c r="E17" s="37"/>
      <c r="F17" s="37"/>
      <c r="G17" s="37"/>
      <c r="H17" s="37"/>
      <c r="I17" s="36"/>
      <c r="J17" s="37"/>
      <c r="K17" s="37"/>
      <c r="L17" s="37"/>
      <c r="M17" s="37"/>
      <c r="N17" s="37"/>
      <c r="O17" s="37"/>
      <c r="P17" s="37"/>
      <c r="Q17" s="37"/>
      <c r="R17" s="37"/>
      <c r="S17" s="37"/>
      <c r="T17" s="37"/>
      <c r="U17" s="37"/>
      <c r="V17" s="37"/>
      <c r="W17" s="37"/>
      <c r="X17" s="37"/>
      <c r="Y17" s="37"/>
      <c r="Z17" s="37"/>
    </row>
    <row r="18" spans="1:26" ht="14.25" customHeight="1" x14ac:dyDescent="0.2">
      <c r="B18" s="11"/>
      <c r="C18" s="128" t="s">
        <v>532</v>
      </c>
      <c r="E18" s="37"/>
      <c r="F18" s="37"/>
      <c r="G18" s="37"/>
      <c r="H18" s="37"/>
      <c r="I18" s="11"/>
      <c r="J18" s="37"/>
      <c r="K18" s="37"/>
      <c r="L18" s="37"/>
      <c r="M18" s="37"/>
      <c r="N18" s="37"/>
      <c r="O18" s="37"/>
      <c r="P18" s="37"/>
      <c r="Q18" s="37"/>
      <c r="R18" s="37"/>
      <c r="S18" s="37"/>
      <c r="T18" s="37"/>
      <c r="U18" s="37"/>
      <c r="V18" s="37"/>
      <c r="W18" s="37"/>
      <c r="X18" s="37"/>
      <c r="Y18" s="37"/>
      <c r="Z18" s="37"/>
    </row>
    <row r="19" spans="1:26" ht="14.25" customHeight="1" x14ac:dyDescent="0.2">
      <c r="B19" s="11" t="s">
        <v>401</v>
      </c>
      <c r="C19" s="113">
        <f>SUM(C4:C14)</f>
        <v>1</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c r="C20" s="37"/>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57" t="s">
        <v>535</v>
      </c>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342" t="s">
        <v>174</v>
      </c>
      <c r="C25" s="343" t="s">
        <v>53</v>
      </c>
      <c r="D25" s="344"/>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30" t="s">
        <v>33</v>
      </c>
      <c r="C26" s="345">
        <f>$D$8*$C$44</f>
        <v>291345.82662056992</v>
      </c>
      <c r="D26" s="356" t="s">
        <v>199</v>
      </c>
      <c r="E26" s="37"/>
      <c r="F26" s="37"/>
      <c r="G26" s="37"/>
      <c r="H26" s="37"/>
      <c r="J26" s="37"/>
      <c r="K26" s="37"/>
      <c r="L26" s="37"/>
      <c r="M26" s="37"/>
      <c r="N26" s="37"/>
      <c r="O26" s="37"/>
      <c r="P26" s="37"/>
      <c r="Q26" s="37"/>
      <c r="R26" s="37"/>
      <c r="S26" s="37"/>
      <c r="T26" s="37"/>
      <c r="U26" s="37"/>
      <c r="V26" s="37"/>
      <c r="W26" s="37"/>
      <c r="X26" s="37"/>
      <c r="Y26" s="37"/>
      <c r="Z26" s="37"/>
    </row>
    <row r="27" spans="1:26" ht="14.25" customHeight="1" x14ac:dyDescent="0.2">
      <c r="B27" s="332" t="s">
        <v>35</v>
      </c>
      <c r="C27" s="347">
        <v>0</v>
      </c>
      <c r="D27" s="348" t="s">
        <v>200</v>
      </c>
    </row>
    <row r="28" spans="1:26" ht="14.25" customHeight="1" x14ac:dyDescent="0.2">
      <c r="B28" s="330" t="s">
        <v>37</v>
      </c>
      <c r="C28" s="345">
        <f>(D11+D12)*C44</f>
        <v>544690.02368193504</v>
      </c>
      <c r="D28" s="356" t="s">
        <v>201</v>
      </c>
      <c r="E28" s="37"/>
      <c r="F28" s="37"/>
      <c r="G28" s="37"/>
      <c r="H28" s="37"/>
      <c r="J28" s="37"/>
      <c r="K28" s="37"/>
      <c r="L28" s="37"/>
      <c r="M28" s="37"/>
      <c r="N28" s="37"/>
      <c r="O28" s="37"/>
      <c r="P28" s="37"/>
      <c r="Q28" s="37"/>
      <c r="R28" s="37"/>
      <c r="S28" s="37"/>
      <c r="T28" s="37"/>
      <c r="U28" s="37"/>
      <c r="V28" s="37"/>
      <c r="W28" s="37"/>
      <c r="X28" s="37"/>
      <c r="Y28" s="37"/>
      <c r="Z28" s="37"/>
    </row>
    <row r="29" spans="1:26" ht="14.25" customHeight="1" x14ac:dyDescent="0.2">
      <c r="B29" s="330" t="s">
        <v>39</v>
      </c>
      <c r="C29" s="345">
        <f>D9*C44</f>
        <v>108938.00473638701</v>
      </c>
      <c r="D29" s="356" t="s">
        <v>202</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32" t="s">
        <v>41</v>
      </c>
      <c r="C30" s="349">
        <f>D4*$C$44*C16</f>
        <v>97284.171671564225</v>
      </c>
      <c r="D30" s="350" t="s">
        <v>92</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2" t="s">
        <v>43</v>
      </c>
      <c r="C31" s="349">
        <f>D5*$C$44*C16</f>
        <v>190514.83619014663</v>
      </c>
      <c r="D31" s="350" t="s">
        <v>93</v>
      </c>
      <c r="E31" s="37"/>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2" t="s">
        <v>44</v>
      </c>
      <c r="C32" s="349">
        <f>D6*$C$44*C16</f>
        <v>113498.20028349159</v>
      </c>
      <c r="D32" s="350" t="s">
        <v>94</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2" t="s">
        <v>45</v>
      </c>
      <c r="C33" s="349">
        <f>D7*$C$44*C16</f>
        <v>247263.93633189239</v>
      </c>
      <c r="D33" s="350" t="s">
        <v>95</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0" t="s">
        <v>46</v>
      </c>
      <c r="C34" s="345">
        <f>D17*C44*C15</f>
        <v>356089.34364736325</v>
      </c>
      <c r="D34" s="356" t="s">
        <v>203</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30" t="s">
        <v>48</v>
      </c>
      <c r="C35" s="351">
        <v>0</v>
      </c>
      <c r="D35" s="348" t="s">
        <v>204</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30" t="s">
        <v>50</v>
      </c>
      <c r="C36" s="351">
        <v>0</v>
      </c>
      <c r="D36" s="348" t="s">
        <v>204</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30" t="s">
        <v>51</v>
      </c>
      <c r="C37" s="352">
        <v>0</v>
      </c>
      <c r="D37" s="348" t="s">
        <v>205</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30" t="s">
        <v>53</v>
      </c>
      <c r="C38" s="352">
        <v>0</v>
      </c>
      <c r="D38" s="348" t="s">
        <v>206</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30" t="s">
        <v>55</v>
      </c>
      <c r="C39" s="352">
        <v>0</v>
      </c>
      <c r="D39" s="348" t="s">
        <v>207</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30" t="s">
        <v>57</v>
      </c>
      <c r="C40" s="352">
        <v>0</v>
      </c>
      <c r="D40" s="348" t="s">
        <v>208</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30" t="s">
        <v>60</v>
      </c>
      <c r="C41" s="352">
        <f>$D$14*$C$44</f>
        <v>81070.143059636845</v>
      </c>
      <c r="D41" s="356" t="s">
        <v>209</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35" t="s">
        <v>62</v>
      </c>
      <c r="C42" s="345">
        <f>D13*C44 + C44*SUM(D4:D7)*(1-C16) + C44*D17*(1-D15)</f>
        <v>2612729.3211754486</v>
      </c>
      <c r="D42" s="357" t="s">
        <v>210</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30" t="s">
        <v>64</v>
      </c>
      <c r="C43" s="345">
        <f>SUM(C26:C42)</f>
        <v>4643423.8073984357</v>
      </c>
      <c r="D43" s="356" t="s">
        <v>186</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0" t="s">
        <v>66</v>
      </c>
      <c r="C44" s="345">
        <f>Tourists!C37</f>
        <v>4691559.2048400948</v>
      </c>
      <c r="D44" s="356" t="s">
        <v>211</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30" t="s">
        <v>68</v>
      </c>
      <c r="C45" s="351">
        <f>C44-C43</f>
        <v>48135.397441659123</v>
      </c>
      <c r="D45" s="344"/>
      <c r="E45" s="37"/>
      <c r="F45" s="37"/>
      <c r="G45" s="37"/>
      <c r="H45" s="37"/>
      <c r="I45" s="11"/>
      <c r="J45" s="37"/>
      <c r="K45" s="37"/>
      <c r="L45" s="37"/>
      <c r="M45" s="37"/>
      <c r="N45" s="37"/>
      <c r="O45" s="37"/>
      <c r="P45" s="37"/>
      <c r="Q45" s="37"/>
      <c r="R45" s="37"/>
      <c r="S45" s="37"/>
      <c r="T45" s="37"/>
      <c r="U45" s="37"/>
      <c r="V45" s="37"/>
      <c r="W45" s="37"/>
      <c r="X45" s="37"/>
      <c r="Y45" s="37"/>
      <c r="Z45" s="37"/>
    </row>
    <row r="46" spans="2:26" ht="14.25" customHeight="1" x14ac:dyDescent="0.2">
      <c r="B46" s="339" t="s">
        <v>70</v>
      </c>
      <c r="C46" s="341">
        <f>C45/C44</f>
        <v>1.0259999999999946E-2</v>
      </c>
      <c r="D46" s="358"/>
      <c r="E46" s="37"/>
      <c r="F46" s="37"/>
      <c r="G46" s="37"/>
      <c r="H46" s="37"/>
      <c r="I46" s="11"/>
      <c r="J46" s="37"/>
      <c r="K46" s="37"/>
      <c r="L46" s="37"/>
      <c r="M46" s="37"/>
      <c r="N46" s="37"/>
      <c r="O46" s="37"/>
      <c r="P46" s="37"/>
      <c r="Q46" s="37"/>
      <c r="R46" s="37"/>
      <c r="S46" s="37"/>
      <c r="T46" s="37"/>
      <c r="U46" s="37"/>
      <c r="V46" s="37"/>
      <c r="W46" s="37"/>
      <c r="X46" s="37"/>
      <c r="Y46" s="37"/>
      <c r="Z46" s="37"/>
    </row>
    <row r="47" spans="2:26" ht="14.25" customHeight="1" x14ac:dyDescent="0.2">
      <c r="B47" s="11"/>
      <c r="C47" s="37"/>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11"/>
      <c r="C48" s="37"/>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23" t="s">
        <v>520</v>
      </c>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33" t="s">
        <v>0</v>
      </c>
      <c r="C51" s="34" t="s">
        <v>1</v>
      </c>
      <c r="D51" s="35" t="s">
        <v>2</v>
      </c>
      <c r="E51" s="35" t="s">
        <v>3</v>
      </c>
      <c r="F51" s="35" t="s">
        <v>4</v>
      </c>
      <c r="G51" s="35" t="s">
        <v>5</v>
      </c>
      <c r="H51" s="37"/>
      <c r="I51" s="11"/>
      <c r="J51" s="37"/>
      <c r="K51" s="37"/>
      <c r="L51" s="37"/>
      <c r="M51" s="37"/>
      <c r="N51" s="37"/>
      <c r="O51" s="37"/>
      <c r="P51" s="37"/>
      <c r="Q51" s="37"/>
      <c r="R51" s="37"/>
      <c r="S51" s="37"/>
      <c r="T51" s="37"/>
      <c r="U51" s="37"/>
      <c r="V51" s="37"/>
      <c r="W51" s="37"/>
      <c r="X51" s="37"/>
      <c r="Y51" s="37"/>
      <c r="Z51" s="37"/>
    </row>
    <row r="52" spans="2:26" ht="14.25" customHeight="1" x14ac:dyDescent="0.2">
      <c r="B52" s="199" t="s">
        <v>74</v>
      </c>
      <c r="C52" s="311">
        <f>C4*100</f>
        <v>4.8</v>
      </c>
      <c r="D52" s="312" t="s">
        <v>459</v>
      </c>
      <c r="E52" s="312">
        <v>0</v>
      </c>
      <c r="F52" s="312">
        <v>100</v>
      </c>
      <c r="G52" s="312">
        <v>0.01</v>
      </c>
      <c r="H52" s="37"/>
      <c r="I52" s="11"/>
      <c r="J52" s="37"/>
      <c r="K52" s="37"/>
      <c r="L52" s="37"/>
      <c r="M52" s="37"/>
      <c r="N52" s="37"/>
      <c r="O52" s="37"/>
      <c r="P52" s="37"/>
      <c r="Q52" s="37"/>
      <c r="R52" s="37"/>
      <c r="S52" s="37"/>
      <c r="T52" s="37"/>
      <c r="U52" s="37"/>
      <c r="V52" s="37"/>
      <c r="W52" s="37"/>
      <c r="X52" s="37"/>
      <c r="Y52" s="37"/>
      <c r="Z52" s="37"/>
    </row>
    <row r="53" spans="2:26" ht="14.25" customHeight="1" x14ac:dyDescent="0.2">
      <c r="B53" s="199" t="s">
        <v>76</v>
      </c>
      <c r="C53" s="311">
        <f t="shared" ref="C53:C62" si="1">C5*100</f>
        <v>9.4</v>
      </c>
      <c r="D53" s="312" t="s">
        <v>460</v>
      </c>
      <c r="E53" s="312">
        <v>0</v>
      </c>
      <c r="F53" s="312">
        <v>100</v>
      </c>
      <c r="G53" s="312">
        <v>0.01</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9" t="s">
        <v>77</v>
      </c>
      <c r="C54" s="311">
        <f t="shared" si="1"/>
        <v>5.6000000000000005</v>
      </c>
      <c r="D54" s="312" t="s">
        <v>461</v>
      </c>
      <c r="E54" s="312">
        <v>0</v>
      </c>
      <c r="F54" s="312">
        <v>100</v>
      </c>
      <c r="G54" s="312">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9" t="s">
        <v>78</v>
      </c>
      <c r="C55" s="311">
        <f t="shared" si="1"/>
        <v>12.2</v>
      </c>
      <c r="D55" s="312" t="s">
        <v>462</v>
      </c>
      <c r="E55" s="312">
        <v>0</v>
      </c>
      <c r="F55" s="312">
        <v>100</v>
      </c>
      <c r="G55" s="312">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9" t="s">
        <v>193</v>
      </c>
      <c r="C56" s="311">
        <f t="shared" si="1"/>
        <v>11.5</v>
      </c>
      <c r="D56" s="312" t="s">
        <v>463</v>
      </c>
      <c r="E56" s="312">
        <v>0</v>
      </c>
      <c r="F56" s="312">
        <v>100</v>
      </c>
      <c r="G56" s="312">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9" t="s">
        <v>511</v>
      </c>
      <c r="C57" s="311">
        <f t="shared" si="1"/>
        <v>4.3</v>
      </c>
      <c r="D57" s="182" t="s">
        <v>464</v>
      </c>
      <c r="E57" s="182">
        <v>0</v>
      </c>
      <c r="F57" s="312">
        <v>100</v>
      </c>
      <c r="G57" s="182">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9" t="s">
        <v>112</v>
      </c>
      <c r="C58" s="311">
        <f t="shared" si="1"/>
        <v>1.9</v>
      </c>
      <c r="D58" s="312" t="s">
        <v>465</v>
      </c>
      <c r="E58" s="312">
        <v>0</v>
      </c>
      <c r="F58" s="312">
        <v>100</v>
      </c>
      <c r="G58" s="312">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9" t="s">
        <v>195</v>
      </c>
      <c r="C59" s="311">
        <f t="shared" si="1"/>
        <v>10</v>
      </c>
      <c r="D59" s="312" t="s">
        <v>466</v>
      </c>
      <c r="E59" s="312">
        <v>0</v>
      </c>
      <c r="F59" s="312">
        <v>100</v>
      </c>
      <c r="G59" s="312">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9" t="s">
        <v>113</v>
      </c>
      <c r="C60" s="311">
        <f t="shared" si="1"/>
        <v>11.5</v>
      </c>
      <c r="D60" s="312" t="s">
        <v>467</v>
      </c>
      <c r="E60" s="312">
        <v>0</v>
      </c>
      <c r="F60" s="312">
        <v>100</v>
      </c>
      <c r="G60" s="312">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9" t="s">
        <v>196</v>
      </c>
      <c r="C61" s="311">
        <f t="shared" si="1"/>
        <v>25.6</v>
      </c>
      <c r="D61" s="312" t="s">
        <v>468</v>
      </c>
      <c r="E61" s="312">
        <v>0</v>
      </c>
      <c r="F61" s="312">
        <v>100</v>
      </c>
      <c r="G61" s="312">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9" t="s">
        <v>197</v>
      </c>
      <c r="C62" s="311">
        <f t="shared" si="1"/>
        <v>3.2</v>
      </c>
      <c r="D62" s="312" t="s">
        <v>474</v>
      </c>
      <c r="E62" s="312">
        <v>0</v>
      </c>
      <c r="F62" s="312">
        <v>100</v>
      </c>
      <c r="G62" s="312">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206" t="s">
        <v>198</v>
      </c>
      <c r="C63" s="311">
        <f t="shared" ref="C63:C64" si="2">D15*100</f>
        <v>16.5</v>
      </c>
      <c r="D63" s="312" t="s">
        <v>519</v>
      </c>
      <c r="E63" s="312">
        <v>0</v>
      </c>
      <c r="F63" s="312">
        <v>100</v>
      </c>
      <c r="G63" s="312">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206" t="s">
        <v>87</v>
      </c>
      <c r="C64" s="311">
        <f t="shared" si="2"/>
        <v>80</v>
      </c>
      <c r="D64" s="312" t="s">
        <v>212</v>
      </c>
      <c r="E64" s="312">
        <v>0</v>
      </c>
      <c r="F64" s="312">
        <v>100</v>
      </c>
      <c r="G64" s="31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208" t="s">
        <v>399</v>
      </c>
      <c r="C65" s="313">
        <f>C17*100</f>
        <v>46</v>
      </c>
      <c r="D65" s="182" t="s">
        <v>408</v>
      </c>
      <c r="E65" s="190">
        <v>0</v>
      </c>
      <c r="F65" s="190">
        <v>100</v>
      </c>
      <c r="G65" s="207">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H66" s="37"/>
      <c r="I66" s="11"/>
      <c r="J66" s="37"/>
      <c r="K66" s="37"/>
      <c r="L66" s="37"/>
      <c r="M66" s="37"/>
      <c r="N66" s="37"/>
      <c r="O66" s="37"/>
      <c r="P66" s="37"/>
      <c r="Q66" s="37"/>
      <c r="R66" s="37"/>
      <c r="S66" s="37"/>
      <c r="T66" s="37"/>
      <c r="U66" s="37"/>
      <c r="V66" s="37"/>
      <c r="W66" s="37"/>
      <c r="X66" s="37"/>
      <c r="Y66" s="37"/>
      <c r="Z66" s="37"/>
    </row>
    <row r="67" spans="2:26" ht="14.25" customHeight="1" x14ac:dyDescent="0.2">
      <c r="B67" s="11"/>
      <c r="C67" s="37"/>
      <c r="E67" s="37"/>
      <c r="F67" s="37"/>
      <c r="G67" s="37"/>
      <c r="H67" s="37"/>
      <c r="I67" s="11"/>
      <c r="J67" s="37"/>
      <c r="K67" s="37"/>
      <c r="L67" s="37"/>
      <c r="M67" s="37"/>
      <c r="N67" s="37"/>
      <c r="O67" s="37"/>
      <c r="P67" s="37"/>
      <c r="Q67" s="37"/>
      <c r="R67" s="37"/>
      <c r="S67" s="37"/>
      <c r="T67" s="37"/>
      <c r="U67" s="37"/>
      <c r="V67" s="37"/>
      <c r="W67" s="37"/>
      <c r="X67" s="37"/>
      <c r="Y67" s="37"/>
      <c r="Z67" s="37"/>
    </row>
    <row r="68" spans="2:26" ht="14.25" customHeight="1" x14ac:dyDescent="0.2">
      <c r="B68" s="11"/>
      <c r="C68" s="37"/>
      <c r="E68" s="37"/>
      <c r="F68" s="37"/>
      <c r="G68" s="37"/>
      <c r="H68" s="37"/>
      <c r="I68" s="11"/>
      <c r="J68" s="37"/>
      <c r="K68" s="37"/>
      <c r="L68" s="37"/>
      <c r="M68" s="37"/>
      <c r="N68" s="37"/>
      <c r="O68" s="37"/>
      <c r="P68" s="37"/>
      <c r="Q68" s="37"/>
      <c r="R68" s="37"/>
      <c r="S68" s="37"/>
      <c r="T68" s="37"/>
      <c r="U68" s="37"/>
      <c r="V68" s="37"/>
      <c r="W68" s="37"/>
      <c r="X68" s="37"/>
      <c r="Y68" s="37"/>
      <c r="Z68" s="37"/>
    </row>
    <row r="69" spans="2:26" ht="14.25" customHeight="1" x14ac:dyDescent="0.2">
      <c r="B69" s="11"/>
      <c r="C69" s="37"/>
      <c r="E69" s="37"/>
      <c r="F69" s="37"/>
      <c r="G69" s="37"/>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topLeftCell="A49" zoomScale="125" workbookViewId="0">
      <selection activeCell="B2" sqref="B2"/>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547</v>
      </c>
      <c r="C1" s="28"/>
      <c r="H1" s="8"/>
    </row>
    <row r="2" spans="1:8" ht="63.75" customHeight="1" x14ac:dyDescent="0.2">
      <c r="A2" s="249"/>
      <c r="B2" s="250" t="s">
        <v>522</v>
      </c>
      <c r="C2" s="251" t="s">
        <v>523</v>
      </c>
      <c r="D2" s="252"/>
      <c r="H2" s="8"/>
    </row>
    <row r="3" spans="1:8" ht="14.25" customHeight="1" x14ac:dyDescent="0.2">
      <c r="A3" s="268"/>
      <c r="B3" s="260" t="s">
        <v>0</v>
      </c>
      <c r="C3" s="269" t="s">
        <v>1</v>
      </c>
      <c r="D3" s="267" t="s">
        <v>524</v>
      </c>
      <c r="E3" s="10"/>
      <c r="F3" s="10"/>
      <c r="G3" s="10"/>
      <c r="H3" s="10" t="s">
        <v>6</v>
      </c>
    </row>
    <row r="4" spans="1:8" ht="29.25" customHeight="1" x14ac:dyDescent="0.2">
      <c r="A4" s="464" t="s">
        <v>525</v>
      </c>
      <c r="B4" s="175" t="s">
        <v>74</v>
      </c>
      <c r="C4" s="168">
        <v>0</v>
      </c>
      <c r="D4" s="215">
        <f t="shared" ref="D4:D14" si="0">C4/$C$19*(1-$C$17)</f>
        <v>0</v>
      </c>
      <c r="E4" s="29"/>
      <c r="F4" s="158"/>
      <c r="G4" s="30"/>
      <c r="H4" s="31" t="s">
        <v>75</v>
      </c>
    </row>
    <row r="5" spans="1:8" ht="36" customHeight="1" x14ac:dyDescent="0.2">
      <c r="A5" s="465"/>
      <c r="B5" s="172" t="s">
        <v>76</v>
      </c>
      <c r="C5" s="168">
        <v>5.3333333333333297E-3</v>
      </c>
      <c r="D5" s="215">
        <f t="shared" si="0"/>
        <v>3.6222222222222168E-3</v>
      </c>
      <c r="F5" s="158"/>
      <c r="G5" s="16"/>
      <c r="H5" s="11"/>
    </row>
    <row r="6" spans="1:8" ht="33.75" customHeight="1" x14ac:dyDescent="0.2">
      <c r="A6" s="465"/>
      <c r="B6" s="172" t="s">
        <v>77</v>
      </c>
      <c r="C6" s="168">
        <v>1.6666666666666701E-2</v>
      </c>
      <c r="D6" s="215">
        <f t="shared" si="0"/>
        <v>1.1319444444444458E-2</v>
      </c>
      <c r="F6" s="158"/>
      <c r="G6" s="16"/>
      <c r="H6" s="11"/>
    </row>
    <row r="7" spans="1:8" ht="33.75" customHeight="1" x14ac:dyDescent="0.2">
      <c r="A7" s="465"/>
      <c r="B7" s="172" t="s">
        <v>78</v>
      </c>
      <c r="C7" s="168">
        <v>3.8666666666666703E-2</v>
      </c>
      <c r="D7" s="215">
        <f t="shared" si="0"/>
        <v>2.6261111111111114E-2</v>
      </c>
      <c r="F7" s="158"/>
      <c r="G7" s="16"/>
      <c r="H7" s="11"/>
    </row>
    <row r="8" spans="1:8" ht="33.75" customHeight="1" x14ac:dyDescent="0.2">
      <c r="A8" s="465"/>
      <c r="B8" s="173" t="s">
        <v>111</v>
      </c>
      <c r="C8" s="168">
        <v>0.3062500000000003</v>
      </c>
      <c r="D8" s="215">
        <f t="shared" si="0"/>
        <v>0.20799479166666668</v>
      </c>
      <c r="F8" s="158"/>
      <c r="G8" s="16"/>
      <c r="H8" s="11"/>
    </row>
    <row r="9" spans="1:8" ht="33.75" customHeight="1" x14ac:dyDescent="0.2">
      <c r="A9" s="465"/>
      <c r="B9" s="173" t="s">
        <v>512</v>
      </c>
      <c r="C9" s="168">
        <v>0</v>
      </c>
      <c r="D9" s="215">
        <f t="shared" si="0"/>
        <v>0</v>
      </c>
      <c r="F9" s="158"/>
      <c r="G9" s="16"/>
      <c r="H9" s="11"/>
    </row>
    <row r="10" spans="1:8" ht="18" customHeight="1" x14ac:dyDescent="0.2">
      <c r="A10" s="465"/>
      <c r="B10" s="173" t="s">
        <v>112</v>
      </c>
      <c r="C10" s="168">
        <v>2.0416666666666687E-2</v>
      </c>
      <c r="D10" s="215">
        <f t="shared" si="0"/>
        <v>1.3866319444444447E-2</v>
      </c>
      <c r="F10" s="158"/>
      <c r="G10" s="16"/>
      <c r="H10" s="11"/>
    </row>
    <row r="11" spans="1:8" ht="27" customHeight="1" x14ac:dyDescent="0.2">
      <c r="A11" s="465"/>
      <c r="B11" s="173" t="s">
        <v>81</v>
      </c>
      <c r="C11" s="168">
        <v>0.23733333333333329</v>
      </c>
      <c r="D11" s="215">
        <f t="shared" si="0"/>
        <v>0.16118888888888872</v>
      </c>
      <c r="F11" s="158"/>
      <c r="G11" s="16"/>
      <c r="H11" s="11"/>
    </row>
    <row r="12" spans="1:8" ht="18" customHeight="1" x14ac:dyDescent="0.2">
      <c r="A12" s="465"/>
      <c r="B12" s="173" t="s">
        <v>113</v>
      </c>
      <c r="C12" s="168">
        <v>0.18666666666666701</v>
      </c>
      <c r="D12" s="215">
        <f t="shared" si="0"/>
        <v>0.12677777777777791</v>
      </c>
      <c r="F12" s="158"/>
      <c r="G12" s="16"/>
      <c r="H12" s="11"/>
    </row>
    <row r="13" spans="1:8" ht="41.25" customHeight="1" x14ac:dyDescent="0.2">
      <c r="A13" s="465"/>
      <c r="B13" s="173" t="s">
        <v>114</v>
      </c>
      <c r="C13" s="168">
        <v>0.16133333333333372</v>
      </c>
      <c r="D13" s="215">
        <f t="shared" si="0"/>
        <v>0.10957222222222239</v>
      </c>
      <c r="F13" s="158"/>
      <c r="G13" s="16"/>
      <c r="H13" s="32"/>
    </row>
    <row r="14" spans="1:8" ht="16.5" customHeight="1" x14ac:dyDescent="0.2">
      <c r="A14" s="466"/>
      <c r="B14" s="173" t="s">
        <v>115</v>
      </c>
      <c r="C14" s="168">
        <v>2.73333333333333E-2</v>
      </c>
      <c r="D14" s="215">
        <f t="shared" si="0"/>
        <v>1.8563888888888852E-2</v>
      </c>
      <c r="G14" s="16"/>
      <c r="H14" s="11"/>
    </row>
    <row r="15" spans="1:8" ht="16.5" customHeight="1" x14ac:dyDescent="0.2">
      <c r="A15" s="235"/>
      <c r="B15" s="166" t="s">
        <v>86</v>
      </c>
      <c r="C15" s="114">
        <v>1</v>
      </c>
      <c r="D15" s="236">
        <f>C15</f>
        <v>1</v>
      </c>
      <c r="G15" s="16"/>
      <c r="H15" s="11"/>
    </row>
    <row r="16" spans="1:8" ht="16.5" customHeight="1" x14ac:dyDescent="0.2">
      <c r="A16" s="235"/>
      <c r="B16" s="240" t="s">
        <v>87</v>
      </c>
      <c r="C16" s="114">
        <v>1</v>
      </c>
      <c r="D16" s="237">
        <f>C16</f>
        <v>1</v>
      </c>
      <c r="E16" s="6"/>
      <c r="F16" s="6"/>
      <c r="G16" s="17"/>
      <c r="H16" s="18"/>
    </row>
    <row r="17" spans="1:8" ht="27" customHeight="1" x14ac:dyDescent="0.2">
      <c r="A17" s="238"/>
      <c r="B17" s="228" t="s">
        <v>399</v>
      </c>
      <c r="C17" s="219">
        <v>0.32083333333333336</v>
      </c>
      <c r="D17" s="225">
        <f>C17</f>
        <v>0.32083333333333336</v>
      </c>
      <c r="H17" s="8"/>
    </row>
    <row r="18" spans="1:8" ht="16.5" customHeight="1" x14ac:dyDescent="0.2">
      <c r="A18" s="19"/>
      <c r="B18" s="11"/>
      <c r="C18" s="128" t="s">
        <v>532</v>
      </c>
      <c r="D18" s="8"/>
    </row>
    <row r="19" spans="1:8" ht="16.5" customHeight="1" x14ac:dyDescent="0.2">
      <c r="A19" s="19"/>
      <c r="B19" s="11" t="s">
        <v>401</v>
      </c>
      <c r="C19" s="113">
        <f>SUM(C4:C14)</f>
        <v>1.0000000000000009</v>
      </c>
      <c r="D19" s="159">
        <f>SUM(D4:D14)</f>
        <v>0.67916666666666681</v>
      </c>
    </row>
    <row r="20" spans="1:8" ht="16.5" customHeight="1" x14ac:dyDescent="0.2">
      <c r="A20" s="19"/>
      <c r="B20" s="11"/>
      <c r="C20" s="12"/>
      <c r="D20" s="159">
        <f>D19+D17</f>
        <v>1.0000000000000002</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535</v>
      </c>
      <c r="C23" s="12"/>
      <c r="D23" s="8"/>
    </row>
    <row r="24" spans="1:8" ht="16.5" customHeight="1" x14ac:dyDescent="0.2">
      <c r="A24" s="19"/>
      <c r="B24" s="391" t="s">
        <v>116</v>
      </c>
      <c r="C24" s="392" t="s">
        <v>35</v>
      </c>
      <c r="D24" s="393"/>
    </row>
    <row r="25" spans="1:8" ht="16.5" customHeight="1" x14ac:dyDescent="0.2">
      <c r="A25" s="19"/>
      <c r="B25" s="332" t="s">
        <v>33</v>
      </c>
      <c r="C25" s="367">
        <f>$D$8*$C$44</f>
        <v>9188159.1074739527</v>
      </c>
      <c r="D25" s="383" t="s">
        <v>117</v>
      </c>
    </row>
    <row r="26" spans="1:8" ht="16.5" customHeight="1" x14ac:dyDescent="0.2">
      <c r="A26" s="19"/>
      <c r="B26" s="332" t="s">
        <v>35</v>
      </c>
      <c r="C26" s="367">
        <v>0</v>
      </c>
      <c r="D26" s="384" t="s">
        <v>118</v>
      </c>
    </row>
    <row r="27" spans="1:8" ht="16.5" customHeight="1" x14ac:dyDescent="0.2">
      <c r="A27" s="19"/>
      <c r="B27" s="332" t="s">
        <v>37</v>
      </c>
      <c r="C27" s="367">
        <f>SUM($D$11:$D$12)*$C$44</f>
        <v>12720912.527572097</v>
      </c>
      <c r="D27" s="383" t="s">
        <v>119</v>
      </c>
    </row>
    <row r="28" spans="1:8" ht="16.5" customHeight="1" x14ac:dyDescent="0.2">
      <c r="A28" s="19"/>
      <c r="B28" s="332" t="s">
        <v>39</v>
      </c>
      <c r="C28" s="367">
        <f>$D$10*$C$44</f>
        <v>612543.94049826358</v>
      </c>
      <c r="D28" s="383" t="s">
        <v>120</v>
      </c>
    </row>
    <row r="29" spans="1:8" ht="16.5" customHeight="1" x14ac:dyDescent="0.2">
      <c r="A29" s="19"/>
      <c r="B29" s="332" t="s">
        <v>41</v>
      </c>
      <c r="C29" s="367">
        <f>D4*$C$44*C16</f>
        <v>0</v>
      </c>
      <c r="D29" s="384" t="s">
        <v>92</v>
      </c>
    </row>
    <row r="30" spans="1:8" ht="16.5" customHeight="1" x14ac:dyDescent="0.2">
      <c r="A30" s="19"/>
      <c r="B30" s="332" t="s">
        <v>43</v>
      </c>
      <c r="C30" s="367">
        <f>D5*$C$44*C16</f>
        <v>160011.47833424003</v>
      </c>
      <c r="D30" s="384" t="s">
        <v>93</v>
      </c>
    </row>
    <row r="31" spans="1:8" ht="16.5" customHeight="1" x14ac:dyDescent="0.2">
      <c r="A31" s="19"/>
      <c r="B31" s="332" t="s">
        <v>44</v>
      </c>
      <c r="C31" s="367">
        <f>D6*$C$44*C16</f>
        <v>500035.86979450146</v>
      </c>
      <c r="D31" s="384" t="s">
        <v>94</v>
      </c>
    </row>
    <row r="32" spans="1:8" ht="16.5" customHeight="1" x14ac:dyDescent="0.2">
      <c r="A32" s="19"/>
      <c r="B32" s="332" t="s">
        <v>45</v>
      </c>
      <c r="C32" s="367">
        <f>D7*$C$44*C16</f>
        <v>1160083.2179232419</v>
      </c>
      <c r="D32" s="384" t="s">
        <v>95</v>
      </c>
    </row>
    <row r="33" spans="1:8" ht="16.5" customHeight="1" x14ac:dyDescent="0.2">
      <c r="A33" s="19"/>
      <c r="B33" s="332" t="s">
        <v>46</v>
      </c>
      <c r="C33" s="367">
        <f>D17*$C$44*C15</f>
        <v>14172795.8187153</v>
      </c>
      <c r="D33" s="384" t="s">
        <v>96</v>
      </c>
    </row>
    <row r="34" spans="1:8" ht="16.5" customHeight="1" x14ac:dyDescent="0.2">
      <c r="A34" s="19"/>
      <c r="B34" s="332" t="s">
        <v>48</v>
      </c>
      <c r="C34" s="367">
        <v>0</v>
      </c>
      <c r="D34" s="384" t="s">
        <v>121</v>
      </c>
    </row>
    <row r="35" spans="1:8" ht="16.5" customHeight="1" x14ac:dyDescent="0.2">
      <c r="A35" s="19"/>
      <c r="B35" s="332" t="s">
        <v>50</v>
      </c>
      <c r="C35" s="385">
        <v>0</v>
      </c>
      <c r="D35" s="384" t="s">
        <v>121</v>
      </c>
    </row>
    <row r="36" spans="1:8" ht="16.5" customHeight="1" x14ac:dyDescent="0.2">
      <c r="A36" s="19"/>
      <c r="B36" s="332" t="s">
        <v>51</v>
      </c>
      <c r="C36" s="385">
        <v>0</v>
      </c>
      <c r="D36" s="384" t="s">
        <v>122</v>
      </c>
    </row>
    <row r="37" spans="1:8" ht="16.5" customHeight="1" x14ac:dyDescent="0.2">
      <c r="A37" s="19"/>
      <c r="B37" s="332" t="s">
        <v>53</v>
      </c>
      <c r="C37" s="385">
        <v>0</v>
      </c>
      <c r="D37" s="384" t="s">
        <v>123</v>
      </c>
    </row>
    <row r="38" spans="1:8" ht="16.5" customHeight="1" x14ac:dyDescent="0.2">
      <c r="A38" s="19"/>
      <c r="B38" s="332" t="s">
        <v>55</v>
      </c>
      <c r="C38" s="385">
        <v>0</v>
      </c>
      <c r="D38" s="384" t="s">
        <v>124</v>
      </c>
    </row>
    <row r="39" spans="1:8" ht="16.5" customHeight="1" x14ac:dyDescent="0.2">
      <c r="A39" s="19"/>
      <c r="B39" s="332" t="s">
        <v>57</v>
      </c>
      <c r="C39" s="385">
        <v>0</v>
      </c>
      <c r="D39" s="384" t="s">
        <v>125</v>
      </c>
    </row>
    <row r="40" spans="1:8" ht="16.5" customHeight="1" x14ac:dyDescent="0.2">
      <c r="A40" s="19"/>
      <c r="B40" s="332" t="s">
        <v>58</v>
      </c>
      <c r="C40" s="367">
        <v>0</v>
      </c>
      <c r="D40" s="384" t="s">
        <v>126</v>
      </c>
    </row>
    <row r="41" spans="1:8" ht="16.5" customHeight="1" x14ac:dyDescent="0.2">
      <c r="A41" s="19"/>
      <c r="B41" s="332" t="s">
        <v>60</v>
      </c>
      <c r="C41" s="367">
        <f>$D$14*$C$44</f>
        <v>820058.82646297978</v>
      </c>
      <c r="D41" s="384" t="s">
        <v>127</v>
      </c>
    </row>
    <row r="42" spans="1:8" ht="16.5" customHeight="1" x14ac:dyDescent="0.2">
      <c r="A42" s="19"/>
      <c r="B42" s="386" t="s">
        <v>62</v>
      </c>
      <c r="C42" s="367">
        <f>$D$13*$C$44 + C44*SUM(D4:D7)*(1-C16) + C44*C17*(1-C15)</f>
        <v>4840347.2196107758</v>
      </c>
      <c r="D42" s="384" t="s">
        <v>128</v>
      </c>
    </row>
    <row r="43" spans="1:8" ht="16.5" customHeight="1" x14ac:dyDescent="0.2">
      <c r="A43" s="19"/>
      <c r="B43" s="332" t="s">
        <v>64</v>
      </c>
      <c r="C43" s="387">
        <f>SUM($C$25:$C$42)</f>
        <v>44174948.006385349</v>
      </c>
      <c r="D43" s="384" t="s">
        <v>65</v>
      </c>
    </row>
    <row r="44" spans="1:8" ht="33" customHeight="1" x14ac:dyDescent="0.2">
      <c r="A44" s="19"/>
      <c r="B44" s="332" t="s">
        <v>66</v>
      </c>
      <c r="C44" s="385">
        <f>SUM(Tourists!C26)</f>
        <v>44174948.006385349</v>
      </c>
      <c r="D44" s="384" t="s">
        <v>129</v>
      </c>
    </row>
    <row r="45" spans="1:8" ht="16.5" customHeight="1" x14ac:dyDescent="0.2">
      <c r="A45" s="19"/>
      <c r="B45" s="332" t="s">
        <v>68</v>
      </c>
      <c r="C45" s="385">
        <f>C44-C43</f>
        <v>0</v>
      </c>
      <c r="D45" s="384" t="s">
        <v>106</v>
      </c>
    </row>
    <row r="46" spans="1:8" ht="16.5" customHeight="1" x14ac:dyDescent="0.2">
      <c r="A46" s="19"/>
      <c r="B46" s="388" t="s">
        <v>70</v>
      </c>
      <c r="C46" s="389">
        <f>C45/C44</f>
        <v>0</v>
      </c>
      <c r="D46" s="390" t="s">
        <v>107</v>
      </c>
    </row>
    <row r="47" spans="1:8" ht="27" customHeight="1" x14ac:dyDescent="0.2">
      <c r="A47" s="19"/>
      <c r="B47" s="309" t="s">
        <v>108</v>
      </c>
      <c r="C47" s="310">
        <f>C33/C44</f>
        <v>0.32083333333333336</v>
      </c>
      <c r="D47" s="170"/>
      <c r="H47" s="8"/>
    </row>
    <row r="48" spans="1:8" ht="27" customHeight="1" x14ac:dyDescent="0.2">
      <c r="A48" s="19"/>
      <c r="C48" s="28"/>
      <c r="H48" s="8"/>
    </row>
    <row r="49" spans="1:8" ht="27" customHeight="1" x14ac:dyDescent="0.2">
      <c r="A49" s="19"/>
      <c r="C49" s="28"/>
      <c r="H49" s="8"/>
    </row>
    <row r="50" spans="1:8" ht="27" customHeight="1" x14ac:dyDescent="0.2">
      <c r="A50" s="19"/>
      <c r="B50" s="23" t="s">
        <v>520</v>
      </c>
      <c r="H50" s="8"/>
    </row>
    <row r="51" spans="1:8" ht="27" customHeight="1" x14ac:dyDescent="0.2">
      <c r="A51" s="19"/>
      <c r="B51" s="33" t="s">
        <v>0</v>
      </c>
      <c r="C51" s="34" t="s">
        <v>1</v>
      </c>
      <c r="D51" s="35" t="s">
        <v>2</v>
      </c>
      <c r="E51" s="35" t="s">
        <v>3</v>
      </c>
      <c r="F51" s="35" t="s">
        <v>4</v>
      </c>
      <c r="G51" s="35" t="s">
        <v>5</v>
      </c>
      <c r="H51" s="8"/>
    </row>
    <row r="52" spans="1:8" ht="27" customHeight="1" x14ac:dyDescent="0.2">
      <c r="A52" s="19"/>
      <c r="B52" s="199" t="s">
        <v>74</v>
      </c>
      <c r="C52" s="200">
        <f>C4*100</f>
        <v>0</v>
      </c>
      <c r="D52" s="201" t="s">
        <v>418</v>
      </c>
      <c r="E52" s="201">
        <v>0</v>
      </c>
      <c r="F52" s="201">
        <v>100</v>
      </c>
      <c r="G52" s="202">
        <v>0.01</v>
      </c>
      <c r="H52" s="8"/>
    </row>
    <row r="53" spans="1:8" ht="27" customHeight="1" x14ac:dyDescent="0.2">
      <c r="A53" s="19"/>
      <c r="B53" s="199" t="s">
        <v>76</v>
      </c>
      <c r="C53" s="200">
        <f t="shared" ref="C53:C62" si="1">C5*100</f>
        <v>0.53333333333333299</v>
      </c>
      <c r="D53" s="182" t="s">
        <v>419</v>
      </c>
      <c r="E53" s="182">
        <v>0</v>
      </c>
      <c r="F53" s="182">
        <v>100</v>
      </c>
      <c r="G53" s="203">
        <v>0.01</v>
      </c>
      <c r="H53" s="8"/>
    </row>
    <row r="54" spans="1:8" ht="27" customHeight="1" x14ac:dyDescent="0.2">
      <c r="A54" s="19"/>
      <c r="B54" s="199" t="s">
        <v>77</v>
      </c>
      <c r="C54" s="200">
        <f t="shared" si="1"/>
        <v>1.6666666666666701</v>
      </c>
      <c r="D54" s="201" t="s">
        <v>420</v>
      </c>
      <c r="E54" s="182">
        <v>0</v>
      </c>
      <c r="F54" s="182">
        <v>100</v>
      </c>
      <c r="G54" s="203">
        <v>0.01</v>
      </c>
      <c r="H54" s="8"/>
    </row>
    <row r="55" spans="1:8" ht="27" customHeight="1" x14ac:dyDescent="0.2">
      <c r="A55" s="19"/>
      <c r="B55" s="199" t="s">
        <v>78</v>
      </c>
      <c r="C55" s="200">
        <f t="shared" si="1"/>
        <v>3.8666666666666702</v>
      </c>
      <c r="D55" s="182" t="s">
        <v>421</v>
      </c>
      <c r="E55" s="182">
        <v>0</v>
      </c>
      <c r="F55" s="182">
        <v>100</v>
      </c>
      <c r="G55" s="203">
        <v>0.01</v>
      </c>
      <c r="H55" s="8"/>
    </row>
    <row r="56" spans="1:8" ht="27" customHeight="1" x14ac:dyDescent="0.2">
      <c r="A56" s="19"/>
      <c r="B56" s="199" t="s">
        <v>111</v>
      </c>
      <c r="C56" s="200">
        <f t="shared" si="1"/>
        <v>30.625000000000028</v>
      </c>
      <c r="D56" s="182" t="s">
        <v>422</v>
      </c>
      <c r="E56" s="182">
        <v>0</v>
      </c>
      <c r="F56" s="182">
        <v>100</v>
      </c>
      <c r="G56" s="204">
        <v>0.01</v>
      </c>
      <c r="H56" s="8"/>
    </row>
    <row r="57" spans="1:8" ht="27" customHeight="1" x14ac:dyDescent="0.2">
      <c r="A57" s="19"/>
      <c r="B57" s="205" t="s">
        <v>510</v>
      </c>
      <c r="C57" s="200">
        <f t="shared" si="1"/>
        <v>0</v>
      </c>
      <c r="D57" s="182" t="s">
        <v>423</v>
      </c>
      <c r="E57" s="182">
        <v>0</v>
      </c>
      <c r="F57" s="182">
        <v>100</v>
      </c>
      <c r="G57" s="182">
        <v>0.01</v>
      </c>
      <c r="H57" s="8"/>
    </row>
    <row r="58" spans="1:8" ht="27" customHeight="1" x14ac:dyDescent="0.2">
      <c r="A58" s="19"/>
      <c r="B58" s="199" t="s">
        <v>112</v>
      </c>
      <c r="C58" s="200">
        <f t="shared" si="1"/>
        <v>2.0416666666666687</v>
      </c>
      <c r="D58" s="182" t="s">
        <v>424</v>
      </c>
      <c r="E58" s="182">
        <v>0</v>
      </c>
      <c r="F58" s="182">
        <v>100</v>
      </c>
      <c r="G58" s="204">
        <v>0.01</v>
      </c>
      <c r="H58" s="8"/>
    </row>
    <row r="59" spans="1:8" ht="27" customHeight="1" x14ac:dyDescent="0.2">
      <c r="A59" s="19"/>
      <c r="B59" s="199" t="s">
        <v>81</v>
      </c>
      <c r="C59" s="200">
        <f t="shared" si="1"/>
        <v>23.733333333333327</v>
      </c>
      <c r="D59" s="182" t="s">
        <v>425</v>
      </c>
      <c r="E59" s="182">
        <v>0</v>
      </c>
      <c r="F59" s="182">
        <v>100</v>
      </c>
      <c r="G59" s="204">
        <v>0.01</v>
      </c>
      <c r="H59" s="8"/>
    </row>
    <row r="60" spans="1:8" ht="27" customHeight="1" x14ac:dyDescent="0.2">
      <c r="A60" s="19"/>
      <c r="B60" s="199" t="s">
        <v>113</v>
      </c>
      <c r="C60" s="200">
        <f t="shared" si="1"/>
        <v>18.6666666666667</v>
      </c>
      <c r="D60" s="182" t="s">
        <v>426</v>
      </c>
      <c r="E60" s="182">
        <v>0</v>
      </c>
      <c r="F60" s="182">
        <v>100</v>
      </c>
      <c r="G60" s="204">
        <v>0.01</v>
      </c>
      <c r="H60" s="8"/>
    </row>
    <row r="61" spans="1:8" ht="27" customHeight="1" x14ac:dyDescent="0.2">
      <c r="A61" s="19"/>
      <c r="B61" s="199" t="s">
        <v>114</v>
      </c>
      <c r="C61" s="200">
        <f t="shared" si="1"/>
        <v>16.133333333333372</v>
      </c>
      <c r="D61" s="182" t="s">
        <v>427</v>
      </c>
      <c r="E61" s="182">
        <v>0</v>
      </c>
      <c r="F61" s="182">
        <v>100</v>
      </c>
      <c r="G61" s="204">
        <v>0.01</v>
      </c>
      <c r="H61" s="8"/>
    </row>
    <row r="62" spans="1:8" ht="27" customHeight="1" x14ac:dyDescent="0.2">
      <c r="A62" s="19"/>
      <c r="B62" s="206" t="s">
        <v>130</v>
      </c>
      <c r="C62" s="200">
        <f t="shared" si="1"/>
        <v>2.7333333333333298</v>
      </c>
      <c r="D62" s="182" t="s">
        <v>470</v>
      </c>
      <c r="E62" s="182">
        <v>0</v>
      </c>
      <c r="F62" s="182">
        <v>100</v>
      </c>
      <c r="G62" s="204">
        <v>0.01</v>
      </c>
      <c r="H62" s="8"/>
    </row>
    <row r="63" spans="1:8" ht="27" customHeight="1" x14ac:dyDescent="0.2">
      <c r="A63" s="19"/>
      <c r="B63" s="206" t="s">
        <v>86</v>
      </c>
      <c r="C63" s="200">
        <f t="shared" ref="C63:C64" si="2">D15*100</f>
        <v>100</v>
      </c>
      <c r="D63" s="182" t="s">
        <v>515</v>
      </c>
      <c r="E63" s="182">
        <v>0</v>
      </c>
      <c r="F63" s="182">
        <v>100</v>
      </c>
      <c r="G63" s="204">
        <v>0.01</v>
      </c>
      <c r="H63" s="8"/>
    </row>
    <row r="64" spans="1:8" ht="27" customHeight="1" x14ac:dyDescent="0.2">
      <c r="A64" s="19"/>
      <c r="B64" s="206" t="s">
        <v>87</v>
      </c>
      <c r="C64" s="200">
        <f t="shared" si="2"/>
        <v>100</v>
      </c>
      <c r="D64" s="190" t="s">
        <v>392</v>
      </c>
      <c r="E64" s="190">
        <v>0</v>
      </c>
      <c r="F64" s="190">
        <v>100</v>
      </c>
      <c r="G64" s="207">
        <v>0.01</v>
      </c>
      <c r="H64" s="8"/>
    </row>
    <row r="65" spans="1:8" ht="27" customHeight="1" x14ac:dyDescent="0.2">
      <c r="A65" s="19"/>
      <c r="B65" s="208" t="s">
        <v>399</v>
      </c>
      <c r="C65" s="209">
        <f>C17*100</f>
        <v>32.083333333333336</v>
      </c>
      <c r="D65" s="182" t="s">
        <v>403</v>
      </c>
      <c r="E65" s="190">
        <v>0</v>
      </c>
      <c r="F65" s="190">
        <v>100</v>
      </c>
      <c r="G65" s="207">
        <v>0.01</v>
      </c>
      <c r="H65" s="8"/>
    </row>
    <row r="66" spans="1:8" ht="27" customHeight="1" x14ac:dyDescent="0.2">
      <c r="A66" s="19"/>
      <c r="C66" s="28"/>
      <c r="H66" s="8"/>
    </row>
    <row r="67" spans="1:8" ht="27" customHeight="1" x14ac:dyDescent="0.2">
      <c r="A67" s="19"/>
      <c r="C67" s="28"/>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C6" sqref="C6"/>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330</v>
      </c>
    </row>
    <row r="2" spans="1:7" ht="26.25" customHeight="1" x14ac:dyDescent="0.2">
      <c r="A2" s="296"/>
      <c r="B2" s="1" t="s">
        <v>214</v>
      </c>
    </row>
    <row r="3" spans="1:7" ht="26.25" customHeight="1" x14ac:dyDescent="0.2">
      <c r="A3" s="258"/>
      <c r="B3" s="260" t="s">
        <v>0</v>
      </c>
      <c r="C3" s="261" t="s">
        <v>1</v>
      </c>
      <c r="D3" s="128" t="s">
        <v>532</v>
      </c>
      <c r="E3" s="10"/>
      <c r="F3" s="10"/>
      <c r="G3" s="10"/>
    </row>
    <row r="4" spans="1:7" ht="26.25" customHeight="1" x14ac:dyDescent="0.2">
      <c r="A4" s="258"/>
      <c r="B4" s="260" t="s">
        <v>550</v>
      </c>
      <c r="C4" s="458" t="s">
        <v>555</v>
      </c>
      <c r="D4" s="128" t="s">
        <v>556</v>
      </c>
      <c r="E4" s="10"/>
      <c r="F4" s="10"/>
      <c r="G4" s="10"/>
    </row>
    <row r="5" spans="1:7" ht="26.25" customHeight="1" x14ac:dyDescent="0.2">
      <c r="A5" s="258"/>
      <c r="B5" s="300" t="s">
        <v>232</v>
      </c>
      <c r="C5" s="301">
        <f>2276283.982368</f>
        <v>2276283.9823679999</v>
      </c>
      <c r="E5" s="43"/>
      <c r="F5" s="6"/>
      <c r="G5" s="17"/>
    </row>
    <row r="6" spans="1:7" ht="26.25" customHeight="1" x14ac:dyDescent="0.2">
      <c r="A6" s="298"/>
      <c r="B6" s="302" t="s">
        <v>234</v>
      </c>
      <c r="C6" s="463">
        <f>Tourists!C17*(Tourists!C3+Tourists!C7)</f>
        <v>26565124.610706765</v>
      </c>
      <c r="D6" s="45" t="s">
        <v>557</v>
      </c>
      <c r="E6" s="46"/>
      <c r="F6" s="46"/>
      <c r="G6" s="47"/>
    </row>
    <row r="7" spans="1:7" ht="26.25" customHeight="1" x14ac:dyDescent="0.2">
      <c r="A7" s="298"/>
      <c r="B7" s="302" t="s">
        <v>493</v>
      </c>
      <c r="C7" s="456">
        <v>0.2</v>
      </c>
      <c r="D7" s="45" t="s">
        <v>509</v>
      </c>
      <c r="E7" s="149"/>
      <c r="F7" s="149"/>
      <c r="G7" s="149"/>
    </row>
    <row r="8" spans="1:7" ht="26.25" customHeight="1" x14ac:dyDescent="0.2">
      <c r="A8" s="258"/>
      <c r="B8" s="302" t="s">
        <v>235</v>
      </c>
      <c r="C8" s="303">
        <f>C6-C5</f>
        <v>24288840.628338765</v>
      </c>
      <c r="E8" s="48"/>
      <c r="F8" s="49"/>
      <c r="G8" s="49"/>
    </row>
    <row r="9" spans="1:7" ht="26.25" customHeight="1" x14ac:dyDescent="0.2">
      <c r="A9" s="297" t="s">
        <v>8</v>
      </c>
      <c r="B9" s="299" t="s">
        <v>530</v>
      </c>
      <c r="C9" s="299"/>
    </row>
    <row r="10" spans="1:7" ht="37.5" customHeight="1" x14ac:dyDescent="0.2">
      <c r="A10" s="246"/>
      <c r="B10" s="165" t="s">
        <v>0</v>
      </c>
      <c r="C10" s="169" t="s">
        <v>506</v>
      </c>
      <c r="E10" s="285" t="s">
        <v>534</v>
      </c>
      <c r="F10" s="285"/>
      <c r="G10" s="10"/>
    </row>
    <row r="11" spans="1:7" ht="34.5" customHeight="1" x14ac:dyDescent="0.2">
      <c r="A11" s="464" t="s">
        <v>533</v>
      </c>
      <c r="B11" s="172" t="s">
        <v>74</v>
      </c>
      <c r="C11" s="304">
        <v>1.6699212916508013E-2</v>
      </c>
      <c r="D11" s="11"/>
      <c r="E11" s="286">
        <v>38012.150880000001</v>
      </c>
      <c r="F11" s="288">
        <f>E11/SUM($E$11:$E$20)</f>
        <v>1.6699212916508013E-2</v>
      </c>
    </row>
    <row r="12" spans="1:7" ht="34.5" customHeight="1" x14ac:dyDescent="0.2">
      <c r="A12" s="465"/>
      <c r="B12" s="172" t="s">
        <v>76</v>
      </c>
      <c r="C12" s="304">
        <v>1.8554681018342237E-3</v>
      </c>
      <c r="D12" s="11"/>
      <c r="E12" s="286">
        <v>4223.5723200000002</v>
      </c>
      <c r="F12" s="288">
        <f t="shared" ref="F12:F20" si="0">E12/SUM($E$11:$E$20)</f>
        <v>1.8554681018342237E-3</v>
      </c>
    </row>
    <row r="13" spans="1:7" ht="30.75" customHeight="1" x14ac:dyDescent="0.2">
      <c r="A13" s="465"/>
      <c r="B13" s="172" t="s">
        <v>77</v>
      </c>
      <c r="C13" s="304">
        <v>0.36762577973661364</v>
      </c>
      <c r="E13" s="286">
        <v>836820.67392000009</v>
      </c>
      <c r="F13" s="288">
        <f t="shared" si="0"/>
        <v>0.36762577973661364</v>
      </c>
    </row>
    <row r="14" spans="1:7" ht="30.75" customHeight="1" x14ac:dyDescent="0.2">
      <c r="A14" s="465"/>
      <c r="B14" s="172" t="s">
        <v>78</v>
      </c>
      <c r="C14" s="304">
        <v>7.6794931280125087E-2</v>
      </c>
      <c r="E14" s="286">
        <v>174807.07200000001</v>
      </c>
      <c r="F14" s="288">
        <f t="shared" si="0"/>
        <v>7.6794931280125087E-2</v>
      </c>
    </row>
    <row r="15" spans="1:7" ht="30.75" customHeight="1" x14ac:dyDescent="0.2">
      <c r="A15" s="465"/>
      <c r="B15" s="172" t="s">
        <v>216</v>
      </c>
      <c r="C15" s="304">
        <v>4.8015098663700233E-3</v>
      </c>
      <c r="E15" s="286">
        <v>10929.6</v>
      </c>
      <c r="F15" s="288">
        <f t="shared" si="0"/>
        <v>4.8015098663700233E-3</v>
      </c>
    </row>
    <row r="16" spans="1:7" ht="27" customHeight="1" x14ac:dyDescent="0.2">
      <c r="A16" s="465"/>
      <c r="B16" s="172" t="s">
        <v>169</v>
      </c>
      <c r="C16" s="304">
        <v>4.558211701690295E-2</v>
      </c>
      <c r="D16" s="11"/>
      <c r="E16" s="286">
        <v>103757.84284800001</v>
      </c>
      <c r="F16" s="288">
        <f t="shared" si="0"/>
        <v>4.558211701690295E-2</v>
      </c>
    </row>
    <row r="17" spans="1:8" ht="26.25" customHeight="1" x14ac:dyDescent="0.2">
      <c r="A17" s="465"/>
      <c r="B17" s="172" t="s">
        <v>217</v>
      </c>
      <c r="C17" s="304">
        <v>0</v>
      </c>
      <c r="D17" s="11"/>
      <c r="E17" s="286">
        <v>0</v>
      </c>
      <c r="F17" s="288">
        <f t="shared" si="0"/>
        <v>0</v>
      </c>
    </row>
    <row r="18" spans="1:8" ht="26.25" customHeight="1" x14ac:dyDescent="0.2">
      <c r="A18" s="465"/>
      <c r="B18" s="172" t="s">
        <v>170</v>
      </c>
      <c r="C18" s="304">
        <v>0.14896647247293257</v>
      </c>
      <c r="E18" s="286">
        <v>339089.9952</v>
      </c>
      <c r="F18" s="288">
        <f t="shared" si="0"/>
        <v>0.14896647247293257</v>
      </c>
    </row>
    <row r="19" spans="1:8" ht="33" customHeight="1" x14ac:dyDescent="0.2">
      <c r="A19" s="465"/>
      <c r="B19" s="172" t="s">
        <v>113</v>
      </c>
      <c r="C19" s="304">
        <v>0.27975207793956675</v>
      </c>
      <c r="E19" s="286">
        <v>636795.17404800002</v>
      </c>
      <c r="F19" s="288">
        <f t="shared" si="0"/>
        <v>0.27975207793956675</v>
      </c>
    </row>
    <row r="20" spans="1:8" ht="20.25" customHeight="1" x14ac:dyDescent="0.2">
      <c r="A20" s="466"/>
      <c r="B20" s="172" t="s">
        <v>218</v>
      </c>
      <c r="C20" s="304">
        <v>5.7922430669146867E-2</v>
      </c>
      <c r="E20" s="286">
        <v>131847.90115200001</v>
      </c>
      <c r="F20" s="288">
        <f t="shared" si="0"/>
        <v>5.7922430669146867E-2</v>
      </c>
    </row>
    <row r="21" spans="1:8" ht="20.25" customHeight="1" x14ac:dyDescent="0.2">
      <c r="A21" s="246"/>
      <c r="B21" s="289" t="s">
        <v>219</v>
      </c>
      <c r="C21" s="305">
        <v>0.46300000000000002</v>
      </c>
      <c r="D21" s="45"/>
      <c r="E21" s="306">
        <v>0.46300000000000002</v>
      </c>
      <c r="F21" s="288"/>
    </row>
    <row r="22" spans="1:8" ht="20.25" customHeight="1" x14ac:dyDescent="0.2">
      <c r="C22" s="128" t="s">
        <v>532</v>
      </c>
      <c r="H22" s="50"/>
    </row>
    <row r="23" spans="1:8" ht="26.25" customHeight="1" x14ac:dyDescent="0.2">
      <c r="C23" s="51"/>
      <c r="D23" s="50"/>
    </row>
    <row r="24" spans="1:8" ht="15.75" customHeight="1" x14ac:dyDescent="0.2">
      <c r="B24" s="11"/>
      <c r="D24" s="52"/>
    </row>
    <row r="25" spans="1:8" ht="15.75" customHeight="1" x14ac:dyDescent="0.2">
      <c r="B25" s="157" t="s">
        <v>535</v>
      </c>
      <c r="D25" s="52"/>
    </row>
    <row r="26" spans="1:8" ht="15.75" customHeight="1" x14ac:dyDescent="0.2">
      <c r="B26" s="342" t="s">
        <v>174</v>
      </c>
      <c r="C26" s="343" t="s">
        <v>220</v>
      </c>
      <c r="D26" s="344"/>
    </row>
    <row r="27" spans="1:8" ht="15.75" customHeight="1" x14ac:dyDescent="0.2">
      <c r="B27" s="330" t="s">
        <v>33</v>
      </c>
      <c r="C27" s="426">
        <f>C16*C5</f>
        <v>103757.84284800001</v>
      </c>
      <c r="D27" s="346" t="s">
        <v>331</v>
      </c>
    </row>
    <row r="28" spans="1:8" ht="14.25" customHeight="1" x14ac:dyDescent="0.2">
      <c r="B28" s="332" t="s">
        <v>35</v>
      </c>
      <c r="C28" s="427">
        <v>0</v>
      </c>
      <c r="D28" s="348" t="s">
        <v>332</v>
      </c>
    </row>
    <row r="29" spans="1:8" ht="15.75" customHeight="1" x14ac:dyDescent="0.2">
      <c r="B29" s="330" t="s">
        <v>37</v>
      </c>
      <c r="C29" s="426">
        <f>SUM(C18:C19)*C5</f>
        <v>975885.16924800002</v>
      </c>
      <c r="D29" s="346" t="s">
        <v>333</v>
      </c>
    </row>
    <row r="30" spans="1:8" ht="15.75" customHeight="1" x14ac:dyDescent="0.2">
      <c r="B30" s="330" t="s">
        <v>39</v>
      </c>
      <c r="C30" s="426">
        <f>C17*C5</f>
        <v>0</v>
      </c>
      <c r="D30" s="346" t="s">
        <v>334</v>
      </c>
    </row>
    <row r="31" spans="1:8" ht="15.75" customHeight="1" x14ac:dyDescent="0.2">
      <c r="B31" s="332" t="s">
        <v>41</v>
      </c>
      <c r="C31" s="426">
        <f>C11*C5*C21</f>
        <v>17599.625857440002</v>
      </c>
      <c r="D31" s="350" t="s">
        <v>92</v>
      </c>
    </row>
    <row r="32" spans="1:8" ht="15.75" customHeight="1" x14ac:dyDescent="0.2">
      <c r="B32" s="332" t="s">
        <v>43</v>
      </c>
      <c r="C32" s="426">
        <f>C12*C5*C21</f>
        <v>1955.5139841600003</v>
      </c>
      <c r="D32" s="350" t="s">
        <v>93</v>
      </c>
    </row>
    <row r="33" spans="2:6" ht="15.75" customHeight="1" x14ac:dyDescent="0.2">
      <c r="B33" s="332" t="s">
        <v>44</v>
      </c>
      <c r="C33" s="426">
        <f>C13*C5*C21</f>
        <v>387447.97202496004</v>
      </c>
      <c r="D33" s="350" t="s">
        <v>94</v>
      </c>
    </row>
    <row r="34" spans="2:6" ht="15.75" customHeight="1" x14ac:dyDescent="0.2">
      <c r="B34" s="332" t="s">
        <v>45</v>
      </c>
      <c r="C34" s="426">
        <f>C14*C5*C21</f>
        <v>80935.674336000011</v>
      </c>
      <c r="D34" s="350" t="s">
        <v>95</v>
      </c>
    </row>
    <row r="35" spans="2:6" ht="15.75" customHeight="1" x14ac:dyDescent="0.2">
      <c r="B35" s="330" t="s">
        <v>46</v>
      </c>
      <c r="C35" s="426">
        <f>C15*C5</f>
        <v>10929.599999999999</v>
      </c>
      <c r="D35" s="350" t="s">
        <v>96</v>
      </c>
    </row>
    <row r="36" spans="2:6" ht="15.75" customHeight="1" x14ac:dyDescent="0.2">
      <c r="B36" s="330" t="s">
        <v>48</v>
      </c>
      <c r="C36" s="428">
        <v>0</v>
      </c>
      <c r="D36" s="350" t="s">
        <v>335</v>
      </c>
    </row>
    <row r="37" spans="2:6" ht="15.75" customHeight="1" x14ac:dyDescent="0.2">
      <c r="B37" s="330" t="s">
        <v>50</v>
      </c>
      <c r="C37" s="428">
        <v>0</v>
      </c>
      <c r="D37" s="350" t="s">
        <v>335</v>
      </c>
    </row>
    <row r="38" spans="2:6" ht="15.75" customHeight="1" x14ac:dyDescent="0.2">
      <c r="B38" s="330" t="s">
        <v>51</v>
      </c>
      <c r="C38" s="426">
        <v>0</v>
      </c>
      <c r="D38" s="350" t="s">
        <v>336</v>
      </c>
    </row>
    <row r="39" spans="2:6" ht="15.75" customHeight="1" x14ac:dyDescent="0.2">
      <c r="B39" s="330" t="s">
        <v>53</v>
      </c>
      <c r="C39" s="426">
        <v>0</v>
      </c>
      <c r="D39" s="350" t="s">
        <v>337</v>
      </c>
    </row>
    <row r="40" spans="2:6" ht="15.75" customHeight="1" x14ac:dyDescent="0.2">
      <c r="B40" s="330" t="s">
        <v>55</v>
      </c>
      <c r="C40" s="426">
        <v>0</v>
      </c>
      <c r="D40" s="350" t="s">
        <v>338</v>
      </c>
    </row>
    <row r="41" spans="2:6" ht="15.75" customHeight="1" x14ac:dyDescent="0.2">
      <c r="B41" s="330" t="s">
        <v>57</v>
      </c>
      <c r="C41" s="426">
        <v>0</v>
      </c>
      <c r="D41" s="350" t="s">
        <v>336</v>
      </c>
    </row>
    <row r="42" spans="2:6" ht="15.75" customHeight="1" x14ac:dyDescent="0.2">
      <c r="B42" s="330" t="s">
        <v>339</v>
      </c>
      <c r="C42" s="426">
        <f>C7*C6</f>
        <v>5313024.9221413536</v>
      </c>
      <c r="D42" s="353" t="s">
        <v>340</v>
      </c>
    </row>
    <row r="43" spans="2:6" ht="15.75" customHeight="1" x14ac:dyDescent="0.2">
      <c r="B43" s="330" t="s">
        <v>60</v>
      </c>
      <c r="C43" s="426">
        <f>IF(C8-C42&gt;0,C8-C42,0)</f>
        <v>18975815.706197411</v>
      </c>
      <c r="D43" s="353" t="s">
        <v>341</v>
      </c>
    </row>
    <row r="44" spans="2:6" ht="15.75" customHeight="1" x14ac:dyDescent="0.2">
      <c r="B44" s="335" t="s">
        <v>62</v>
      </c>
      <c r="C44" s="426">
        <f>C20*C5 + C5*SUM(C11:C14)*(1-C21)</f>
        <v>697772.58406943991</v>
      </c>
      <c r="D44" s="354" t="s">
        <v>185</v>
      </c>
    </row>
    <row r="45" spans="2:6" ht="15.75" customHeight="1" x14ac:dyDescent="0.2">
      <c r="B45" s="330" t="s">
        <v>64</v>
      </c>
      <c r="C45" s="426">
        <f>SUM(C27:C44)</f>
        <v>26565124.610706761</v>
      </c>
      <c r="D45" s="353" t="s">
        <v>186</v>
      </c>
      <c r="F45" s="100">
        <f>C45-C5</f>
        <v>24288840.628338762</v>
      </c>
    </row>
    <row r="46" spans="2:6" ht="15.75" customHeight="1" x14ac:dyDescent="0.2">
      <c r="B46" s="330" t="s">
        <v>66</v>
      </c>
      <c r="C46" s="426">
        <f>C6</f>
        <v>26565124.610706765</v>
      </c>
      <c r="D46" s="353" t="s">
        <v>187</v>
      </c>
    </row>
    <row r="47" spans="2:6" ht="15.75" customHeight="1" x14ac:dyDescent="0.2">
      <c r="B47" s="330" t="s">
        <v>230</v>
      </c>
      <c r="C47" s="428">
        <f>MAX(0,(C45-C46))</f>
        <v>0</v>
      </c>
      <c r="D47" s="344"/>
    </row>
    <row r="48" spans="2:6" ht="15.75" customHeight="1" x14ac:dyDescent="0.2"/>
    <row r="49" spans="2:8" ht="15.75" customHeight="1" x14ac:dyDescent="0.2">
      <c r="B49" s="62" t="s">
        <v>231</v>
      </c>
      <c r="C49" s="22">
        <f>C47/C45</f>
        <v>0</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5" t="s">
        <v>0</v>
      </c>
      <c r="C54" s="146" t="s">
        <v>1</v>
      </c>
      <c r="D54" s="148" t="s">
        <v>2</v>
      </c>
    </row>
    <row r="55" spans="2:8" ht="15.75" customHeight="1" x14ac:dyDescent="0.2">
      <c r="B55" s="459" t="str">
        <f>C4</f>
        <v>Park Name Here</v>
      </c>
      <c r="C55" s="317">
        <v>999998</v>
      </c>
      <c r="D55" s="187" t="s">
        <v>551</v>
      </c>
      <c r="E55" s="42" t="s">
        <v>552</v>
      </c>
    </row>
    <row r="56" spans="2:8" ht="15.75" customHeight="1" x14ac:dyDescent="0.2"/>
    <row r="57" spans="2:8" s="116" customFormat="1" ht="15.75" customHeight="1" x14ac:dyDescent="0.2">
      <c r="B57" s="139"/>
      <c r="C57" s="140"/>
      <c r="D57" s="102"/>
      <c r="E57" s="102"/>
      <c r="F57" s="102"/>
      <c r="G57" s="102"/>
    </row>
    <row r="58" spans="2:8" ht="15.75" customHeight="1" x14ac:dyDescent="0.2">
      <c r="B58" s="145" t="s">
        <v>0</v>
      </c>
      <c r="C58" s="146" t="s">
        <v>1</v>
      </c>
      <c r="D58" s="147" t="s">
        <v>2</v>
      </c>
      <c r="E58" s="147" t="s">
        <v>3</v>
      </c>
      <c r="F58" s="147" t="s">
        <v>4</v>
      </c>
      <c r="G58" s="148" t="s">
        <v>5</v>
      </c>
    </row>
    <row r="59" spans="2:8" ht="15.75" customHeight="1" x14ac:dyDescent="0.2">
      <c r="B59" s="316" t="s">
        <v>234</v>
      </c>
      <c r="C59" s="317">
        <f>C6</f>
        <v>26565124.610706765</v>
      </c>
      <c r="D59" s="186" t="s">
        <v>492</v>
      </c>
      <c r="E59" s="318">
        <v>0</v>
      </c>
      <c r="F59" s="186">
        <v>100000000</v>
      </c>
      <c r="G59" s="187">
        <v>1</v>
      </c>
    </row>
    <row r="60" spans="2:8" ht="15.75" customHeight="1" x14ac:dyDescent="0.2">
      <c r="B60" s="316" t="s">
        <v>232</v>
      </c>
      <c r="C60" s="317">
        <f>C5</f>
        <v>2276283.9823679999</v>
      </c>
      <c r="D60" s="186" t="s">
        <v>233</v>
      </c>
      <c r="E60" s="318">
        <v>0</v>
      </c>
      <c r="F60" s="186">
        <v>100000000</v>
      </c>
      <c r="G60" s="187">
        <v>1</v>
      </c>
      <c r="H60" s="45"/>
    </row>
    <row r="61" spans="2:8" ht="15.75" customHeight="1" x14ac:dyDescent="0.2">
      <c r="B61" s="141" t="s">
        <v>235</v>
      </c>
      <c r="C61" s="142">
        <f>C59-C60</f>
        <v>24288840.628338765</v>
      </c>
      <c r="D61" s="143"/>
      <c r="E61" s="144"/>
      <c r="F61" s="143"/>
      <c r="G61" s="143">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9" t="s">
        <v>74</v>
      </c>
      <c r="C64" s="319">
        <f t="shared" ref="C64:C69" si="1">C11*100</f>
        <v>1.6699212916508013</v>
      </c>
      <c r="D64" s="182" t="s">
        <v>378</v>
      </c>
      <c r="E64" s="182">
        <v>0</v>
      </c>
      <c r="F64" s="182">
        <v>10000000</v>
      </c>
      <c r="G64" s="182">
        <v>1</v>
      </c>
      <c r="H64" s="11"/>
    </row>
    <row r="65" spans="2:8" ht="26.25" customHeight="1" x14ac:dyDescent="0.2">
      <c r="B65" s="199" t="s">
        <v>76</v>
      </c>
      <c r="C65" s="319">
        <f t="shared" si="1"/>
        <v>0.18554681018342237</v>
      </c>
      <c r="D65" s="182" t="s">
        <v>379</v>
      </c>
      <c r="E65" s="182">
        <v>0</v>
      </c>
      <c r="F65" s="182">
        <v>10000000</v>
      </c>
      <c r="G65" s="182">
        <v>1</v>
      </c>
      <c r="H65" s="11"/>
    </row>
    <row r="66" spans="2:8" ht="26.25" customHeight="1" x14ac:dyDescent="0.2">
      <c r="B66" s="199" t="s">
        <v>77</v>
      </c>
      <c r="C66" s="319">
        <f t="shared" si="1"/>
        <v>36.762577973661365</v>
      </c>
      <c r="D66" s="182" t="s">
        <v>380</v>
      </c>
      <c r="E66" s="182">
        <v>0</v>
      </c>
      <c r="F66" s="182">
        <v>10000000</v>
      </c>
      <c r="G66" s="182">
        <v>1</v>
      </c>
      <c r="H66" s="11"/>
    </row>
    <row r="67" spans="2:8" ht="26.25" customHeight="1" x14ac:dyDescent="0.2">
      <c r="B67" s="199" t="s">
        <v>78</v>
      </c>
      <c r="C67" s="319">
        <f t="shared" si="1"/>
        <v>7.6794931280125089</v>
      </c>
      <c r="D67" s="182" t="s">
        <v>381</v>
      </c>
      <c r="E67" s="182">
        <v>0</v>
      </c>
      <c r="F67" s="182">
        <v>10000000</v>
      </c>
      <c r="G67" s="182">
        <v>1</v>
      </c>
      <c r="H67" s="11"/>
    </row>
    <row r="68" spans="2:8" ht="26.25" customHeight="1" x14ac:dyDescent="0.2">
      <c r="B68" s="314" t="s">
        <v>216</v>
      </c>
      <c r="C68" s="319">
        <f t="shared" si="1"/>
        <v>0.48015098663700234</v>
      </c>
      <c r="D68" s="182" t="s">
        <v>236</v>
      </c>
      <c r="E68" s="182">
        <v>0</v>
      </c>
      <c r="F68" s="182">
        <v>10000000</v>
      </c>
      <c r="G68" s="182">
        <v>1</v>
      </c>
    </row>
    <row r="69" spans="2:8" ht="26.25" customHeight="1" x14ac:dyDescent="0.2">
      <c r="B69" s="314" t="s">
        <v>169</v>
      </c>
      <c r="C69" s="319">
        <f t="shared" si="1"/>
        <v>4.5582117016902952</v>
      </c>
      <c r="D69" s="182" t="s">
        <v>237</v>
      </c>
      <c r="E69" s="182">
        <v>0</v>
      </c>
      <c r="F69" s="182">
        <v>10000000</v>
      </c>
      <c r="G69" s="182">
        <v>1</v>
      </c>
      <c r="H69" s="11"/>
    </row>
    <row r="70" spans="2:8" ht="26.25" customHeight="1" x14ac:dyDescent="0.2">
      <c r="B70" s="199" t="s">
        <v>510</v>
      </c>
      <c r="C70" s="320">
        <v>0</v>
      </c>
      <c r="D70" s="182" t="s">
        <v>382</v>
      </c>
      <c r="E70" s="182">
        <v>0</v>
      </c>
      <c r="F70" s="182">
        <v>10000000</v>
      </c>
      <c r="G70" s="182">
        <v>1</v>
      </c>
      <c r="H70" s="11"/>
    </row>
    <row r="71" spans="2:8" ht="26.25" customHeight="1" x14ac:dyDescent="0.2">
      <c r="B71" s="314" t="s">
        <v>217</v>
      </c>
      <c r="C71" s="319">
        <f>C17*100</f>
        <v>0</v>
      </c>
      <c r="D71" s="182" t="s">
        <v>238</v>
      </c>
      <c r="E71" s="182">
        <v>0</v>
      </c>
      <c r="F71" s="182">
        <v>10000000</v>
      </c>
      <c r="G71" s="182">
        <v>1</v>
      </c>
      <c r="H71" s="11"/>
    </row>
    <row r="72" spans="2:8" ht="26.25" customHeight="1" x14ac:dyDescent="0.2">
      <c r="B72" s="314" t="s">
        <v>170</v>
      </c>
      <c r="C72" s="319">
        <f>C18*100</f>
        <v>14.896647247293258</v>
      </c>
      <c r="D72" s="182" t="s">
        <v>239</v>
      </c>
      <c r="E72" s="182">
        <v>0</v>
      </c>
      <c r="F72" s="182">
        <v>10000000</v>
      </c>
      <c r="G72" s="182">
        <v>1</v>
      </c>
    </row>
    <row r="73" spans="2:8" ht="26.25" customHeight="1" x14ac:dyDescent="0.2">
      <c r="B73" s="314" t="s">
        <v>113</v>
      </c>
      <c r="C73" s="319">
        <f>C19*100</f>
        <v>27.975207793956674</v>
      </c>
      <c r="D73" s="182" t="s">
        <v>240</v>
      </c>
      <c r="E73" s="182">
        <v>0</v>
      </c>
      <c r="F73" s="182">
        <v>10000000</v>
      </c>
      <c r="G73" s="182">
        <v>1</v>
      </c>
    </row>
    <row r="74" spans="2:8" ht="26.25" customHeight="1" x14ac:dyDescent="0.2">
      <c r="B74" s="314" t="s">
        <v>541</v>
      </c>
      <c r="C74" s="321">
        <f>C42</f>
        <v>5313024.9221413536</v>
      </c>
      <c r="D74" s="182" t="s">
        <v>391</v>
      </c>
      <c r="E74" s="182">
        <v>0</v>
      </c>
      <c r="F74" s="182">
        <v>10000000</v>
      </c>
      <c r="G74" s="182">
        <v>1</v>
      </c>
      <c r="H74" s="45"/>
    </row>
    <row r="75" spans="2:8" ht="26.25" customHeight="1" x14ac:dyDescent="0.2">
      <c r="B75" s="314" t="s">
        <v>218</v>
      </c>
      <c r="C75" s="319">
        <f>C20*100</f>
        <v>5.7922430669146863</v>
      </c>
      <c r="D75" s="182" t="s">
        <v>241</v>
      </c>
      <c r="E75" s="182">
        <v>0</v>
      </c>
      <c r="F75" s="182">
        <v>10000000</v>
      </c>
      <c r="G75" s="182">
        <v>1</v>
      </c>
    </row>
    <row r="76" spans="2:8" ht="26.25" customHeight="1" x14ac:dyDescent="0.2">
      <c r="B76" s="322" t="s">
        <v>394</v>
      </c>
      <c r="C76" s="323">
        <f>C21*100</f>
        <v>46.300000000000004</v>
      </c>
      <c r="D76" s="324" t="s">
        <v>242</v>
      </c>
      <c r="E76" s="324">
        <v>0</v>
      </c>
      <c r="F76" s="324">
        <v>10000000</v>
      </c>
      <c r="G76" s="324">
        <v>1</v>
      </c>
      <c r="H76" s="45"/>
    </row>
    <row r="77" spans="2:8" ht="26.25" customHeight="1" x14ac:dyDescent="0.2">
      <c r="C77" s="100"/>
    </row>
    <row r="78" spans="2:8" ht="26.25" customHeight="1" x14ac:dyDescent="0.2">
      <c r="C78" s="100">
        <f>SUM(C64:C73)+C75</f>
        <v>100</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50" zoomScale="122" workbookViewId="0">
      <selection activeCell="C64" sqref="C64"/>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213</v>
      </c>
    </row>
    <row r="2" spans="1:7" ht="26.25" customHeight="1" x14ac:dyDescent="0.2">
      <c r="A2" s="5"/>
      <c r="B2" s="1" t="s">
        <v>214</v>
      </c>
    </row>
    <row r="3" spans="1:7" ht="26.25" customHeight="1" x14ac:dyDescent="0.2">
      <c r="B3" s="165" t="s">
        <v>0</v>
      </c>
      <c r="C3" s="169" t="s">
        <v>1</v>
      </c>
      <c r="E3" s="10"/>
      <c r="F3" s="10"/>
      <c r="G3" s="10"/>
    </row>
    <row r="4" spans="1:7" ht="26.25" customHeight="1" x14ac:dyDescent="0.2">
      <c r="A4" s="164"/>
      <c r="B4" s="283" t="s">
        <v>215</v>
      </c>
      <c r="C4" s="284">
        <f>NatParkPA!C42</f>
        <v>5313024.9221413536</v>
      </c>
      <c r="D4" s="128" t="s">
        <v>529</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530</v>
      </c>
      <c r="C7" s="295" t="s">
        <v>531</v>
      </c>
    </row>
    <row r="8" spans="1:7" ht="37.5" customHeight="1" x14ac:dyDescent="0.2">
      <c r="A8" s="246"/>
      <c r="B8" s="165" t="s">
        <v>0</v>
      </c>
      <c r="C8" s="169" t="s">
        <v>1</v>
      </c>
      <c r="D8" s="164"/>
      <c r="E8" s="10"/>
      <c r="F8" s="285" t="s">
        <v>526</v>
      </c>
      <c r="G8" s="285"/>
    </row>
    <row r="9" spans="1:7" ht="34.5" customHeight="1" x14ac:dyDescent="0.2">
      <c r="A9" s="464" t="s">
        <v>527</v>
      </c>
      <c r="B9" s="172" t="s">
        <v>496</v>
      </c>
      <c r="C9" s="212">
        <v>7.3913043478260859E-2</v>
      </c>
      <c r="D9" s="11"/>
      <c r="F9" s="286">
        <v>62254.150565008706</v>
      </c>
      <c r="G9" s="287">
        <f>F9/SUM($F$9:$F$17)</f>
        <v>7.3913043478260859E-2</v>
      </c>
    </row>
    <row r="10" spans="1:7" ht="34.5" customHeight="1" x14ac:dyDescent="0.2">
      <c r="A10" s="465"/>
      <c r="B10" s="172" t="s">
        <v>497</v>
      </c>
      <c r="C10" s="212">
        <v>3.4782608695652167E-2</v>
      </c>
      <c r="D10" s="467"/>
      <c r="F10" s="286">
        <v>29296.070854121743</v>
      </c>
      <c r="G10" s="287">
        <f t="shared" ref="G10:G18" si="0">F10/SUM($F$9:$F$17)</f>
        <v>3.4782608695652167E-2</v>
      </c>
    </row>
    <row r="11" spans="1:7" ht="30.75" customHeight="1" x14ac:dyDescent="0.2">
      <c r="A11" s="465"/>
      <c r="B11" s="172" t="s">
        <v>498</v>
      </c>
      <c r="C11" s="212">
        <v>0.32608695652173914</v>
      </c>
      <c r="D11" s="468"/>
      <c r="F11" s="286">
        <v>274650.66425739136</v>
      </c>
      <c r="G11" s="287">
        <f t="shared" si="0"/>
        <v>0.32608695652173914</v>
      </c>
    </row>
    <row r="12" spans="1:7" ht="30.75" customHeight="1" x14ac:dyDescent="0.2">
      <c r="A12" s="465"/>
      <c r="B12" s="172" t="s">
        <v>499</v>
      </c>
      <c r="C12" s="212">
        <v>0</v>
      </c>
      <c r="D12" s="468"/>
      <c r="F12" s="286">
        <v>0</v>
      </c>
      <c r="G12" s="287">
        <f t="shared" si="0"/>
        <v>0</v>
      </c>
    </row>
    <row r="13" spans="1:7" ht="30.75" customHeight="1" x14ac:dyDescent="0.2">
      <c r="A13" s="465"/>
      <c r="B13" s="172" t="s">
        <v>500</v>
      </c>
      <c r="C13" s="212">
        <v>0</v>
      </c>
      <c r="D13" s="468"/>
      <c r="F13" s="286">
        <v>0</v>
      </c>
      <c r="G13" s="287">
        <f t="shared" si="0"/>
        <v>0</v>
      </c>
    </row>
    <row r="14" spans="1:7" ht="27" customHeight="1" x14ac:dyDescent="0.2">
      <c r="A14" s="465"/>
      <c r="B14" s="172" t="s">
        <v>501</v>
      </c>
      <c r="C14" s="212">
        <v>0.10869565217391303</v>
      </c>
      <c r="D14" s="11"/>
      <c r="F14" s="286">
        <v>91550.221419130437</v>
      </c>
      <c r="G14" s="287">
        <f t="shared" si="0"/>
        <v>0.10869565217391303</v>
      </c>
    </row>
    <row r="15" spans="1:7" ht="26.25" customHeight="1" x14ac:dyDescent="0.2">
      <c r="A15" s="465"/>
      <c r="B15" s="172" t="s">
        <v>502</v>
      </c>
      <c r="C15" s="212">
        <v>0</v>
      </c>
      <c r="D15" s="467"/>
      <c r="F15" s="286">
        <v>0</v>
      </c>
      <c r="G15" s="287">
        <f t="shared" si="0"/>
        <v>0</v>
      </c>
    </row>
    <row r="16" spans="1:7" ht="26.25" customHeight="1" x14ac:dyDescent="0.2">
      <c r="A16" s="465"/>
      <c r="B16" s="172" t="s">
        <v>503</v>
      </c>
      <c r="C16" s="212">
        <v>4.3478260869565202E-2</v>
      </c>
      <c r="D16" s="468"/>
      <c r="F16" s="286">
        <v>36620.088567652172</v>
      </c>
      <c r="G16" s="287">
        <f t="shared" si="0"/>
        <v>4.3478260869565202E-2</v>
      </c>
    </row>
    <row r="17" spans="1:8" ht="33" customHeight="1" x14ac:dyDescent="0.2">
      <c r="A17" s="465"/>
      <c r="B17" s="172" t="s">
        <v>504</v>
      </c>
      <c r="C17" s="212">
        <v>0.41304347826086957</v>
      </c>
      <c r="D17" s="468"/>
      <c r="F17" s="286">
        <v>347890.84139269573</v>
      </c>
      <c r="G17" s="287">
        <f t="shared" si="0"/>
        <v>0.41304347826086957</v>
      </c>
    </row>
    <row r="18" spans="1:8" ht="20.25" customHeight="1" x14ac:dyDescent="0.2">
      <c r="A18" s="466"/>
      <c r="B18" s="172" t="s">
        <v>505</v>
      </c>
      <c r="C18" s="212">
        <v>0</v>
      </c>
      <c r="D18" s="468"/>
      <c r="F18" s="286">
        <v>0</v>
      </c>
      <c r="G18" s="287">
        <f t="shared" si="0"/>
        <v>0</v>
      </c>
    </row>
    <row r="19" spans="1:8" ht="20.25" customHeight="1" x14ac:dyDescent="0.2">
      <c r="A19" s="246"/>
      <c r="B19" s="289" t="s">
        <v>219</v>
      </c>
      <c r="C19" s="290">
        <v>1</v>
      </c>
      <c r="D19" s="45"/>
    </row>
    <row r="20" spans="1:8" ht="20.25" customHeight="1" x14ac:dyDescent="0.2">
      <c r="C20" s="128" t="s">
        <v>532</v>
      </c>
      <c r="H20" s="50"/>
    </row>
    <row r="21" spans="1:8" ht="26.25" customHeight="1" x14ac:dyDescent="0.2">
      <c r="B21" s="294" t="s">
        <v>528</v>
      </c>
      <c r="C21" s="291">
        <f>SUM(C9:C18)</f>
        <v>1</v>
      </c>
      <c r="D21" s="50"/>
    </row>
    <row r="22" spans="1:8" ht="15.75" customHeight="1" x14ac:dyDescent="0.2">
      <c r="B22" s="11"/>
      <c r="D22" s="52"/>
    </row>
    <row r="23" spans="1:8" ht="15.75" customHeight="1" x14ac:dyDescent="0.2">
      <c r="B23" s="157" t="s">
        <v>535</v>
      </c>
      <c r="D23" s="52"/>
    </row>
    <row r="24" spans="1:8" ht="15.75" customHeight="1" x14ac:dyDescent="0.2">
      <c r="B24" s="342" t="s">
        <v>174</v>
      </c>
      <c r="C24" s="343" t="s">
        <v>220</v>
      </c>
      <c r="D24" s="344"/>
    </row>
    <row r="25" spans="1:8" ht="15.75" customHeight="1" x14ac:dyDescent="0.2">
      <c r="B25" s="330" t="s">
        <v>33</v>
      </c>
      <c r="C25" s="345">
        <f>C14*C4</f>
        <v>577502.70892840787</v>
      </c>
      <c r="D25" s="346" t="s">
        <v>221</v>
      </c>
    </row>
    <row r="26" spans="1:8" ht="14.25" customHeight="1" x14ac:dyDescent="0.2">
      <c r="B26" s="332" t="s">
        <v>35</v>
      </c>
      <c r="C26" s="347">
        <v>0</v>
      </c>
      <c r="D26" s="348" t="s">
        <v>222</v>
      </c>
    </row>
    <row r="27" spans="1:8" ht="15.75" customHeight="1" x14ac:dyDescent="0.2">
      <c r="B27" s="330" t="s">
        <v>37</v>
      </c>
      <c r="C27" s="345">
        <f>SUM(C16:C17)*C4</f>
        <v>2425511.3774993136</v>
      </c>
      <c r="D27" s="346" t="s">
        <v>223</v>
      </c>
    </row>
    <row r="28" spans="1:8" ht="15.75" customHeight="1" x14ac:dyDescent="0.2">
      <c r="B28" s="330" t="s">
        <v>39</v>
      </c>
      <c r="C28" s="345">
        <f>C15*C4</f>
        <v>0</v>
      </c>
      <c r="D28" s="346" t="s">
        <v>224</v>
      </c>
    </row>
    <row r="29" spans="1:8" ht="15.75" customHeight="1" x14ac:dyDescent="0.2">
      <c r="B29" s="332" t="s">
        <v>41</v>
      </c>
      <c r="C29" s="349">
        <f>C9*C4</f>
        <v>392701.84207131737</v>
      </c>
      <c r="D29" s="350" t="s">
        <v>92</v>
      </c>
    </row>
    <row r="30" spans="1:8" ht="15.75" customHeight="1" x14ac:dyDescent="0.2">
      <c r="B30" s="332" t="s">
        <v>43</v>
      </c>
      <c r="C30" s="349">
        <f>C10*C4</f>
        <v>184800.86685709053</v>
      </c>
      <c r="D30" s="350" t="s">
        <v>93</v>
      </c>
    </row>
    <row r="31" spans="1:8" ht="15.75" customHeight="1" x14ac:dyDescent="0.2">
      <c r="B31" s="332" t="s">
        <v>44</v>
      </c>
      <c r="C31" s="349">
        <f>C11*C4</f>
        <v>1732508.1267852241</v>
      </c>
      <c r="D31" s="350" t="s">
        <v>94</v>
      </c>
    </row>
    <row r="32" spans="1:8" ht="15.75" customHeight="1" x14ac:dyDescent="0.2">
      <c r="B32" s="332" t="s">
        <v>45</v>
      </c>
      <c r="C32" s="349">
        <f>C12*C4</f>
        <v>0</v>
      </c>
      <c r="D32" s="350" t="s">
        <v>95</v>
      </c>
    </row>
    <row r="33" spans="2:5" ht="15.75" customHeight="1" x14ac:dyDescent="0.2">
      <c r="B33" s="330" t="s">
        <v>46</v>
      </c>
      <c r="C33" s="345">
        <f>C13*C4</f>
        <v>0</v>
      </c>
      <c r="D33" s="350" t="s">
        <v>96</v>
      </c>
    </row>
    <row r="34" spans="2:5" ht="15.75" customHeight="1" x14ac:dyDescent="0.2">
      <c r="B34" s="330" t="s">
        <v>48</v>
      </c>
      <c r="C34" s="351">
        <v>0</v>
      </c>
      <c r="D34" s="350" t="s">
        <v>225</v>
      </c>
    </row>
    <row r="35" spans="2:5" ht="15.75" customHeight="1" x14ac:dyDescent="0.2">
      <c r="B35" s="330" t="s">
        <v>50</v>
      </c>
      <c r="C35" s="351">
        <v>0</v>
      </c>
      <c r="D35" s="350" t="s">
        <v>225</v>
      </c>
    </row>
    <row r="36" spans="2:5" ht="15.75" customHeight="1" x14ac:dyDescent="0.2">
      <c r="B36" s="330" t="s">
        <v>51</v>
      </c>
      <c r="C36" s="352">
        <v>0</v>
      </c>
      <c r="D36" s="350" t="s">
        <v>226</v>
      </c>
    </row>
    <row r="37" spans="2:5" ht="15.75" customHeight="1" x14ac:dyDescent="0.2">
      <c r="B37" s="330" t="s">
        <v>53</v>
      </c>
      <c r="C37" s="352">
        <v>0</v>
      </c>
      <c r="D37" s="350" t="s">
        <v>227</v>
      </c>
    </row>
    <row r="38" spans="2:5" ht="15.75" customHeight="1" x14ac:dyDescent="0.2">
      <c r="B38" s="330" t="s">
        <v>55</v>
      </c>
      <c r="C38" s="352">
        <v>0</v>
      </c>
      <c r="D38" s="350" t="s">
        <v>228</v>
      </c>
    </row>
    <row r="39" spans="2:5" ht="15.75" customHeight="1" x14ac:dyDescent="0.2">
      <c r="B39" s="330" t="s">
        <v>57</v>
      </c>
      <c r="C39" s="352">
        <v>0</v>
      </c>
      <c r="D39" s="350" t="s">
        <v>226</v>
      </c>
    </row>
    <row r="40" spans="2:5" ht="15.75" customHeight="1" x14ac:dyDescent="0.2">
      <c r="B40" s="330" t="s">
        <v>58</v>
      </c>
      <c r="C40" s="345">
        <v>0</v>
      </c>
      <c r="D40" s="353"/>
    </row>
    <row r="41" spans="2:5" ht="15.75" customHeight="1" x14ac:dyDescent="0.2">
      <c r="B41" s="330" t="s">
        <v>60</v>
      </c>
      <c r="C41" s="345">
        <f>IF(C6&gt;0,C6,0)*C4</f>
        <v>0</v>
      </c>
      <c r="D41" s="353" t="s">
        <v>229</v>
      </c>
    </row>
    <row r="42" spans="2:5" ht="15.75" customHeight="1" x14ac:dyDescent="0.2">
      <c r="B42" s="335" t="s">
        <v>62</v>
      </c>
      <c r="C42" s="345">
        <f>C18</f>
        <v>0</v>
      </c>
      <c r="D42" s="354" t="s">
        <v>185</v>
      </c>
    </row>
    <row r="43" spans="2:5" ht="15.75" customHeight="1" x14ac:dyDescent="0.2">
      <c r="B43" s="330" t="s">
        <v>64</v>
      </c>
      <c r="C43" s="345">
        <f>SUM(C25:C42)</f>
        <v>5313024.9221413527</v>
      </c>
      <c r="D43" s="353" t="s">
        <v>186</v>
      </c>
      <c r="E43" s="53">
        <f>C4-C45</f>
        <v>0</v>
      </c>
    </row>
    <row r="44" spans="2:5" ht="15.75" customHeight="1" x14ac:dyDescent="0.2">
      <c r="B44" s="330" t="s">
        <v>66</v>
      </c>
      <c r="C44" s="345">
        <f>C5</f>
        <v>0</v>
      </c>
      <c r="D44" s="353" t="s">
        <v>395</v>
      </c>
    </row>
    <row r="45" spans="2:5" ht="15.75" customHeight="1" x14ac:dyDescent="0.2">
      <c r="B45" s="330" t="s">
        <v>230</v>
      </c>
      <c r="C45" s="351">
        <f>-1*(C44-C43)</f>
        <v>5313024.9221413527</v>
      </c>
      <c r="D45" s="344"/>
    </row>
    <row r="46" spans="2:5" ht="15.75" customHeight="1" x14ac:dyDescent="0.2">
      <c r="B46" s="330" t="s">
        <v>231</v>
      </c>
      <c r="C46" s="355">
        <f>C45/C43</f>
        <v>1</v>
      </c>
      <c r="D46" s="344"/>
    </row>
    <row r="47" spans="2:5" ht="15.75" customHeight="1" x14ac:dyDescent="0.2">
      <c r="B47" s="38" t="s">
        <v>62</v>
      </c>
      <c r="C47" s="307"/>
      <c r="D47" s="210"/>
    </row>
    <row r="48" spans="2:5" ht="15.75" customHeight="1" x14ac:dyDescent="0.2">
      <c r="B48" s="39" t="s">
        <v>188</v>
      </c>
      <c r="C48" s="308"/>
      <c r="D48" s="210"/>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520</v>
      </c>
    </row>
    <row r="58" spans="2:8" ht="26.25" customHeight="1" x14ac:dyDescent="0.2">
      <c r="B58" s="33" t="s">
        <v>0</v>
      </c>
      <c r="C58" s="34" t="s">
        <v>1</v>
      </c>
      <c r="D58" s="35" t="s">
        <v>2</v>
      </c>
      <c r="E58" s="35" t="s">
        <v>3</v>
      </c>
      <c r="F58" s="35" t="s">
        <v>4</v>
      </c>
      <c r="G58" s="35" t="s">
        <v>5</v>
      </c>
    </row>
    <row r="59" spans="2:8" ht="26.25" customHeight="1" x14ac:dyDescent="0.2">
      <c r="B59" s="199" t="s">
        <v>74</v>
      </c>
      <c r="C59" s="311">
        <f t="shared" ref="C59:C64" si="1">C9*100</f>
        <v>7.391304347826086</v>
      </c>
      <c r="D59" s="182" t="s">
        <v>363</v>
      </c>
      <c r="E59" s="182">
        <v>0</v>
      </c>
      <c r="F59" s="182">
        <v>100</v>
      </c>
      <c r="G59" s="182">
        <v>1</v>
      </c>
      <c r="H59" s="11"/>
    </row>
    <row r="60" spans="2:8" ht="26.25" customHeight="1" x14ac:dyDescent="0.2">
      <c r="B60" s="199" t="s">
        <v>76</v>
      </c>
      <c r="C60" s="311">
        <f t="shared" si="1"/>
        <v>3.4782608695652169</v>
      </c>
      <c r="D60" s="182" t="s">
        <v>364</v>
      </c>
      <c r="E60" s="182">
        <v>0</v>
      </c>
      <c r="F60" s="182">
        <v>100</v>
      </c>
      <c r="G60" s="182">
        <v>1</v>
      </c>
      <c r="H60" s="467"/>
    </row>
    <row r="61" spans="2:8" ht="26.25" customHeight="1" x14ac:dyDescent="0.2">
      <c r="B61" s="199" t="s">
        <v>77</v>
      </c>
      <c r="C61" s="311">
        <f t="shared" si="1"/>
        <v>32.608695652173914</v>
      </c>
      <c r="D61" s="182" t="s">
        <v>365</v>
      </c>
      <c r="E61" s="182">
        <v>0</v>
      </c>
      <c r="F61" s="182">
        <v>100</v>
      </c>
      <c r="G61" s="182">
        <v>1</v>
      </c>
      <c r="H61" s="467"/>
    </row>
    <row r="62" spans="2:8" ht="26.25" customHeight="1" x14ac:dyDescent="0.2">
      <c r="B62" s="199" t="s">
        <v>78</v>
      </c>
      <c r="C62" s="311">
        <f t="shared" si="1"/>
        <v>0</v>
      </c>
      <c r="D62" s="182" t="s">
        <v>366</v>
      </c>
      <c r="E62" s="182">
        <v>0</v>
      </c>
      <c r="F62" s="182">
        <v>100</v>
      </c>
      <c r="G62" s="182">
        <v>1</v>
      </c>
      <c r="H62" s="467"/>
    </row>
    <row r="63" spans="2:8" ht="26.25" customHeight="1" x14ac:dyDescent="0.2">
      <c r="B63" s="314" t="s">
        <v>216</v>
      </c>
      <c r="C63" s="311">
        <f t="shared" si="1"/>
        <v>0</v>
      </c>
      <c r="D63" s="182" t="s">
        <v>393</v>
      </c>
      <c r="E63" s="182">
        <v>0</v>
      </c>
      <c r="F63" s="182">
        <v>100</v>
      </c>
      <c r="G63" s="182">
        <v>1</v>
      </c>
      <c r="H63" s="468"/>
    </row>
    <row r="64" spans="2:8" ht="26.25" customHeight="1" x14ac:dyDescent="0.2">
      <c r="B64" s="315" t="s">
        <v>368</v>
      </c>
      <c r="C64" s="311">
        <f t="shared" si="1"/>
        <v>10.869565217391303</v>
      </c>
      <c r="D64" s="182" t="s">
        <v>373</v>
      </c>
      <c r="E64" s="182">
        <v>0</v>
      </c>
      <c r="F64" s="182">
        <v>100</v>
      </c>
      <c r="G64" s="182">
        <v>1</v>
      </c>
      <c r="H64" s="11"/>
    </row>
    <row r="65" spans="2:8" ht="26.25" customHeight="1" x14ac:dyDescent="0.2">
      <c r="B65" s="199" t="s">
        <v>510</v>
      </c>
      <c r="C65" s="311">
        <v>0</v>
      </c>
      <c r="D65" s="182" t="s">
        <v>367</v>
      </c>
      <c r="E65" s="182">
        <v>0</v>
      </c>
      <c r="F65" s="182">
        <v>100</v>
      </c>
      <c r="G65" s="182">
        <v>1</v>
      </c>
      <c r="H65" s="11"/>
    </row>
    <row r="66" spans="2:8" ht="26.25" customHeight="1" x14ac:dyDescent="0.2">
      <c r="B66" s="199" t="s">
        <v>369</v>
      </c>
      <c r="C66" s="311">
        <f>C15*100</f>
        <v>0</v>
      </c>
      <c r="D66" s="182" t="s">
        <v>374</v>
      </c>
      <c r="E66" s="182">
        <v>0</v>
      </c>
      <c r="F66" s="182">
        <v>100</v>
      </c>
      <c r="G66" s="182">
        <v>1</v>
      </c>
      <c r="H66" s="11"/>
    </row>
    <row r="67" spans="2:8" ht="26.25" customHeight="1" x14ac:dyDescent="0.2">
      <c r="B67" s="199" t="s">
        <v>370</v>
      </c>
      <c r="C67" s="311">
        <f t="shared" ref="C67:C69" si="2">C16*100</f>
        <v>4.3478260869565206</v>
      </c>
      <c r="D67" s="182" t="s">
        <v>375</v>
      </c>
      <c r="E67" s="182">
        <v>0</v>
      </c>
      <c r="F67" s="182">
        <v>100</v>
      </c>
      <c r="G67" s="182">
        <v>1</v>
      </c>
      <c r="H67" s="37"/>
    </row>
    <row r="68" spans="2:8" ht="26.25" customHeight="1" x14ac:dyDescent="0.2">
      <c r="B68" s="199" t="s">
        <v>371</v>
      </c>
      <c r="C68" s="311">
        <f t="shared" si="2"/>
        <v>41.304347826086953</v>
      </c>
      <c r="D68" s="182" t="s">
        <v>376</v>
      </c>
      <c r="E68" s="182">
        <v>0</v>
      </c>
      <c r="F68" s="182">
        <v>100</v>
      </c>
      <c r="G68" s="182">
        <v>1</v>
      </c>
    </row>
    <row r="69" spans="2:8" ht="26.25" customHeight="1" x14ac:dyDescent="0.2">
      <c r="B69" s="199" t="s">
        <v>372</v>
      </c>
      <c r="C69" s="311">
        <f t="shared" si="2"/>
        <v>0</v>
      </c>
      <c r="D69" s="182" t="s">
        <v>377</v>
      </c>
      <c r="E69" s="182">
        <v>0</v>
      </c>
      <c r="F69" s="182">
        <v>100</v>
      </c>
      <c r="G69" s="182">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6"/>
    </row>
    <row r="74" spans="2:8" ht="26.25" customHeight="1" x14ac:dyDescent="0.2">
      <c r="B74" s="150"/>
      <c r="C74" s="116"/>
      <c r="D74" s="116"/>
      <c r="E74" s="116"/>
      <c r="F74" s="116"/>
      <c r="G74" s="116"/>
      <c r="H74" s="116"/>
    </row>
    <row r="75" spans="2:8" ht="26.25" customHeight="1" x14ac:dyDescent="0.2">
      <c r="B75" s="151"/>
      <c r="C75" s="152"/>
      <c r="D75" s="102"/>
      <c r="E75" s="102"/>
      <c r="F75" s="102"/>
      <c r="G75" s="102"/>
      <c r="H75" s="153"/>
    </row>
    <row r="76" spans="2:8" ht="26.25" customHeight="1" x14ac:dyDescent="0.2">
      <c r="B76" s="101"/>
      <c r="C76" s="154"/>
      <c r="D76" s="102"/>
      <c r="E76" s="102"/>
      <c r="F76" s="102"/>
      <c r="G76" s="102"/>
      <c r="H76" s="116"/>
    </row>
    <row r="77" spans="2:8" ht="26.25" customHeight="1" x14ac:dyDescent="0.2">
      <c r="B77" s="151"/>
      <c r="C77" s="152"/>
      <c r="D77" s="102"/>
      <c r="E77" s="102"/>
      <c r="F77" s="102"/>
      <c r="G77" s="102"/>
      <c r="H77" s="116"/>
    </row>
    <row r="78" spans="2:8" ht="26.25" customHeight="1" x14ac:dyDescent="0.2">
      <c r="B78" s="151"/>
      <c r="C78" s="152"/>
      <c r="D78" s="102"/>
      <c r="E78" s="102"/>
      <c r="F78" s="102"/>
      <c r="G78" s="102"/>
      <c r="H78" s="116"/>
    </row>
    <row r="79" spans="2:8" ht="26.25" customHeight="1" x14ac:dyDescent="0.2">
      <c r="B79" s="151"/>
      <c r="C79" s="152"/>
      <c r="D79" s="102"/>
      <c r="E79" s="102"/>
      <c r="F79" s="102"/>
      <c r="G79" s="102"/>
      <c r="H79" s="116"/>
    </row>
    <row r="80" spans="2:8" ht="26.25" customHeight="1" x14ac:dyDescent="0.2">
      <c r="B80" s="151"/>
      <c r="C80" s="152"/>
      <c r="D80" s="102"/>
      <c r="E80" s="102"/>
      <c r="F80" s="102"/>
      <c r="G80" s="102"/>
      <c r="H80" s="116"/>
    </row>
    <row r="81" spans="2:8" ht="26.25" customHeight="1" x14ac:dyDescent="0.2">
      <c r="B81" s="155"/>
      <c r="C81" s="156"/>
      <c r="D81" s="102"/>
      <c r="E81" s="102"/>
      <c r="F81" s="102"/>
      <c r="G81" s="102"/>
      <c r="H81" s="116"/>
    </row>
    <row r="82" spans="2:8" ht="26.25" customHeight="1" x14ac:dyDescent="0.2">
      <c r="B82" s="116"/>
      <c r="C82" s="116"/>
      <c r="D82" s="116"/>
      <c r="E82" s="116"/>
      <c r="F82" s="116"/>
      <c r="G82" s="116"/>
      <c r="H82" s="116"/>
    </row>
    <row r="83" spans="2:8" ht="26.25" customHeight="1" x14ac:dyDescent="0.2">
      <c r="B83" s="116"/>
      <c r="C83" s="116"/>
      <c r="D83" s="116"/>
      <c r="E83" s="116"/>
      <c r="F83" s="116"/>
      <c r="G83" s="116"/>
      <c r="H83" s="116"/>
    </row>
    <row r="84" spans="2:8" ht="26.25" customHeight="1" x14ac:dyDescent="0.2">
      <c r="B84" s="116"/>
      <c r="C84" s="116"/>
      <c r="D84" s="116"/>
      <c r="E84" s="116"/>
      <c r="F84" s="116"/>
      <c r="G84" s="116"/>
      <c r="H84" s="116"/>
    </row>
    <row r="85" spans="2:8" ht="26.25" customHeight="1" x14ac:dyDescent="0.2">
      <c r="B85" s="116"/>
      <c r="C85" s="116"/>
      <c r="D85" s="116"/>
      <c r="E85" s="116"/>
      <c r="F85" s="116"/>
      <c r="G85" s="116"/>
      <c r="H85" s="116"/>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A17" zoomScale="108" workbookViewId="0">
      <selection activeCell="C44" sqref="C44"/>
    </sheetView>
  </sheetViews>
  <sheetFormatPr baseColWidth="10" defaultColWidth="14.5" defaultRowHeight="15" customHeight="1" x14ac:dyDescent="0.2"/>
  <cols>
    <col min="1" max="1" width="20.83203125" customWidth="1"/>
    <col min="2" max="2" width="10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6"/>
      <c r="B1" s="431" t="s">
        <v>243</v>
      </c>
      <c r="C1" s="432" t="s">
        <v>244</v>
      </c>
      <c r="D1" s="432" t="s">
        <v>245</v>
      </c>
      <c r="E1" s="455" t="s">
        <v>532</v>
      </c>
      <c r="F1" s="1" t="s">
        <v>246</v>
      </c>
      <c r="H1" s="1">
        <v>590</v>
      </c>
      <c r="I1" s="1" t="s">
        <v>247</v>
      </c>
      <c r="J1" s="1" t="s">
        <v>248</v>
      </c>
    </row>
    <row r="2" spans="1:11" ht="14.25" customHeight="1" x14ac:dyDescent="0.2">
      <c r="A2" s="234"/>
      <c r="B2" s="430" t="s">
        <v>249</v>
      </c>
      <c r="C2" s="433">
        <v>29452.7</v>
      </c>
      <c r="D2" s="433">
        <v>47447.3</v>
      </c>
      <c r="E2" s="455"/>
      <c r="F2" s="55">
        <v>4.2</v>
      </c>
      <c r="G2" s="56">
        <v>3.44</v>
      </c>
      <c r="H2" s="57">
        <v>0.14199999999999999</v>
      </c>
      <c r="I2" s="1" t="s">
        <v>250</v>
      </c>
      <c r="J2" s="1">
        <v>2840.6945945945945</v>
      </c>
      <c r="K2" s="1">
        <v>7820.8297297297295</v>
      </c>
    </row>
    <row r="3" spans="1:11" ht="14.25" customHeight="1" x14ac:dyDescent="0.2">
      <c r="A3" s="234"/>
      <c r="B3" s="430" t="s">
        <v>251</v>
      </c>
      <c r="C3" s="433">
        <v>4691.5803648998108</v>
      </c>
      <c r="D3" s="433">
        <v>10584.396796704888</v>
      </c>
      <c r="E3" s="164"/>
    </row>
    <row r="4" spans="1:11" ht="14.25" customHeight="1" x14ac:dyDescent="0.2">
      <c r="A4" s="234"/>
      <c r="B4" s="430" t="s">
        <v>252</v>
      </c>
      <c r="C4" s="434">
        <v>110.15215893266695</v>
      </c>
      <c r="D4" s="434">
        <v>342.12947874289029</v>
      </c>
      <c r="E4" s="164"/>
      <c r="G4" s="128" t="s">
        <v>540</v>
      </c>
    </row>
    <row r="5" spans="1:11" ht="14.25" customHeight="1" x14ac:dyDescent="0.2">
      <c r="A5" s="234"/>
      <c r="B5" s="430" t="s">
        <v>253</v>
      </c>
      <c r="C5" s="434">
        <v>0</v>
      </c>
      <c r="D5" s="434">
        <v>9.3094769999999993</v>
      </c>
      <c r="E5" s="164"/>
      <c r="F5" s="1" t="s">
        <v>254</v>
      </c>
      <c r="G5" s="1" t="s">
        <v>255</v>
      </c>
      <c r="H5" s="1"/>
    </row>
    <row r="6" spans="1:11" ht="14.25" customHeight="1" x14ac:dyDescent="0.2">
      <c r="A6" s="472"/>
      <c r="B6" s="447" t="s">
        <v>256</v>
      </c>
      <c r="C6" s="435">
        <v>0.1</v>
      </c>
      <c r="D6" s="435">
        <v>0.08</v>
      </c>
      <c r="E6" s="471" t="s">
        <v>257</v>
      </c>
      <c r="F6" s="1" t="s">
        <v>258</v>
      </c>
      <c r="G6" s="448" t="s">
        <v>41</v>
      </c>
      <c r="H6" s="448" t="s">
        <v>44</v>
      </c>
      <c r="I6" s="448" t="s">
        <v>43</v>
      </c>
      <c r="J6" s="448" t="s">
        <v>45</v>
      </c>
      <c r="K6" s="449" t="s">
        <v>259</v>
      </c>
    </row>
    <row r="7" spans="1:11" ht="14.25" customHeight="1" x14ac:dyDescent="0.2">
      <c r="A7" s="473"/>
      <c r="B7" s="447" t="s">
        <v>260</v>
      </c>
      <c r="C7" s="435">
        <v>0.05</v>
      </c>
      <c r="D7" s="435">
        <v>0.08</v>
      </c>
      <c r="E7" s="471"/>
      <c r="F7" s="58" t="s">
        <v>48</v>
      </c>
      <c r="G7" s="450">
        <f>$C$6/SUM($C$6:$C$11)*$C$2*$C$4/($C$6/SUM($C$6:$C$11)*$C$2*$C$4+$D$6/SUM($D$6:$D$11)*$D$2*$D$4)</f>
        <v>0.2069326976244531</v>
      </c>
      <c r="H7" s="450">
        <f>$C$7/SUM($C$6:$C$11)*$C$2*$C$4/($C$7/SUM($C$6:$C$11)*$C$2*$C$4+$D$7/SUM($D$6:$D$11)*$D$2*$D$4)</f>
        <v>0.11540710008503202</v>
      </c>
      <c r="I7" s="450">
        <f>$C$8/SUM($C$6:$C$11)*$C$2*$C$4/($C$8/SUM($C$6:$C$11)*$C$2*$C$4+$D$8/SUM($D$6:$D$11)*$D$2*$D$4)</f>
        <v>0.34290677190492669</v>
      </c>
      <c r="J7" s="450">
        <f>$C$9/SUM($C$6:$C$11)*$C$2*$C$4/($C$9/SUM($C$6:$C$11)*$C$2*$C$4+$D$9/SUM($D$6:$D$11)*$D$2*$D$4)</f>
        <v>0.30905990962339219</v>
      </c>
      <c r="K7" s="451">
        <f>$C$10/SUM($C$6:$C$11)*$C$2*$C$4/($C$10/SUM($C$6:$C$11)*$C$2*$C$4+$D$10/SUM($D$6:$D$11)*$D$2*$D$4)</f>
        <v>4.6201189986377074E-2</v>
      </c>
    </row>
    <row r="8" spans="1:11" ht="14.25" customHeight="1" x14ac:dyDescent="0.2">
      <c r="A8" s="473"/>
      <c r="B8" s="447" t="s">
        <v>261</v>
      </c>
      <c r="C8" s="435">
        <v>0.2</v>
      </c>
      <c r="D8" s="435">
        <v>0.08</v>
      </c>
      <c r="E8" s="471"/>
      <c r="F8" s="58" t="s">
        <v>50</v>
      </c>
      <c r="G8" s="450">
        <f>$D$6/SUM($D$6:$D$11)*$D$2*$D$4/($C$6/SUM($C$6:$C$11)*$C$2*$C$4+$D$6/SUM($D$6:$D$11)*$D$2*$D$4)</f>
        <v>0.7930673023755469</v>
      </c>
      <c r="H8" s="450">
        <f>$D$7/SUM($D$6:$D$11)*$D$2*$D$4/($C$7/SUM($C$6:$C$11)*$C$2*$C$4+$D$7/SUM($D$6:$D$11)*$D$2*$D$4)</f>
        <v>0.88459289991496803</v>
      </c>
      <c r="I8" s="450">
        <f>$D$8/SUM($D$6:$D$11)*$D$2*$D$4/($C$8/SUM($C$6:$C$11)*$C$2*$C$4+$D$8/SUM($D$6:$D$11)*$D$2*$D$4)</f>
        <v>0.65709322809507331</v>
      </c>
      <c r="J8" s="450">
        <f>$D$9/SUM($D$6:$D$11)*$D$2*$D$4/($C$9/SUM($C$6:$C$11)*$C$2*$C$4+$D$9/SUM($D$6:$D$11)*$D$2*$D$4)</f>
        <v>0.69094009037660786</v>
      </c>
      <c r="K8" s="451">
        <f>$D$10/SUM($D$6:$D$11)*$D$2*$D$4/($C$10/SUM($C$6:$C$11)*$C$2*$C$4+$D$10/SUM($D$6:$D$11)*$D$2*$D$4)</f>
        <v>0.95379881001362288</v>
      </c>
    </row>
    <row r="9" spans="1:11" ht="14.25" customHeight="1" x14ac:dyDescent="0.2">
      <c r="A9" s="473"/>
      <c r="B9" s="447" t="s">
        <v>262</v>
      </c>
      <c r="C9" s="435">
        <v>0.15</v>
      </c>
      <c r="D9" s="435">
        <v>7.0000000000000007E-2</v>
      </c>
      <c r="E9" s="471"/>
      <c r="F9" s="58"/>
      <c r="G9" s="452">
        <f>G8+G7</f>
        <v>1</v>
      </c>
      <c r="H9" s="452">
        <f t="shared" ref="H9:K9" si="0">H8+H7</f>
        <v>1</v>
      </c>
      <c r="I9" s="452">
        <f t="shared" si="0"/>
        <v>1</v>
      </c>
      <c r="J9" s="452">
        <f t="shared" si="0"/>
        <v>1</v>
      </c>
      <c r="K9" s="452">
        <f t="shared" si="0"/>
        <v>1</v>
      </c>
    </row>
    <row r="10" spans="1:11" ht="14.25" customHeight="1" x14ac:dyDescent="0.2">
      <c r="A10" s="473"/>
      <c r="B10" s="447" t="s">
        <v>263</v>
      </c>
      <c r="C10" s="435">
        <v>5.61865E-2</v>
      </c>
      <c r="D10" s="435">
        <v>0.2421278</v>
      </c>
      <c r="E10" s="471"/>
      <c r="G10" s="22"/>
      <c r="H10" s="22"/>
    </row>
    <row r="11" spans="1:11" ht="14.25" customHeight="1" x14ac:dyDescent="0.2">
      <c r="A11" s="474"/>
      <c r="B11" s="447" t="s">
        <v>264</v>
      </c>
      <c r="C11" s="435">
        <v>1.06572E-2</v>
      </c>
      <c r="D11" s="435">
        <v>3.9919299999999998E-2</v>
      </c>
      <c r="E11" s="471"/>
      <c r="G11" s="1" t="s">
        <v>265</v>
      </c>
      <c r="H11" s="22"/>
    </row>
    <row r="12" spans="1:11" ht="14.25" customHeight="1" x14ac:dyDescent="0.2">
      <c r="A12" s="14"/>
      <c r="B12" s="54" t="s">
        <v>539</v>
      </c>
      <c r="C12" s="54"/>
      <c r="D12" s="54"/>
      <c r="F12" s="1" t="s">
        <v>266</v>
      </c>
      <c r="G12" s="453">
        <f>$C$6/SUM($C$6:$C$11)*$C$2*$C$4</f>
        <v>572340.92773654545</v>
      </c>
      <c r="H12" s="453">
        <f>$D$6/SUM($D$6:$D$11)*$D$2*$D$4</f>
        <v>2193490.3512585452</v>
      </c>
    </row>
    <row r="13" spans="1:11" ht="14.25" customHeight="1" x14ac:dyDescent="0.2">
      <c r="A13" s="469" t="s">
        <v>537</v>
      </c>
      <c r="B13" s="429" t="s">
        <v>267</v>
      </c>
      <c r="C13" s="435">
        <v>9.1366799999999998E-2</v>
      </c>
      <c r="D13" s="435">
        <v>0.11561250000000001</v>
      </c>
      <c r="E13" s="475" t="s">
        <v>257</v>
      </c>
      <c r="F13" s="22" t="s">
        <v>259</v>
      </c>
      <c r="G13" s="453">
        <f>$C$10/SUM($C$6:$C$11)*$C$2*$C$4</f>
        <v>321578.33536269405</v>
      </c>
      <c r="H13" s="453">
        <f>$D$10/SUM($D$6:$D$11)*$D$2*$D$4</f>
        <v>6638812.4133932348</v>
      </c>
    </row>
    <row r="14" spans="1:11" ht="14.25" customHeight="1" x14ac:dyDescent="0.2">
      <c r="A14" s="470"/>
      <c r="B14" s="429" t="s">
        <v>268</v>
      </c>
      <c r="C14" s="435">
        <v>0</v>
      </c>
      <c r="D14" s="435">
        <v>0</v>
      </c>
      <c r="E14" s="475"/>
      <c r="F14" s="22" t="s">
        <v>269</v>
      </c>
      <c r="G14" s="454">
        <f t="shared" ref="G14:H14" si="1">C11/SUM(C6:C11)*C2*C4</f>
        <v>60995.517350739108</v>
      </c>
      <c r="H14" s="454">
        <f t="shared" si="1"/>
        <v>1094532.4922374405</v>
      </c>
    </row>
    <row r="15" spans="1:11" ht="14.25" customHeight="1" x14ac:dyDescent="0.2">
      <c r="A15" s="470"/>
      <c r="B15" s="429" t="s">
        <v>270</v>
      </c>
      <c r="C15" s="435">
        <v>0</v>
      </c>
      <c r="D15" s="435">
        <v>0</v>
      </c>
      <c r="E15" s="475"/>
      <c r="F15" s="22" t="s">
        <v>188</v>
      </c>
      <c r="G15" s="454">
        <f t="shared" ref="G15:H15" si="2">C2*C4</f>
        <v>3244278.4913961599</v>
      </c>
      <c r="H15" s="454">
        <f t="shared" si="2"/>
        <v>16233120.016757539</v>
      </c>
    </row>
    <row r="16" spans="1:11" ht="14.25" customHeight="1" x14ac:dyDescent="0.2">
      <c r="A16" s="470"/>
      <c r="B16" s="429" t="s">
        <v>271</v>
      </c>
      <c r="C16" s="435">
        <v>0.41068729999999998</v>
      </c>
      <c r="D16" s="435">
        <v>0.35118470000000002</v>
      </c>
      <c r="E16" s="475"/>
      <c r="G16" s="453">
        <f t="shared" ref="G16:H16" si="3">SUM(G12:G14)</f>
        <v>954914.78044997854</v>
      </c>
      <c r="H16" s="453">
        <f t="shared" si="3"/>
        <v>9926835.2568892203</v>
      </c>
    </row>
    <row r="17" spans="1:5" ht="14.25" customHeight="1" x14ac:dyDescent="0.2">
      <c r="A17" s="470"/>
      <c r="B17" s="429" t="s">
        <v>272</v>
      </c>
      <c r="C17" s="435">
        <v>0</v>
      </c>
      <c r="D17" s="435">
        <v>0</v>
      </c>
      <c r="E17" s="475"/>
    </row>
    <row r="18" spans="1:5" ht="14.25" customHeight="1" x14ac:dyDescent="0.2">
      <c r="A18" s="470"/>
      <c r="B18" s="429" t="s">
        <v>273</v>
      </c>
      <c r="C18" s="435">
        <v>0</v>
      </c>
      <c r="D18" s="435">
        <v>0</v>
      </c>
      <c r="E18" s="475"/>
    </row>
    <row r="19" spans="1:5" ht="14.25" customHeight="1" x14ac:dyDescent="0.2">
      <c r="A19" s="470"/>
      <c r="B19" s="429" t="s">
        <v>274</v>
      </c>
      <c r="C19" s="435">
        <v>0</v>
      </c>
      <c r="D19" s="435">
        <v>5.1514000000000004E-3</v>
      </c>
      <c r="E19" s="475"/>
    </row>
    <row r="20" spans="1:5" ht="14.25" customHeight="1" x14ac:dyDescent="0.2">
      <c r="A20" s="470"/>
      <c r="B20" s="429" t="s">
        <v>275</v>
      </c>
      <c r="C20" s="435">
        <v>0.32233099999999998</v>
      </c>
      <c r="D20" s="435">
        <v>0.40070909999999998</v>
      </c>
      <c r="E20" s="475"/>
    </row>
    <row r="21" spans="1:5" ht="14.25" customHeight="1" x14ac:dyDescent="0.2">
      <c r="A21" s="470"/>
      <c r="B21" s="437" t="s">
        <v>276</v>
      </c>
      <c r="C21" s="435">
        <v>3.7947300000000003E-2</v>
      </c>
      <c r="D21" s="446">
        <v>2.4188999999999999E-2</v>
      </c>
      <c r="E21" s="475"/>
    </row>
    <row r="22" spans="1:5" ht="14.25" customHeight="1" x14ac:dyDescent="0.2">
      <c r="A22" s="470"/>
      <c r="B22" s="438" t="s">
        <v>277</v>
      </c>
      <c r="C22" s="436">
        <v>0</v>
      </c>
      <c r="D22" s="445">
        <v>1.8204E-3</v>
      </c>
      <c r="E22" s="475"/>
    </row>
    <row r="23" spans="1:5" ht="14.25" customHeight="1" x14ac:dyDescent="0.2">
      <c r="A23" s="470"/>
      <c r="B23" s="439" t="s">
        <v>278</v>
      </c>
      <c r="C23" s="445">
        <v>0</v>
      </c>
      <c r="D23" s="440">
        <v>2.7959999999999999E-3</v>
      </c>
      <c r="E23" s="475"/>
    </row>
    <row r="24" spans="1:5" ht="14.25" customHeight="1" x14ac:dyDescent="0.2">
      <c r="A24" s="441"/>
      <c r="B24" s="442" t="s">
        <v>279</v>
      </c>
      <c r="C24" s="443">
        <f>SUM(C13:C23)</f>
        <v>0.8623324</v>
      </c>
      <c r="D24" s="444">
        <f>SUM(D13:D23)</f>
        <v>0.90146310000000007</v>
      </c>
      <c r="E24" s="23" t="s">
        <v>538</v>
      </c>
    </row>
    <row r="25" spans="1:5" ht="14.25" customHeight="1" x14ac:dyDescent="0.2">
      <c r="B25" s="11"/>
    </row>
    <row r="26" spans="1:5" ht="14.25" customHeight="1" x14ac:dyDescent="0.2">
      <c r="B26" s="157" t="s">
        <v>535</v>
      </c>
      <c r="C26" s="60"/>
      <c r="D26" s="60"/>
    </row>
    <row r="27" spans="1:5" ht="14.25" customHeight="1" x14ac:dyDescent="0.2">
      <c r="B27" s="327" t="s">
        <v>280</v>
      </c>
      <c r="C27" s="328" t="s">
        <v>48</v>
      </c>
      <c r="D27" s="329" t="s">
        <v>50</v>
      </c>
    </row>
    <row r="28" spans="1:5" ht="14.25" customHeight="1" x14ac:dyDescent="0.2">
      <c r="B28" s="330" t="s">
        <v>33</v>
      </c>
      <c r="C28" s="331">
        <f t="shared" ref="C28:D28" si="4">C$2*C$4*C16/SUM(C13:C23)</f>
        <v>1545093.2541553143</v>
      </c>
      <c r="D28" s="331">
        <f t="shared" si="4"/>
        <v>6323967.5402675839</v>
      </c>
      <c r="E28" s="1" t="s">
        <v>281</v>
      </c>
    </row>
    <row r="29" spans="1:5" ht="14.25" customHeight="1" x14ac:dyDescent="0.2">
      <c r="B29" s="332" t="s">
        <v>35</v>
      </c>
      <c r="C29" s="333">
        <v>0</v>
      </c>
      <c r="D29" s="334" t="s">
        <v>282</v>
      </c>
    </row>
    <row r="30" spans="1:5" ht="14.25" customHeight="1" x14ac:dyDescent="0.2">
      <c r="B30" s="330" t="s">
        <v>37</v>
      </c>
      <c r="C30" s="331">
        <f t="shared" ref="C30:D30" si="5">C2*C4*SUM(C13:C15,C18,C20)/SUM(C13:C23)</f>
        <v>1556419.3975292013</v>
      </c>
      <c r="D30" s="331">
        <f t="shared" si="5"/>
        <v>9297674.5249409284</v>
      </c>
      <c r="E30" s="1" t="s">
        <v>283</v>
      </c>
    </row>
    <row r="31" spans="1:5" ht="14.25" customHeight="1" x14ac:dyDescent="0.2">
      <c r="B31" s="330" t="s">
        <v>39</v>
      </c>
      <c r="C31" s="331">
        <f t="shared" ref="C31:D31" si="6">C2*C4*C17/SUM(C13:C23)</f>
        <v>0</v>
      </c>
      <c r="D31" s="331">
        <f t="shared" si="6"/>
        <v>0</v>
      </c>
      <c r="E31" s="1" t="s">
        <v>284</v>
      </c>
    </row>
    <row r="32" spans="1:5" ht="14.25" customHeight="1" x14ac:dyDescent="0.2">
      <c r="B32" s="332" t="s">
        <v>41</v>
      </c>
      <c r="C32" s="331">
        <v>0</v>
      </c>
      <c r="D32" s="331">
        <v>0</v>
      </c>
      <c r="E32" s="1" t="s">
        <v>285</v>
      </c>
    </row>
    <row r="33" spans="2:5" ht="14.25" customHeight="1" x14ac:dyDescent="0.2">
      <c r="B33" s="332" t="s">
        <v>43</v>
      </c>
      <c r="C33" s="331">
        <v>0</v>
      </c>
      <c r="D33" s="331">
        <v>0</v>
      </c>
      <c r="E33" s="1" t="s">
        <v>285</v>
      </c>
    </row>
    <row r="34" spans="2:5" ht="14.25" customHeight="1" x14ac:dyDescent="0.2">
      <c r="B34" s="332" t="s">
        <v>44</v>
      </c>
      <c r="C34" s="331">
        <v>0</v>
      </c>
      <c r="D34" s="331">
        <v>0</v>
      </c>
      <c r="E34" s="1" t="s">
        <v>285</v>
      </c>
    </row>
    <row r="35" spans="2:5" ht="14.25" customHeight="1" x14ac:dyDescent="0.2">
      <c r="B35" s="332" t="s">
        <v>45</v>
      </c>
      <c r="C35" s="331">
        <v>0</v>
      </c>
      <c r="D35" s="331">
        <v>0</v>
      </c>
      <c r="E35" s="1" t="s">
        <v>285</v>
      </c>
    </row>
    <row r="36" spans="2:5" ht="14.25" customHeight="1" x14ac:dyDescent="0.2">
      <c r="B36" s="330" t="s">
        <v>46</v>
      </c>
      <c r="C36" s="331">
        <f t="shared" ref="C36:D36" si="7">C2*C4*C22/SUM(C13:C23)</f>
        <v>0</v>
      </c>
      <c r="D36" s="331">
        <f t="shared" si="7"/>
        <v>32780.899937563081</v>
      </c>
      <c r="E36" s="1" t="s">
        <v>286</v>
      </c>
    </row>
    <row r="37" spans="2:5" ht="14.25" customHeight="1" x14ac:dyDescent="0.2">
      <c r="B37" s="330" t="s">
        <v>48</v>
      </c>
      <c r="C37" s="331">
        <v>0</v>
      </c>
      <c r="D37" s="331">
        <v>0</v>
      </c>
      <c r="E37" s="1" t="s">
        <v>287</v>
      </c>
    </row>
    <row r="38" spans="2:5" ht="14.25" customHeight="1" x14ac:dyDescent="0.2">
      <c r="B38" s="330" t="s">
        <v>50</v>
      </c>
      <c r="C38" s="331">
        <v>0</v>
      </c>
      <c r="D38" s="331">
        <v>0</v>
      </c>
      <c r="E38" s="1" t="s">
        <v>287</v>
      </c>
    </row>
    <row r="39" spans="2:5" ht="14.25" customHeight="1" x14ac:dyDescent="0.2">
      <c r="B39" s="330" t="s">
        <v>51</v>
      </c>
      <c r="C39" s="331">
        <f t="shared" ref="C39:D39" si="8">C2*C4*C19/SUM(C13:C23)</f>
        <v>0</v>
      </c>
      <c r="D39" s="331">
        <f t="shared" si="8"/>
        <v>92763.968324743168</v>
      </c>
      <c r="E39" s="1" t="s">
        <v>288</v>
      </c>
    </row>
    <row r="40" spans="2:5" ht="14.25" customHeight="1" x14ac:dyDescent="0.2">
      <c r="B40" s="330" t="s">
        <v>53</v>
      </c>
      <c r="C40" s="331">
        <v>0</v>
      </c>
      <c r="D40" s="331">
        <v>0</v>
      </c>
      <c r="E40" s="1" t="s">
        <v>289</v>
      </c>
    </row>
    <row r="41" spans="2:5" ht="14.25" customHeight="1" x14ac:dyDescent="0.2">
      <c r="B41" s="330" t="s">
        <v>55</v>
      </c>
      <c r="C41" s="331">
        <v>0</v>
      </c>
      <c r="D41" s="331">
        <v>0</v>
      </c>
      <c r="E41" s="1" t="s">
        <v>290</v>
      </c>
    </row>
    <row r="42" spans="2:5" ht="14.25" customHeight="1" x14ac:dyDescent="0.2">
      <c r="B42" s="330" t="s">
        <v>57</v>
      </c>
      <c r="C42" s="331">
        <v>0</v>
      </c>
      <c r="D42" s="331">
        <v>0</v>
      </c>
      <c r="E42" s="1" t="s">
        <v>291</v>
      </c>
    </row>
    <row r="43" spans="2:5" ht="14.25" customHeight="1" x14ac:dyDescent="0.2">
      <c r="B43" s="330" t="s">
        <v>60</v>
      </c>
      <c r="C43" s="331">
        <f t="shared" ref="C43:D43" si="9">C2*C4*C23/SUM(C13:C23)</f>
        <v>0</v>
      </c>
      <c r="D43" s="331">
        <f t="shared" si="9"/>
        <v>50349.042092631491</v>
      </c>
      <c r="E43" s="1" t="s">
        <v>292</v>
      </c>
    </row>
    <row r="44" spans="2:5" ht="14.25" customHeight="1" x14ac:dyDescent="0.2">
      <c r="B44" s="335" t="s">
        <v>62</v>
      </c>
      <c r="C44" s="331">
        <f t="shared" ref="C44:D44" si="10">C2*C4*C21/SUM(C13:C23)</f>
        <v>142765.83971164425</v>
      </c>
      <c r="D44" s="331">
        <f t="shared" si="10"/>
        <v>435584.04119408556</v>
      </c>
      <c r="E44" s="1" t="s">
        <v>293</v>
      </c>
    </row>
    <row r="45" spans="2:5" ht="14.25" customHeight="1" x14ac:dyDescent="0.2">
      <c r="B45" s="330" t="s">
        <v>64</v>
      </c>
      <c r="C45" s="331">
        <f t="shared" ref="C45:D45" si="11">SUM(C28:C44)</f>
        <v>3244278.4913961599</v>
      </c>
      <c r="D45" s="336">
        <f t="shared" si="11"/>
        <v>16233120.016757535</v>
      </c>
      <c r="E45" s="1" t="s">
        <v>294</v>
      </c>
    </row>
    <row r="46" spans="2:5" ht="14.25" customHeight="1" x14ac:dyDescent="0.2">
      <c r="B46" s="330" t="s">
        <v>66</v>
      </c>
      <c r="C46" s="337">
        <f t="shared" ref="C46:D46" si="12">C2*C4</f>
        <v>3244278.4913961599</v>
      </c>
      <c r="D46" s="338">
        <f t="shared" si="12"/>
        <v>16233120.016757539</v>
      </c>
      <c r="E46" s="1" t="s">
        <v>295</v>
      </c>
    </row>
    <row r="47" spans="2:5" ht="14.25" customHeight="1" x14ac:dyDescent="0.2">
      <c r="B47" s="330" t="s">
        <v>68</v>
      </c>
      <c r="C47" s="331">
        <f t="shared" ref="C47:D47" si="13">C46-C45</f>
        <v>0</v>
      </c>
      <c r="D47" s="336">
        <f t="shared" si="13"/>
        <v>0</v>
      </c>
    </row>
    <row r="48" spans="2:5" ht="14.25" customHeight="1" x14ac:dyDescent="0.2">
      <c r="B48" s="339" t="s">
        <v>70</v>
      </c>
      <c r="C48" s="340">
        <f t="shared" ref="C48:D48" si="14">C47/C46</f>
        <v>0</v>
      </c>
      <c r="D48" s="341">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3" t="s">
        <v>536</v>
      </c>
      <c r="I53" s="23" t="s">
        <v>536</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2" t="str">
        <f t="shared" ref="B55:C55" si="15">B2</f>
        <v>What is the population of the communities constituting this local economy? (Number of people)</v>
      </c>
      <c r="C55" s="326">
        <f t="shared" si="15"/>
        <v>29452.7</v>
      </c>
      <c r="D55" s="182" t="s">
        <v>297</v>
      </c>
      <c r="E55" s="182">
        <v>0</v>
      </c>
      <c r="F55" s="182">
        <v>1000000</v>
      </c>
      <c r="G55" s="182">
        <v>1</v>
      </c>
      <c r="I55" s="182" t="str">
        <f>B2</f>
        <v>What is the population of the communities constituting this local economy? (Number of people)</v>
      </c>
      <c r="J55" s="325">
        <f>D2</f>
        <v>47447.3</v>
      </c>
      <c r="K55" s="182" t="s">
        <v>296</v>
      </c>
      <c r="L55" s="182">
        <v>0</v>
      </c>
      <c r="M55" s="182">
        <v>1000000</v>
      </c>
      <c r="N55" s="182">
        <v>1</v>
      </c>
    </row>
    <row r="56" spans="2:14" ht="14.25" customHeight="1" x14ac:dyDescent="0.2">
      <c r="B56" s="182" t="str">
        <f t="shared" ref="B56:C56" si="16">B3</f>
        <v>How many households are in this local economy? (Number of households)</v>
      </c>
      <c r="C56" s="326">
        <f t="shared" si="16"/>
        <v>4691.5803648998108</v>
      </c>
      <c r="D56" s="182" t="s">
        <v>299</v>
      </c>
      <c r="E56" s="182">
        <v>0</v>
      </c>
      <c r="F56" s="182">
        <v>1000000</v>
      </c>
      <c r="G56" s="182">
        <v>1</v>
      </c>
      <c r="I56" s="182" t="str">
        <f>B3</f>
        <v>How many households are in this local economy? (Number of households)</v>
      </c>
      <c r="J56" s="325">
        <f>D3</f>
        <v>10584.396796704888</v>
      </c>
      <c r="K56" s="182" t="s">
        <v>298</v>
      </c>
      <c r="L56" s="182">
        <v>0</v>
      </c>
      <c r="M56" s="182">
        <v>1000000</v>
      </c>
      <c r="N56" s="182">
        <v>1</v>
      </c>
    </row>
    <row r="57" spans="2:14" ht="14.25" customHeight="1" x14ac:dyDescent="0.2">
      <c r="B57" s="182" t="str">
        <f t="shared" ref="B57:C57" si="17">B4</f>
        <v>About what is the average annual per-capita income of households in this region (US$)?</v>
      </c>
      <c r="C57" s="326">
        <f t="shared" si="17"/>
        <v>110.15215893266695</v>
      </c>
      <c r="D57" s="182" t="s">
        <v>301</v>
      </c>
      <c r="E57" s="182">
        <v>0</v>
      </c>
      <c r="F57" s="182">
        <v>1000000</v>
      </c>
      <c r="G57" s="182">
        <v>1</v>
      </c>
      <c r="I57" s="182" t="str">
        <f>B4</f>
        <v>About what is the average annual per-capita income of households in this region (US$)?</v>
      </c>
      <c r="J57" s="326">
        <f>D4</f>
        <v>342.12947874289029</v>
      </c>
      <c r="K57" s="182" t="s">
        <v>300</v>
      </c>
      <c r="L57" s="182">
        <v>0</v>
      </c>
      <c r="M57" s="182">
        <v>1000000</v>
      </c>
      <c r="N57" s="182">
        <v>1</v>
      </c>
    </row>
    <row r="58" spans="2:14" ht="14.25" customHeight="1" x14ac:dyDescent="0.2">
      <c r="B58" s="182" t="str">
        <f t="shared" ref="B58:C58" si="18">B5</f>
        <v>About what is the average annual government transfers (e.g., SCTs) to households in this region?</v>
      </c>
      <c r="C58" s="326">
        <f t="shared" si="18"/>
        <v>0</v>
      </c>
      <c r="D58" s="182" t="s">
        <v>303</v>
      </c>
      <c r="E58" s="182">
        <v>0</v>
      </c>
      <c r="F58" s="182">
        <v>1000000</v>
      </c>
      <c r="G58" s="182">
        <v>1</v>
      </c>
      <c r="I58" s="182" t="str">
        <f>B5</f>
        <v>About what is the average annual government transfers (e.g., SCTs) to households in this region?</v>
      </c>
      <c r="J58" s="326">
        <f>D5</f>
        <v>9.3094769999999993</v>
      </c>
      <c r="K58" s="182" t="s">
        <v>302</v>
      </c>
      <c r="L58" s="182">
        <v>0</v>
      </c>
      <c r="M58" s="182">
        <v>1000000</v>
      </c>
      <c r="N58" s="182">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2" t="str">
        <f>B6</f>
        <v>About what % of household income comes from wages earned by male unskilled workers in the household?</v>
      </c>
      <c r="C60" s="182">
        <f>C6*100</f>
        <v>10</v>
      </c>
      <c r="D60" s="182" t="s">
        <v>383</v>
      </c>
      <c r="E60" s="182">
        <v>0</v>
      </c>
      <c r="F60" s="182">
        <v>100</v>
      </c>
      <c r="G60" s="182">
        <v>0.01</v>
      </c>
      <c r="I60" s="182" t="str">
        <f>B60</f>
        <v>About what % of household income comes from wages earned by male unskilled workers in the household?</v>
      </c>
      <c r="J60" s="182">
        <f>D6*100</f>
        <v>8</v>
      </c>
      <c r="K60" s="182" t="s">
        <v>387</v>
      </c>
      <c r="L60" s="182">
        <v>0</v>
      </c>
      <c r="M60" s="182">
        <v>100</v>
      </c>
      <c r="N60" s="182">
        <v>0.01</v>
      </c>
    </row>
    <row r="61" spans="2:14" ht="14.25" customHeight="1" x14ac:dyDescent="0.2">
      <c r="B61" s="182" t="str">
        <f t="shared" ref="B61:B63" si="19">B7</f>
        <v>About what % of household income comes from wages earned by male skilled workers in the household?</v>
      </c>
      <c r="C61" s="182">
        <f t="shared" ref="C61:C63" si="20">C7*100</f>
        <v>5</v>
      </c>
      <c r="D61" s="182" t="s">
        <v>384</v>
      </c>
      <c r="E61" s="182">
        <v>0</v>
      </c>
      <c r="F61" s="182">
        <v>100</v>
      </c>
      <c r="G61" s="182">
        <v>0.01</v>
      </c>
      <c r="I61" s="182" t="str">
        <f t="shared" ref="I61:I65" si="21">B61</f>
        <v>About what % of household income comes from wages earned by male skilled workers in the household?</v>
      </c>
      <c r="J61" s="182">
        <f t="shared" ref="J61:J65" si="22">D7*100</f>
        <v>8</v>
      </c>
      <c r="K61" s="182" t="s">
        <v>388</v>
      </c>
      <c r="L61" s="182">
        <v>0</v>
      </c>
      <c r="M61" s="182">
        <v>100</v>
      </c>
      <c r="N61" s="182">
        <v>0.01</v>
      </c>
    </row>
    <row r="62" spans="2:14" ht="14.25" customHeight="1" x14ac:dyDescent="0.2">
      <c r="B62" s="182" t="str">
        <f t="shared" si="19"/>
        <v>About what % of household income comes from wages earned by female unskilled workers in the household?</v>
      </c>
      <c r="C62" s="182">
        <f t="shared" si="20"/>
        <v>20</v>
      </c>
      <c r="D62" s="182" t="s">
        <v>385</v>
      </c>
      <c r="E62" s="182">
        <v>0</v>
      </c>
      <c r="F62" s="182">
        <v>100</v>
      </c>
      <c r="G62" s="182">
        <v>0.01</v>
      </c>
      <c r="I62" s="182" t="str">
        <f t="shared" si="21"/>
        <v>About what % of household income comes from wages earned by female unskilled workers in the household?</v>
      </c>
      <c r="J62" s="182">
        <f t="shared" si="22"/>
        <v>8</v>
      </c>
      <c r="K62" s="182" t="s">
        <v>389</v>
      </c>
      <c r="L62" s="182">
        <v>0</v>
      </c>
      <c r="M62" s="182">
        <v>100</v>
      </c>
      <c r="N62" s="182">
        <v>0.01</v>
      </c>
    </row>
    <row r="63" spans="2:14" ht="14.25" customHeight="1" x14ac:dyDescent="0.2">
      <c r="B63" s="182" t="str">
        <f t="shared" si="19"/>
        <v>About what % of household income comes from wages earned by female skilled workers in the household?</v>
      </c>
      <c r="C63" s="182">
        <f t="shared" si="20"/>
        <v>15</v>
      </c>
      <c r="D63" s="182" t="s">
        <v>386</v>
      </c>
      <c r="E63" s="182">
        <v>0</v>
      </c>
      <c r="F63" s="182">
        <v>100</v>
      </c>
      <c r="G63" s="182">
        <v>0.01</v>
      </c>
      <c r="I63" s="182" t="str">
        <f t="shared" si="21"/>
        <v>About what % of household income comes from wages earned by female skilled workers in the household?</v>
      </c>
      <c r="J63" s="182">
        <f t="shared" si="22"/>
        <v>7.0000000000000009</v>
      </c>
      <c r="K63" s="182" t="s">
        <v>390</v>
      </c>
      <c r="L63" s="182">
        <v>0</v>
      </c>
      <c r="M63" s="182">
        <v>100</v>
      </c>
      <c r="N63" s="182">
        <v>0.01</v>
      </c>
    </row>
    <row r="64" spans="2:14" ht="14.25" customHeight="1" x14ac:dyDescent="0.2">
      <c r="B64" s="182" t="str">
        <f t="shared" ref="B64:B66" si="23">B10</f>
        <v>About what % of household incomes comes from profits from household-owned farms or businesses or renting property the household owns?</v>
      </c>
      <c r="C64" s="182">
        <f t="shared" ref="C64:C65" si="24">C10*100</f>
        <v>5.6186499999999997</v>
      </c>
      <c r="D64" s="182" t="s">
        <v>305</v>
      </c>
      <c r="E64" s="182">
        <v>0</v>
      </c>
      <c r="F64" s="182">
        <v>100</v>
      </c>
      <c r="G64" s="182">
        <v>0.01</v>
      </c>
      <c r="I64" s="182" t="str">
        <f t="shared" si="21"/>
        <v>About what % of household incomes comes from profits from household-owned farms or businesses or renting property the household owns?</v>
      </c>
      <c r="J64" s="182">
        <f t="shared" si="22"/>
        <v>24.212780000000002</v>
      </c>
      <c r="K64" s="182" t="s">
        <v>304</v>
      </c>
      <c r="L64" s="182">
        <v>0</v>
      </c>
      <c r="M64" s="182">
        <v>100</v>
      </c>
      <c r="N64" s="182">
        <v>0.01</v>
      </c>
    </row>
    <row r="65" spans="2:14" ht="14.25" customHeight="1" x14ac:dyDescent="0.2">
      <c r="B65" s="182" t="str">
        <f t="shared" si="23"/>
        <v>About what % of household incomes comes from migrant remittances (domestic and foreign?</v>
      </c>
      <c r="C65" s="182">
        <f t="shared" si="24"/>
        <v>1.06572</v>
      </c>
      <c r="D65" s="182" t="s">
        <v>307</v>
      </c>
      <c r="E65" s="182">
        <v>0</v>
      </c>
      <c r="F65" s="182">
        <v>100</v>
      </c>
      <c r="G65" s="182">
        <v>0.01</v>
      </c>
      <c r="I65" s="182" t="str">
        <f t="shared" si="21"/>
        <v>About what % of household incomes comes from migrant remittances (domestic and foreign?</v>
      </c>
      <c r="J65" s="182">
        <f t="shared" si="22"/>
        <v>3.99193</v>
      </c>
      <c r="K65" s="182" t="s">
        <v>306</v>
      </c>
      <c r="L65" s="182">
        <v>0</v>
      </c>
      <c r="M65" s="182">
        <v>100</v>
      </c>
      <c r="N65" s="182">
        <v>0.01</v>
      </c>
    </row>
    <row r="66" spans="2:14" ht="14.25" customHeight="1" x14ac:dyDescent="0.2">
      <c r="B66" s="61" t="str">
        <f t="shared" si="23"/>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2" t="str">
        <f t="shared" ref="B68:B79" si="25">B13</f>
        <v>Food bought from Local grocery stores</v>
      </c>
      <c r="C68" s="182">
        <f t="shared" ref="C68:C79" si="26">C13*100</f>
        <v>9.1366800000000001</v>
      </c>
      <c r="D68" s="182" t="s">
        <v>309</v>
      </c>
      <c r="E68" s="182">
        <v>0</v>
      </c>
      <c r="F68" s="182">
        <v>100</v>
      </c>
      <c r="G68" s="182">
        <v>0.01</v>
      </c>
      <c r="I68" s="182" t="str">
        <f t="shared" ref="I68:I79" si="27">B13</f>
        <v>Food bought from Local grocery stores</v>
      </c>
      <c r="J68" s="182">
        <f t="shared" ref="J68:J79" si="28">D13*100</f>
        <v>11.561250000000001</v>
      </c>
      <c r="K68" s="182" t="s">
        <v>308</v>
      </c>
      <c r="L68" s="182">
        <v>0</v>
      </c>
      <c r="M68" s="182">
        <v>100</v>
      </c>
      <c r="N68" s="182">
        <v>0.01</v>
      </c>
    </row>
    <row r="69" spans="2:14" ht="14.25" customHeight="1" x14ac:dyDescent="0.2">
      <c r="B69" s="182" t="str">
        <f t="shared" si="25"/>
        <v>Other goods from local grocery stores</v>
      </c>
      <c r="C69" s="182">
        <f t="shared" si="26"/>
        <v>0</v>
      </c>
      <c r="D69" s="182" t="s">
        <v>311</v>
      </c>
      <c r="E69" s="182">
        <v>0</v>
      </c>
      <c r="F69" s="182">
        <v>100</v>
      </c>
      <c r="G69" s="182">
        <v>0.01</v>
      </c>
      <c r="I69" s="182" t="str">
        <f t="shared" si="27"/>
        <v>Other goods from local grocery stores</v>
      </c>
      <c r="J69" s="182">
        <f t="shared" si="28"/>
        <v>0</v>
      </c>
      <c r="K69" s="182" t="s">
        <v>310</v>
      </c>
      <c r="L69" s="182">
        <v>0</v>
      </c>
      <c r="M69" s="182">
        <v>100</v>
      </c>
      <c r="N69" s="182">
        <v>0.01</v>
      </c>
    </row>
    <row r="70" spans="2:14" ht="14.25" customHeight="1" x14ac:dyDescent="0.2">
      <c r="B70" s="182" t="str">
        <f t="shared" si="25"/>
        <v>Food from Periodic markets</v>
      </c>
      <c r="C70" s="182">
        <f t="shared" si="26"/>
        <v>0</v>
      </c>
      <c r="D70" s="182" t="s">
        <v>313</v>
      </c>
      <c r="E70" s="182">
        <v>0</v>
      </c>
      <c r="F70" s="182">
        <v>100</v>
      </c>
      <c r="G70" s="182">
        <v>0.01</v>
      </c>
      <c r="I70" s="182" t="str">
        <f t="shared" si="27"/>
        <v>Food from Periodic markets</v>
      </c>
      <c r="J70" s="182">
        <f t="shared" si="28"/>
        <v>0</v>
      </c>
      <c r="K70" s="182" t="s">
        <v>312</v>
      </c>
      <c r="L70" s="182">
        <v>0</v>
      </c>
      <c r="M70" s="182">
        <v>100</v>
      </c>
      <c r="N70" s="182">
        <v>0.01</v>
      </c>
    </row>
    <row r="71" spans="2:14" ht="14.25" customHeight="1" x14ac:dyDescent="0.2">
      <c r="B71" s="182" t="str">
        <f t="shared" si="25"/>
        <v>Buying food direct from local farmers or your own farm</v>
      </c>
      <c r="C71" s="182">
        <f t="shared" si="26"/>
        <v>41.068729999999995</v>
      </c>
      <c r="D71" s="182" t="s">
        <v>315</v>
      </c>
      <c r="E71" s="182">
        <v>0</v>
      </c>
      <c r="F71" s="182">
        <v>100</v>
      </c>
      <c r="G71" s="182">
        <v>0.01</v>
      </c>
      <c r="I71" s="182" t="str">
        <f t="shared" si="27"/>
        <v>Buying food direct from local farmers or your own farm</v>
      </c>
      <c r="J71" s="182">
        <f t="shared" si="28"/>
        <v>35.118470000000002</v>
      </c>
      <c r="K71" s="182" t="s">
        <v>314</v>
      </c>
      <c r="L71" s="182">
        <v>0</v>
      </c>
      <c r="M71" s="182">
        <v>100</v>
      </c>
      <c r="N71" s="182">
        <v>0.01</v>
      </c>
    </row>
    <row r="72" spans="2:14" ht="14.25" customHeight="1" x14ac:dyDescent="0.2">
      <c r="B72" s="182" t="str">
        <f t="shared" si="25"/>
        <v>Buying local fish</v>
      </c>
      <c r="C72" s="182">
        <f t="shared" si="26"/>
        <v>0</v>
      </c>
      <c r="D72" s="182" t="s">
        <v>317</v>
      </c>
      <c r="E72" s="182">
        <v>0</v>
      </c>
      <c r="F72" s="182">
        <v>100</v>
      </c>
      <c r="G72" s="182">
        <v>0.01</v>
      </c>
      <c r="I72" s="182" t="str">
        <f t="shared" si="27"/>
        <v>Buying local fish</v>
      </c>
      <c r="J72" s="182">
        <f t="shared" si="28"/>
        <v>0</v>
      </c>
      <c r="K72" s="182" t="s">
        <v>316</v>
      </c>
      <c r="L72" s="182">
        <v>0</v>
      </c>
      <c r="M72" s="182">
        <v>100</v>
      </c>
      <c r="N72" s="182">
        <v>0.01</v>
      </c>
    </row>
    <row r="73" spans="2:14" ht="14.25" customHeight="1" x14ac:dyDescent="0.2">
      <c r="B73" s="182" t="str">
        <f t="shared" si="25"/>
        <v>Buying from local food processors, including neighbors who sell foods they prepare for sale</v>
      </c>
      <c r="C73" s="182">
        <f t="shared" si="26"/>
        <v>0</v>
      </c>
      <c r="D73" s="182" t="s">
        <v>319</v>
      </c>
      <c r="E73" s="182">
        <v>0</v>
      </c>
      <c r="F73" s="182">
        <v>100</v>
      </c>
      <c r="G73" s="182">
        <v>0.01</v>
      </c>
      <c r="I73" s="182" t="str">
        <f t="shared" si="27"/>
        <v>Buying from local food processors, including neighbors who sell foods they prepare for sale</v>
      </c>
      <c r="J73" s="182">
        <f t="shared" si="28"/>
        <v>0</v>
      </c>
      <c r="K73" s="182" t="s">
        <v>318</v>
      </c>
      <c r="L73" s="182">
        <v>0</v>
      </c>
      <c r="M73" s="182">
        <v>100</v>
      </c>
      <c r="N73" s="182">
        <v>0.01</v>
      </c>
    </row>
    <row r="74" spans="2:14" ht="14.25" customHeight="1" x14ac:dyDescent="0.2">
      <c r="B74" s="182" t="str">
        <f t="shared" si="25"/>
        <v>Buying food and drink at local restaurants (food and drink)</v>
      </c>
      <c r="C74" s="182">
        <f t="shared" si="26"/>
        <v>0</v>
      </c>
      <c r="D74" s="182" t="s">
        <v>321</v>
      </c>
      <c r="E74" s="182">
        <v>0</v>
      </c>
      <c r="F74" s="182">
        <v>100</v>
      </c>
      <c r="G74" s="182">
        <v>0.01</v>
      </c>
      <c r="I74" s="182" t="str">
        <f t="shared" si="27"/>
        <v>Buying food and drink at local restaurants (food and drink)</v>
      </c>
      <c r="J74" s="182">
        <f t="shared" si="28"/>
        <v>0.51514000000000004</v>
      </c>
      <c r="K74" s="182" t="s">
        <v>320</v>
      </c>
      <c r="L74" s="182">
        <v>0</v>
      </c>
      <c r="M74" s="182">
        <v>100</v>
      </c>
      <c r="N74" s="182">
        <v>0.01</v>
      </c>
    </row>
    <row r="75" spans="2:14" ht="14.25" customHeight="1" x14ac:dyDescent="0.2">
      <c r="B75" s="182" t="str">
        <f t="shared" si="25"/>
        <v>Things besides food that are sold by people or businesses in your community, including services</v>
      </c>
      <c r="C75" s="182">
        <f t="shared" si="26"/>
        <v>32.2331</v>
      </c>
      <c r="D75" s="182" t="s">
        <v>323</v>
      </c>
      <c r="E75" s="182">
        <v>0</v>
      </c>
      <c r="F75" s="182">
        <v>100</v>
      </c>
      <c r="G75" s="182">
        <v>0.01</v>
      </c>
      <c r="I75" s="182" t="str">
        <f t="shared" si="27"/>
        <v>Things besides food that are sold by people or businesses in your community, including services</v>
      </c>
      <c r="J75" s="182">
        <f t="shared" si="28"/>
        <v>40.070909999999998</v>
      </c>
      <c r="K75" s="182" t="s">
        <v>322</v>
      </c>
      <c r="L75" s="182">
        <v>0</v>
      </c>
      <c r="M75" s="182">
        <v>100</v>
      </c>
      <c r="N75" s="182">
        <v>0.01</v>
      </c>
    </row>
    <row r="76" spans="2:14" ht="14.25" customHeight="1" x14ac:dyDescent="0.2">
      <c r="B76" s="182" t="str">
        <f t="shared" si="25"/>
        <v>Things you buy from businesses, etc., in places outside your community</v>
      </c>
      <c r="C76" s="182">
        <f t="shared" si="26"/>
        <v>3.7947300000000004</v>
      </c>
      <c r="D76" s="182" t="s">
        <v>325</v>
      </c>
      <c r="E76" s="182">
        <v>0</v>
      </c>
      <c r="F76" s="182">
        <v>100</v>
      </c>
      <c r="G76" s="182">
        <v>0.01</v>
      </c>
      <c r="I76" s="182" t="str">
        <f t="shared" si="27"/>
        <v>Things you buy from businesses, etc., in places outside your community</v>
      </c>
      <c r="J76" s="182">
        <f t="shared" si="28"/>
        <v>2.4188999999999998</v>
      </c>
      <c r="K76" s="182" t="s">
        <v>324</v>
      </c>
      <c r="L76" s="182">
        <v>0</v>
      </c>
      <c r="M76" s="182">
        <v>100</v>
      </c>
      <c r="N76" s="182">
        <v>0.01</v>
      </c>
    </row>
    <row r="77" spans="2:14" ht="14.25" customHeight="1" x14ac:dyDescent="0.2">
      <c r="B77" s="182" t="str">
        <f t="shared" si="25"/>
        <v>Rent (if household rents its house; don't include business rentals here)</v>
      </c>
      <c r="C77" s="182">
        <f t="shared" si="26"/>
        <v>0</v>
      </c>
      <c r="D77" s="182" t="s">
        <v>327</v>
      </c>
      <c r="E77" s="182">
        <v>0</v>
      </c>
      <c r="F77" s="182">
        <v>100</v>
      </c>
      <c r="G77" s="182">
        <v>0.01</v>
      </c>
      <c r="I77" s="182" t="str">
        <f t="shared" si="27"/>
        <v>Rent (if household rents its house; don't include business rentals here)</v>
      </c>
      <c r="J77" s="182">
        <f t="shared" si="28"/>
        <v>0.18204000000000001</v>
      </c>
      <c r="K77" s="182" t="s">
        <v>326</v>
      </c>
      <c r="L77" s="182">
        <v>0</v>
      </c>
      <c r="M77" s="182">
        <v>100</v>
      </c>
      <c r="N77" s="182">
        <v>0.01</v>
      </c>
    </row>
    <row r="78" spans="2:14" ht="14.25" customHeight="1" x14ac:dyDescent="0.2">
      <c r="B78" s="182" t="str">
        <f t="shared" si="25"/>
        <v>Household income tax payments</v>
      </c>
      <c r="C78" s="182">
        <f t="shared" si="26"/>
        <v>0</v>
      </c>
      <c r="D78" s="182" t="s">
        <v>329</v>
      </c>
      <c r="E78" s="182">
        <v>0</v>
      </c>
      <c r="F78" s="182">
        <v>100</v>
      </c>
      <c r="G78" s="182">
        <v>0.01</v>
      </c>
      <c r="I78" s="182" t="str">
        <f t="shared" si="27"/>
        <v>Household income tax payments</v>
      </c>
      <c r="J78" s="182">
        <f t="shared" si="28"/>
        <v>0.27959999999999996</v>
      </c>
      <c r="K78" s="182" t="s">
        <v>328</v>
      </c>
      <c r="L78" s="182">
        <v>0</v>
      </c>
      <c r="M78" s="182">
        <v>100</v>
      </c>
      <c r="N78" s="182">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2"/>
    </row>
    <row r="82" spans="4:11" ht="14.25" customHeight="1" x14ac:dyDescent="0.2"/>
    <row r="83" spans="4:11" ht="14.25" customHeight="1" x14ac:dyDescent="0.2"/>
    <row r="84" spans="4:11" ht="14.25" customHeight="1" x14ac:dyDescent="0.2">
      <c r="D84" s="102"/>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P25" sqref="P2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3" t="s">
        <v>342</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row>
    <row r="2" spans="1:31" ht="14.25" customHeight="1" x14ac:dyDescent="0.2">
      <c r="A2" s="64"/>
      <c r="B2" s="65" t="s">
        <v>33</v>
      </c>
      <c r="C2" s="65" t="s">
        <v>35</v>
      </c>
      <c r="D2" s="65" t="s">
        <v>37</v>
      </c>
      <c r="E2" s="65" t="s">
        <v>39</v>
      </c>
      <c r="F2" s="13" t="str">
        <f>Households!G6</f>
        <v>L-MUSK</v>
      </c>
      <c r="G2" s="13" t="str">
        <f>Households!H6</f>
        <v>L-MSK</v>
      </c>
      <c r="H2" s="13" t="str">
        <f>Households!I6</f>
        <v>L-FUSK</v>
      </c>
      <c r="I2" s="13" t="str">
        <f>Households!J6</f>
        <v>L-FSK</v>
      </c>
      <c r="J2" s="65" t="s">
        <v>46</v>
      </c>
      <c r="K2" s="65" t="s">
        <v>48</v>
      </c>
      <c r="L2" s="65" t="s">
        <v>50</v>
      </c>
      <c r="M2" s="65" t="s">
        <v>51</v>
      </c>
      <c r="N2" s="65" t="s">
        <v>53</v>
      </c>
      <c r="O2" s="65" t="s">
        <v>55</v>
      </c>
      <c r="P2" s="65" t="s">
        <v>57</v>
      </c>
      <c r="Q2" s="65" t="s">
        <v>343</v>
      </c>
      <c r="R2" s="65" t="s">
        <v>60</v>
      </c>
      <c r="S2" s="66" t="s">
        <v>62</v>
      </c>
      <c r="T2" s="67" t="s">
        <v>188</v>
      </c>
      <c r="U2" s="68" t="s">
        <v>344</v>
      </c>
      <c r="V2" s="68" t="s">
        <v>345</v>
      </c>
      <c r="W2" s="59"/>
      <c r="X2" s="59"/>
      <c r="Y2" s="59"/>
      <c r="Z2" s="59"/>
      <c r="AA2" s="59"/>
      <c r="AB2" s="59"/>
      <c r="AC2" s="59"/>
      <c r="AD2" s="59"/>
      <c r="AE2" s="59"/>
    </row>
    <row r="3" spans="1:31" ht="14.25" customHeight="1" x14ac:dyDescent="0.2">
      <c r="A3" s="69" t="s">
        <v>33</v>
      </c>
      <c r="B3" s="70">
        <f>Ag!C25</f>
        <v>2939105.736664861</v>
      </c>
      <c r="C3" s="70">
        <f>Tourism!C25</f>
        <v>9188159.1074739527</v>
      </c>
      <c r="D3" s="70">
        <f>Nonag!C25</f>
        <v>14044772.569821486</v>
      </c>
      <c r="E3" s="70">
        <f>Fishing!C25</f>
        <v>0</v>
      </c>
      <c r="F3" s="70">
        <v>0</v>
      </c>
      <c r="G3" s="70"/>
      <c r="H3" s="70"/>
      <c r="I3" s="70"/>
      <c r="J3" s="70">
        <v>0</v>
      </c>
      <c r="K3" s="71">
        <f>Households!C28</f>
        <v>1545093.2541553143</v>
      </c>
      <c r="L3" s="71">
        <f>Households!D28</f>
        <v>6323967.5402675839</v>
      </c>
      <c r="M3" s="72">
        <f>Restaurants!C25</f>
        <v>1977845.3242602397</v>
      </c>
      <c r="N3" s="72">
        <f>Lodges!C26</f>
        <v>291345.82662056992</v>
      </c>
      <c r="O3" s="72">
        <f>Tourists!C25</f>
        <v>0</v>
      </c>
      <c r="P3" s="72">
        <f>NatParkPA!C27</f>
        <v>103757.84284800001</v>
      </c>
      <c r="Q3" s="72">
        <f>ComRevSh!C25</f>
        <v>577502.70892840787</v>
      </c>
      <c r="R3" s="72">
        <v>0</v>
      </c>
      <c r="S3" s="73"/>
      <c r="T3" s="70">
        <f t="shared" ref="T3:T20" si="0">SUM(B3:S3)</f>
        <v>36991549.911040425</v>
      </c>
      <c r="U3" s="52">
        <f>T3/B21</f>
        <v>1.2487679664341238</v>
      </c>
      <c r="V3" s="52"/>
      <c r="W3" s="59"/>
      <c r="X3" s="59"/>
      <c r="Y3" s="59"/>
      <c r="Z3" s="59"/>
      <c r="AA3" s="59"/>
      <c r="AB3" s="59"/>
      <c r="AC3" s="59"/>
      <c r="AD3" s="59"/>
      <c r="AE3" s="59"/>
    </row>
    <row r="4" spans="1:31" ht="14.25" customHeight="1" x14ac:dyDescent="0.2">
      <c r="A4" s="69" t="s">
        <v>35</v>
      </c>
      <c r="B4" s="70"/>
      <c r="C4" s="70">
        <f>Tourism!C26</f>
        <v>0</v>
      </c>
      <c r="D4" s="70"/>
      <c r="E4" s="70"/>
      <c r="F4" s="70"/>
      <c r="G4" s="70"/>
      <c r="H4" s="70"/>
      <c r="I4" s="70"/>
      <c r="J4" s="70"/>
      <c r="K4" s="71"/>
      <c r="L4" s="71"/>
      <c r="M4" s="72"/>
      <c r="N4" s="72"/>
      <c r="O4" s="72">
        <f>Tourists!C26</f>
        <v>44174948.006385349</v>
      </c>
      <c r="P4" s="72">
        <f>NatParkPA!C28</f>
        <v>0</v>
      </c>
      <c r="Q4" s="72">
        <f>ComRevSh!C26</f>
        <v>0</v>
      </c>
      <c r="R4" s="72"/>
      <c r="S4" s="72"/>
      <c r="T4" s="70">
        <f t="shared" si="0"/>
        <v>44174948.006385349</v>
      </c>
      <c r="U4" s="52">
        <f>T4/C21</f>
        <v>1</v>
      </c>
      <c r="V4" s="52"/>
      <c r="W4" s="59"/>
      <c r="X4" s="59"/>
      <c r="Y4" s="59"/>
      <c r="Z4" s="59"/>
      <c r="AA4" s="59"/>
      <c r="AB4" s="59"/>
      <c r="AC4" s="59"/>
      <c r="AD4" s="59"/>
      <c r="AE4" s="59"/>
    </row>
    <row r="5" spans="1:31" ht="14.25" customHeight="1" x14ac:dyDescent="0.2">
      <c r="A5" s="69" t="s">
        <v>37</v>
      </c>
      <c r="B5" s="70">
        <f>Ag!C27</f>
        <v>6437353.3860262325</v>
      </c>
      <c r="C5" s="70">
        <f>Tourism!C27</f>
        <v>12720912.527572097</v>
      </c>
      <c r="D5" s="70">
        <f>Nonag!C27</f>
        <v>29548421.163620882</v>
      </c>
      <c r="E5" s="70">
        <f>Fishing!C27</f>
        <v>0</v>
      </c>
      <c r="F5" s="70">
        <v>0</v>
      </c>
      <c r="G5" s="70"/>
      <c r="H5" s="70"/>
      <c r="I5" s="70"/>
      <c r="J5" s="70">
        <v>0</v>
      </c>
      <c r="K5" s="71">
        <f>Households!C30</f>
        <v>1556419.3975292013</v>
      </c>
      <c r="L5" s="71">
        <f>Households!D30</f>
        <v>9297674.5249409284</v>
      </c>
      <c r="M5" s="72">
        <f>Restaurants!C27</f>
        <v>2074703.5761267429</v>
      </c>
      <c r="N5" s="72">
        <f>Lodges!C28</f>
        <v>544690.02368193504</v>
      </c>
      <c r="O5" s="72">
        <f>Tourists!C27</f>
        <v>29216271.797187515</v>
      </c>
      <c r="P5" s="72">
        <f>NatParkPA!C29</f>
        <v>975885.16924800002</v>
      </c>
      <c r="Q5" s="72">
        <f>ComRevSh!C27</f>
        <v>2425511.3774993136</v>
      </c>
      <c r="R5" s="72">
        <v>0</v>
      </c>
      <c r="S5" s="72">
        <v>0</v>
      </c>
      <c r="T5" s="70">
        <f t="shared" si="0"/>
        <v>94797842.943432853</v>
      </c>
      <c r="U5" s="52">
        <f>T5/D21</f>
        <v>0.90989403735377772</v>
      </c>
      <c r="V5" s="52"/>
      <c r="W5" s="59"/>
      <c r="X5" s="59"/>
      <c r="Y5" s="59"/>
      <c r="Z5" s="59"/>
      <c r="AA5" s="59"/>
      <c r="AB5" s="59"/>
      <c r="AC5" s="59"/>
      <c r="AD5" s="59"/>
      <c r="AE5" s="59"/>
    </row>
    <row r="6" spans="1:31" ht="14.25" customHeight="1" x14ac:dyDescent="0.2">
      <c r="A6" s="69" t="s">
        <v>39</v>
      </c>
      <c r="B6" s="70">
        <f>Ag!C28</f>
        <v>238305.87054039419</v>
      </c>
      <c r="C6" s="70">
        <f>Tourism!C28</f>
        <v>612543.94049826358</v>
      </c>
      <c r="D6" s="70">
        <f>Nonag!C28</f>
        <v>1780323.2834984981</v>
      </c>
      <c r="E6" s="70">
        <f>Fishing!C28</f>
        <v>0</v>
      </c>
      <c r="F6" s="70"/>
      <c r="G6" s="70"/>
      <c r="H6" s="70"/>
      <c r="I6" s="70"/>
      <c r="J6" s="70"/>
      <c r="K6" s="71">
        <f>Households!C31</f>
        <v>0</v>
      </c>
      <c r="L6" s="71">
        <f>Households!D31</f>
        <v>0</v>
      </c>
      <c r="M6" s="72">
        <f>Restaurants!C28</f>
        <v>318636.91000418947</v>
      </c>
      <c r="N6" s="72">
        <f>Lodges!C29</f>
        <v>108938.00473638701</v>
      </c>
      <c r="O6" s="72">
        <f>Tourists!C28</f>
        <v>0</v>
      </c>
      <c r="P6" s="72">
        <f>NatParkPA!C30</f>
        <v>0</v>
      </c>
      <c r="Q6" s="72">
        <f>ComRevSh!C28</f>
        <v>0</v>
      </c>
      <c r="R6" s="72">
        <v>0</v>
      </c>
      <c r="S6" s="72"/>
      <c r="T6" s="70">
        <f t="shared" si="0"/>
        <v>3058748.0092777321</v>
      </c>
      <c r="U6" s="52">
        <f>T6/E21</f>
        <v>2.9407677727132051</v>
      </c>
      <c r="V6" s="52"/>
      <c r="W6" s="59"/>
      <c r="X6" s="59"/>
      <c r="Y6" s="59"/>
      <c r="Z6" s="59"/>
      <c r="AA6" s="59"/>
      <c r="AB6" s="59"/>
      <c r="AC6" s="59"/>
      <c r="AD6" s="59"/>
      <c r="AE6" s="59"/>
    </row>
    <row r="7" spans="1:31" ht="14.25" customHeight="1" x14ac:dyDescent="0.2">
      <c r="A7" s="13" t="s">
        <v>41</v>
      </c>
      <c r="B7" s="70">
        <f>Ag!C29</f>
        <v>3755122.8085153019</v>
      </c>
      <c r="C7" s="70">
        <f>Tourism!C29</f>
        <v>0</v>
      </c>
      <c r="D7" s="70">
        <f>Nonag!C29</f>
        <v>232431.09534563666</v>
      </c>
      <c r="E7" s="70">
        <f>Fishing!C29</f>
        <v>0</v>
      </c>
      <c r="F7" s="70">
        <v>0</v>
      </c>
      <c r="G7" s="70"/>
      <c r="H7" s="70"/>
      <c r="I7" s="70"/>
      <c r="J7" s="70">
        <v>0</v>
      </c>
      <c r="K7" s="71">
        <f>Households!C32</f>
        <v>0</v>
      </c>
      <c r="L7" s="71">
        <f>Households!D32</f>
        <v>0</v>
      </c>
      <c r="M7" s="72">
        <f>Restaurants!C29</f>
        <v>246102.76903020672</v>
      </c>
      <c r="N7" s="72">
        <f>Lodges!C30</f>
        <v>97284.171671564225</v>
      </c>
      <c r="O7" s="72">
        <f>Tourists!C29</f>
        <v>0</v>
      </c>
      <c r="P7" s="72">
        <f>NatParkPA!C31</f>
        <v>17599.625857440002</v>
      </c>
      <c r="Q7" s="72">
        <f>ComRevSh!C29</f>
        <v>392701.84207131737</v>
      </c>
      <c r="R7" s="72">
        <v>0</v>
      </c>
      <c r="S7" s="72">
        <v>0</v>
      </c>
      <c r="T7" s="70">
        <f t="shared" si="0"/>
        <v>4741242.3124914663</v>
      </c>
      <c r="U7" s="52">
        <f>T7/F21</f>
        <v>1</v>
      </c>
      <c r="V7" s="476" t="s">
        <v>346</v>
      </c>
      <c r="W7" s="59"/>
      <c r="X7" s="59"/>
      <c r="Y7" s="59"/>
      <c r="Z7" s="59"/>
      <c r="AA7" s="59"/>
      <c r="AB7" s="59"/>
      <c r="AC7" s="59"/>
      <c r="AD7" s="59"/>
      <c r="AE7" s="59"/>
    </row>
    <row r="8" spans="1:31" ht="14.25" customHeight="1" x14ac:dyDescent="0.2">
      <c r="A8" s="13" t="s">
        <v>43</v>
      </c>
      <c r="B8" s="70">
        <f>Ag!C30</f>
        <v>2475905.1484716279</v>
      </c>
      <c r="C8" s="70">
        <f>Tourism!C30</f>
        <v>160011.47833424003</v>
      </c>
      <c r="D8" s="70">
        <f>Nonag!C30</f>
        <v>2062825.971192525</v>
      </c>
      <c r="E8" s="70">
        <f>Fishing!C30</f>
        <v>0</v>
      </c>
      <c r="F8" s="70"/>
      <c r="G8" s="70"/>
      <c r="H8" s="70"/>
      <c r="I8" s="70"/>
      <c r="J8" s="70"/>
      <c r="K8" s="71"/>
      <c r="L8" s="71"/>
      <c r="M8" s="72">
        <f>Restaurants!C30</f>
        <v>200316.20735016835</v>
      </c>
      <c r="N8" s="72">
        <f>Lodges!C31</f>
        <v>190514.83619014663</v>
      </c>
      <c r="O8" s="72"/>
      <c r="P8" s="72">
        <f>NatParkPA!C32</f>
        <v>1955.5139841600003</v>
      </c>
      <c r="Q8" s="72">
        <f>ComRevSh!C30</f>
        <v>184800.86685709053</v>
      </c>
      <c r="R8" s="72"/>
      <c r="S8" s="72"/>
      <c r="T8" s="70">
        <f t="shared" si="0"/>
        <v>5276330.0223799581</v>
      </c>
      <c r="U8" s="52">
        <f>T8/G21</f>
        <v>1</v>
      </c>
      <c r="V8" s="468"/>
      <c r="W8" s="59"/>
      <c r="X8" s="59"/>
      <c r="Y8" s="59"/>
      <c r="Z8" s="59"/>
      <c r="AA8" s="59"/>
      <c r="AB8" s="59"/>
      <c r="AC8" s="59"/>
      <c r="AD8" s="59"/>
      <c r="AE8" s="59"/>
    </row>
    <row r="9" spans="1:31" ht="14.25" customHeight="1" x14ac:dyDescent="0.2">
      <c r="A9" s="13" t="s">
        <v>44</v>
      </c>
      <c r="B9" s="70">
        <f>Ag!C31</f>
        <v>412650.85807860468</v>
      </c>
      <c r="C9" s="70">
        <f>Tourism!C31</f>
        <v>500035.86979450146</v>
      </c>
      <c r="D9" s="70">
        <f>Nonag!C31</f>
        <v>0</v>
      </c>
      <c r="E9" s="70">
        <f>Fishing!C31</f>
        <v>0</v>
      </c>
      <c r="F9" s="70"/>
      <c r="G9" s="70"/>
      <c r="H9" s="70"/>
      <c r="I9" s="70"/>
      <c r="J9" s="70"/>
      <c r="K9" s="71"/>
      <c r="L9" s="71"/>
      <c r="M9" s="72">
        <f>Restaurants!C31</f>
        <v>417802.375330351</v>
      </c>
      <c r="N9" s="72">
        <f>Lodges!C32</f>
        <v>113498.20028349159</v>
      </c>
      <c r="O9" s="72"/>
      <c r="P9" s="72">
        <f>NatParkPA!C33</f>
        <v>387447.97202496004</v>
      </c>
      <c r="Q9" s="72">
        <f>ComRevSh!C31</f>
        <v>1732508.1267852241</v>
      </c>
      <c r="R9" s="72"/>
      <c r="S9" s="72"/>
      <c r="T9" s="70">
        <f t="shared" si="0"/>
        <v>3563943.4022971326</v>
      </c>
      <c r="U9" s="52">
        <f>T9/H21</f>
        <v>1</v>
      </c>
      <c r="V9" s="468"/>
      <c r="W9" s="59"/>
      <c r="X9" s="59"/>
      <c r="Y9" s="59"/>
      <c r="Z9" s="59"/>
      <c r="AA9" s="59"/>
      <c r="AB9" s="59"/>
      <c r="AC9" s="59"/>
      <c r="AD9" s="59"/>
      <c r="AE9" s="59"/>
    </row>
    <row r="10" spans="1:31" ht="14.25" customHeight="1" x14ac:dyDescent="0.2">
      <c r="A10" s="13" t="s">
        <v>45</v>
      </c>
      <c r="B10" s="70">
        <f>Ag!C32</f>
        <v>206325.42903930234</v>
      </c>
      <c r="C10" s="70">
        <f>Tourism!C32</f>
        <v>1160083.2179232419</v>
      </c>
      <c r="D10" s="70">
        <f>Nonag!C32</f>
        <v>435808.30377306906</v>
      </c>
      <c r="E10" s="70">
        <f>Fishing!C32</f>
        <v>0</v>
      </c>
      <c r="F10" s="70"/>
      <c r="G10" s="70"/>
      <c r="H10" s="70"/>
      <c r="I10" s="70"/>
      <c r="J10" s="70"/>
      <c r="K10" s="71"/>
      <c r="L10" s="71"/>
      <c r="M10" s="72">
        <f>Restaurants!C32</f>
        <v>412079.05512034619</v>
      </c>
      <c r="N10" s="72">
        <f>Lodges!C33</f>
        <v>247263.93633189239</v>
      </c>
      <c r="O10" s="72"/>
      <c r="P10" s="72">
        <f>NatParkPA!C34</f>
        <v>80935.674336000011</v>
      </c>
      <c r="Q10" s="72">
        <f>ComRevSh!C32</f>
        <v>0</v>
      </c>
      <c r="R10" s="72"/>
      <c r="S10" s="72"/>
      <c r="T10" s="70">
        <f t="shared" si="0"/>
        <v>2542495.6165238516</v>
      </c>
      <c r="U10" s="52">
        <f>T10/I21</f>
        <v>1</v>
      </c>
      <c r="V10" s="468"/>
      <c r="W10" s="59"/>
      <c r="X10" s="59"/>
      <c r="Y10" s="59"/>
      <c r="Z10" s="59"/>
      <c r="AA10" s="59"/>
      <c r="AB10" s="59"/>
      <c r="AC10" s="59"/>
      <c r="AD10" s="59"/>
      <c r="AE10" s="59"/>
    </row>
    <row r="11" spans="1:31" ht="14.25" customHeight="1" x14ac:dyDescent="0.2">
      <c r="A11" s="69" t="s">
        <v>46</v>
      </c>
      <c r="B11" s="70">
        <f>Ag!C33</f>
        <v>8886730.9793356657</v>
      </c>
      <c r="C11" s="70">
        <f>Tourism!C33</f>
        <v>14172795.8187153</v>
      </c>
      <c r="D11" s="70">
        <f>Nonag!C33</f>
        <v>10696386.768834593</v>
      </c>
      <c r="E11" s="70">
        <f>Fishing!C33</f>
        <v>0</v>
      </c>
      <c r="F11" s="70">
        <v>0</v>
      </c>
      <c r="G11" s="70"/>
      <c r="H11" s="70"/>
      <c r="I11" s="70"/>
      <c r="J11" s="70">
        <v>0</v>
      </c>
      <c r="K11" s="71">
        <f>Households!C36</f>
        <v>0</v>
      </c>
      <c r="L11" s="71">
        <f>Households!D36</f>
        <v>32780.899937563081</v>
      </c>
      <c r="M11" s="72">
        <f>Restaurants!C33</f>
        <v>2384716.7541686697</v>
      </c>
      <c r="N11" s="72">
        <f>Lodges!C34</f>
        <v>356089.34364736325</v>
      </c>
      <c r="O11" s="72">
        <f>Tourists!C33</f>
        <v>0</v>
      </c>
      <c r="P11" s="72">
        <f>NatParkPA!C35</f>
        <v>10929.599999999999</v>
      </c>
      <c r="Q11" s="72">
        <f>ComRevSh!C33</f>
        <v>0</v>
      </c>
      <c r="R11" s="72">
        <v>0</v>
      </c>
      <c r="S11" s="72">
        <v>0</v>
      </c>
      <c r="T11" s="70">
        <f t="shared" si="0"/>
        <v>36540430.164639153</v>
      </c>
      <c r="U11" s="52">
        <f>T11/J21</f>
        <v>1</v>
      </c>
      <c r="V11" s="468"/>
      <c r="W11" s="59"/>
      <c r="X11" s="59"/>
      <c r="Y11" s="59"/>
      <c r="Z11" s="59"/>
      <c r="AA11" s="59"/>
      <c r="AB11" s="59"/>
      <c r="AC11" s="59"/>
      <c r="AD11" s="59"/>
      <c r="AE11" s="59"/>
    </row>
    <row r="12" spans="1:31" ht="14.25" customHeight="1" x14ac:dyDescent="0.2">
      <c r="A12" s="69" t="s">
        <v>48</v>
      </c>
      <c r="B12" s="70">
        <f>Ag!C34</f>
        <v>0</v>
      </c>
      <c r="C12" s="70">
        <f>Tourism!C34</f>
        <v>0</v>
      </c>
      <c r="D12" s="70">
        <f>Nonag!C34</f>
        <v>0</v>
      </c>
      <c r="E12" s="70">
        <f>Fishing!C34</f>
        <v>0</v>
      </c>
      <c r="F12" s="74">
        <f>Households!G7*SUM($B$7:$S$7)</f>
        <v>981118.06181505939</v>
      </c>
      <c r="G12" s="74">
        <f>Households!H7*SUM($B$8:$S$8)</f>
        <v>608925.94697446306</v>
      </c>
      <c r="H12" s="74">
        <f>Households!I7*SUM($B$9:$S$9)</f>
        <v>1222100.3273335712</v>
      </c>
      <c r="I12" s="74">
        <f>Households!J7*SUM($B$10:$S$10)</f>
        <v>785783.46546073235</v>
      </c>
      <c r="J12" s="104">
        <f>Households!K7*SUM($B$11:$S$11)</f>
        <v>1688211.3562204372</v>
      </c>
      <c r="K12" s="71">
        <f>Households!C37</f>
        <v>0</v>
      </c>
      <c r="L12" s="71">
        <f>Households!D37</f>
        <v>0</v>
      </c>
      <c r="M12" s="72">
        <f>Restaurants!C34</f>
        <v>0</v>
      </c>
      <c r="N12" s="72">
        <f>Lodges!C35</f>
        <v>0</v>
      </c>
      <c r="O12" s="72">
        <f>Tourists!C34</f>
        <v>0</v>
      </c>
      <c r="P12" s="72">
        <f>NatParkPA!C36</f>
        <v>0</v>
      </c>
      <c r="Q12" s="72">
        <f>ComRevSh!C34</f>
        <v>0</v>
      </c>
      <c r="R12" s="72">
        <v>0</v>
      </c>
      <c r="S12" s="75">
        <f>Households!G14</f>
        <v>60995.517350739108</v>
      </c>
      <c r="T12" s="70">
        <f t="shared" si="0"/>
        <v>5347134.6751550026</v>
      </c>
      <c r="U12" s="52">
        <f>T12/K21</f>
        <v>1.6481737586140111</v>
      </c>
      <c r="V12" s="468"/>
      <c r="W12" s="59"/>
      <c r="X12" s="59"/>
      <c r="Y12" s="59"/>
      <c r="Z12" s="59"/>
      <c r="AA12" s="59"/>
      <c r="AB12" s="59"/>
      <c r="AC12" s="59"/>
      <c r="AD12" s="59"/>
      <c r="AE12" s="59"/>
    </row>
    <row r="13" spans="1:31" ht="14.25" customHeight="1" x14ac:dyDescent="0.2">
      <c r="A13" s="69" t="s">
        <v>50</v>
      </c>
      <c r="B13" s="70">
        <f>Ag!C35</f>
        <v>0</v>
      </c>
      <c r="C13" s="70">
        <f>Tourism!C35</f>
        <v>0</v>
      </c>
      <c r="D13" s="70">
        <f>Nonag!C35</f>
        <v>0</v>
      </c>
      <c r="E13" s="70">
        <f>Fishing!C35</f>
        <v>0</v>
      </c>
      <c r="F13" s="74">
        <f>Households!G8*SUM($B$7:$S$7)</f>
        <v>3760124.250676407</v>
      </c>
      <c r="G13" s="74">
        <f>Households!H8*SUM($B$8:$S$8)</f>
        <v>4667404.0754054952</v>
      </c>
      <c r="H13" s="74">
        <f>Households!I8*SUM($B$9:$S$9)</f>
        <v>2341843.0749635613</v>
      </c>
      <c r="I13" s="74">
        <f>Households!J8*SUM($B$10:$S$10)</f>
        <v>1756712.1510631193</v>
      </c>
      <c r="J13" s="104">
        <f>Households!K8*SUM($B$11:$S$11)</f>
        <v>34852218.808418714</v>
      </c>
      <c r="K13" s="71">
        <f>Households!C38</f>
        <v>0</v>
      </c>
      <c r="L13" s="71">
        <f>Households!D38</f>
        <v>0</v>
      </c>
      <c r="M13" s="72">
        <f>Restaurants!C35</f>
        <v>0</v>
      </c>
      <c r="N13" s="72">
        <f>Lodges!C36</f>
        <v>0</v>
      </c>
      <c r="O13" s="72">
        <f>Tourists!C35</f>
        <v>0</v>
      </c>
      <c r="P13" s="72">
        <f>NatParkPA!C37</f>
        <v>0</v>
      </c>
      <c r="Q13" s="72">
        <f>ComRevSh!C35</f>
        <v>0</v>
      </c>
      <c r="R13" s="72">
        <v>0</v>
      </c>
      <c r="S13" s="72">
        <f>Households!H14</f>
        <v>1094532.4922374405</v>
      </c>
      <c r="T13" s="70">
        <f t="shared" si="0"/>
        <v>48472834.852764741</v>
      </c>
      <c r="U13" s="52">
        <f>T13/L21</f>
        <v>2.9860454923468795</v>
      </c>
      <c r="V13" s="468"/>
      <c r="W13" s="59"/>
      <c r="X13" s="59"/>
      <c r="Y13" s="59"/>
      <c r="Z13" s="59"/>
      <c r="AA13" s="59"/>
      <c r="AB13" s="59"/>
      <c r="AC13" s="59"/>
      <c r="AD13" s="59"/>
      <c r="AE13" s="59"/>
    </row>
    <row r="14" spans="1:31" ht="14.25" customHeight="1" x14ac:dyDescent="0.2">
      <c r="A14" s="69" t="s">
        <v>51</v>
      </c>
      <c r="B14" s="70">
        <f>Ag!C36</f>
        <v>0</v>
      </c>
      <c r="C14" s="70">
        <f>Tourism!C36</f>
        <v>0</v>
      </c>
      <c r="D14" s="70">
        <f>Nonag!C36</f>
        <v>0</v>
      </c>
      <c r="E14" s="70">
        <f>Fishing!C36</f>
        <v>0</v>
      </c>
      <c r="F14" s="72"/>
      <c r="G14" s="72"/>
      <c r="H14" s="72"/>
      <c r="I14" s="72"/>
      <c r="J14" s="72"/>
      <c r="K14" s="71">
        <f>Households!C39</f>
        <v>0</v>
      </c>
      <c r="L14" s="71">
        <f>Households!D39</f>
        <v>92763.968324743168</v>
      </c>
      <c r="M14" s="72">
        <f>Restaurants!C36</f>
        <v>0</v>
      </c>
      <c r="N14" s="72">
        <f>Lodges!C37</f>
        <v>0</v>
      </c>
      <c r="O14" s="72">
        <f>Tourists!C36</f>
        <v>9446103.0483499356</v>
      </c>
      <c r="P14" s="72">
        <f>NatParkPA!C38</f>
        <v>0</v>
      </c>
      <c r="Q14" s="72">
        <f>ComRevSh!C36</f>
        <v>0</v>
      </c>
      <c r="R14" s="72">
        <v>0</v>
      </c>
      <c r="S14" s="70"/>
      <c r="T14" s="76">
        <f t="shared" si="0"/>
        <v>9538867.0166746788</v>
      </c>
      <c r="U14" s="52">
        <f>T14/M21</f>
        <v>1</v>
      </c>
      <c r="V14" s="468"/>
      <c r="W14" s="59"/>
      <c r="X14" s="59"/>
      <c r="Y14" s="59"/>
      <c r="Z14" s="59"/>
      <c r="AA14" s="59"/>
      <c r="AB14" s="59"/>
      <c r="AC14" s="59"/>
      <c r="AD14" s="59"/>
      <c r="AE14" s="59"/>
    </row>
    <row r="15" spans="1:31" ht="14.25" customHeight="1" x14ac:dyDescent="0.2">
      <c r="A15" s="69" t="s">
        <v>53</v>
      </c>
      <c r="B15" s="70">
        <f>Ag!C37</f>
        <v>0</v>
      </c>
      <c r="C15" s="70">
        <f>Tourism!C37</f>
        <v>0</v>
      </c>
      <c r="D15" s="70">
        <f>Nonag!C37</f>
        <v>0</v>
      </c>
      <c r="E15" s="70">
        <f>Fishing!C37</f>
        <v>0</v>
      </c>
      <c r="F15" s="72"/>
      <c r="G15" s="72"/>
      <c r="H15" s="72"/>
      <c r="I15" s="72"/>
      <c r="J15" s="72"/>
      <c r="K15" s="71">
        <f>Households!C40</f>
        <v>0</v>
      </c>
      <c r="L15" s="71">
        <f>Households!D40</f>
        <v>0</v>
      </c>
      <c r="M15" s="72">
        <f>Restaurants!C37</f>
        <v>0</v>
      </c>
      <c r="N15" s="72">
        <f>Lodges!C38</f>
        <v>0</v>
      </c>
      <c r="O15" s="72">
        <f>Tourists!C37</f>
        <v>4691559.2048400948</v>
      </c>
      <c r="P15" s="72">
        <f>NatParkPA!C39</f>
        <v>0</v>
      </c>
      <c r="Q15" s="72">
        <f>ComRevSh!C37</f>
        <v>0</v>
      </c>
      <c r="R15" s="72">
        <v>0</v>
      </c>
      <c r="S15" s="70"/>
      <c r="T15" s="76">
        <f t="shared" si="0"/>
        <v>4691559.2048400948</v>
      </c>
      <c r="U15" s="52">
        <f>T15/N21</f>
        <v>1.010366358841716</v>
      </c>
      <c r="V15" s="468"/>
      <c r="W15" s="59"/>
      <c r="X15" s="59"/>
      <c r="Y15" s="59"/>
      <c r="Z15" s="59"/>
      <c r="AA15" s="59"/>
      <c r="AB15" s="59"/>
      <c r="AC15" s="59"/>
      <c r="AD15" s="59"/>
      <c r="AE15" s="59"/>
    </row>
    <row r="16" spans="1:31" ht="14.25" customHeight="1" x14ac:dyDescent="0.2">
      <c r="A16" s="69" t="s">
        <v>55</v>
      </c>
      <c r="B16" s="70">
        <f>Ag!C38</f>
        <v>0</v>
      </c>
      <c r="C16" s="70">
        <f>Tourism!C38</f>
        <v>0</v>
      </c>
      <c r="D16" s="70">
        <f>Nonag!C38</f>
        <v>0</v>
      </c>
      <c r="E16" s="70">
        <f>Fishing!C38</f>
        <v>0</v>
      </c>
      <c r="F16" s="72">
        <v>0</v>
      </c>
      <c r="G16" s="72"/>
      <c r="H16" s="72"/>
      <c r="I16" s="72"/>
      <c r="J16" s="72">
        <v>0</v>
      </c>
      <c r="K16" s="71">
        <f>Households!C41</f>
        <v>0</v>
      </c>
      <c r="L16" s="71">
        <f>Households!D41</f>
        <v>0</v>
      </c>
      <c r="M16" s="72">
        <f>Restaurants!C38</f>
        <v>0</v>
      </c>
      <c r="N16" s="72">
        <f>Lodges!C39</f>
        <v>0</v>
      </c>
      <c r="O16" s="72">
        <f>Tourists!C38</f>
        <v>0</v>
      </c>
      <c r="P16" s="72">
        <f>NatParkPA!C40</f>
        <v>0</v>
      </c>
      <c r="Q16" s="72">
        <f>ComRevSh!C38</f>
        <v>0</v>
      </c>
      <c r="R16" s="72">
        <v>0</v>
      </c>
      <c r="S16" s="106">
        <f>O21</f>
        <v>114094006.66746965</v>
      </c>
      <c r="T16" s="70">
        <f t="shared" si="0"/>
        <v>114094006.66746965</v>
      </c>
      <c r="U16" s="52">
        <f>T16/O21</f>
        <v>1</v>
      </c>
      <c r="V16" s="468"/>
      <c r="W16" s="59"/>
      <c r="X16" s="59"/>
      <c r="Y16" s="59"/>
      <c r="Z16" s="59"/>
      <c r="AA16" s="59"/>
      <c r="AB16" s="59"/>
      <c r="AC16" s="59"/>
      <c r="AD16" s="59"/>
      <c r="AE16" s="59"/>
    </row>
    <row r="17" spans="1:31" ht="14.25" customHeight="1" x14ac:dyDescent="0.2">
      <c r="A17" s="69" t="s">
        <v>57</v>
      </c>
      <c r="B17" s="70">
        <f>Ag!C39</f>
        <v>0</v>
      </c>
      <c r="C17" s="70">
        <f>Tourism!C39</f>
        <v>0</v>
      </c>
      <c r="D17" s="70">
        <f>Nonag!C39</f>
        <v>0</v>
      </c>
      <c r="E17" s="70">
        <f>Fishing!C39</f>
        <v>0</v>
      </c>
      <c r="F17" s="72"/>
      <c r="G17" s="72"/>
      <c r="H17" s="72"/>
      <c r="I17" s="72"/>
      <c r="J17" s="72"/>
      <c r="K17" s="71">
        <f>Households!C42</f>
        <v>0</v>
      </c>
      <c r="L17" s="71">
        <f>Households!D42</f>
        <v>0</v>
      </c>
      <c r="M17" s="72">
        <f>Restaurants!C39</f>
        <v>0</v>
      </c>
      <c r="N17" s="72">
        <f>Lodges!C40</f>
        <v>0</v>
      </c>
      <c r="O17" s="105">
        <f>Tourists!C39</f>
        <v>26565124.610706765</v>
      </c>
      <c r="P17" s="72">
        <f>NatParkPA!C41</f>
        <v>0</v>
      </c>
      <c r="Q17" s="72">
        <f>ComRevSh!C39</f>
        <v>0</v>
      </c>
      <c r="R17" s="105">
        <f>NatParkPA!C47</f>
        <v>0</v>
      </c>
      <c r="S17" s="70"/>
      <c r="T17" s="70">
        <f t="shared" si="0"/>
        <v>26565124.610706765</v>
      </c>
      <c r="U17" s="52">
        <f>T17/P21</f>
        <v>1.0000000000000002</v>
      </c>
      <c r="V17" s="468"/>
      <c r="W17" s="59"/>
      <c r="X17" s="59"/>
      <c r="Y17" s="59"/>
      <c r="Z17" s="59"/>
      <c r="AA17" s="59"/>
      <c r="AB17" s="59"/>
      <c r="AC17" s="59"/>
      <c r="AD17" s="59"/>
      <c r="AE17" s="59"/>
    </row>
    <row r="18" spans="1:31" ht="14.25" customHeight="1" x14ac:dyDescent="0.2">
      <c r="A18" s="77" t="s">
        <v>58</v>
      </c>
      <c r="B18" s="70"/>
      <c r="C18" s="70">
        <f>Tourism!C40</f>
        <v>0</v>
      </c>
      <c r="D18" s="70"/>
      <c r="E18" s="70"/>
      <c r="F18" s="72"/>
      <c r="G18" s="72"/>
      <c r="H18" s="72"/>
      <c r="I18" s="72"/>
      <c r="J18" s="72"/>
      <c r="K18" s="71"/>
      <c r="L18" s="71"/>
      <c r="M18" s="72"/>
      <c r="N18" s="72"/>
      <c r="O18" s="72"/>
      <c r="P18" s="72">
        <f>NatParkPA!C42</f>
        <v>5313024.9221413536</v>
      </c>
      <c r="Q18" s="72">
        <f>ComRevSh!C40</f>
        <v>0</v>
      </c>
      <c r="R18" s="72"/>
      <c r="S18" s="70"/>
      <c r="T18" s="70">
        <f t="shared" si="0"/>
        <v>5313024.9221413536</v>
      </c>
      <c r="U18" s="52">
        <f>T18/Q21</f>
        <v>1.0000000000000002</v>
      </c>
      <c r="V18" s="468"/>
      <c r="W18" s="59"/>
      <c r="X18" s="59"/>
      <c r="Y18" s="59"/>
      <c r="Z18" s="59"/>
      <c r="AA18" s="59"/>
      <c r="AB18" s="59"/>
      <c r="AC18" s="59"/>
      <c r="AD18" s="59"/>
      <c r="AE18" s="59"/>
    </row>
    <row r="19" spans="1:31" ht="14.25" customHeight="1" x14ac:dyDescent="0.2">
      <c r="A19" s="69" t="s">
        <v>60</v>
      </c>
      <c r="B19" s="70">
        <f>Ag!C40</f>
        <v>1031627.1451965115</v>
      </c>
      <c r="C19" s="70">
        <f>Tourism!C41</f>
        <v>820058.82646297978</v>
      </c>
      <c r="D19" s="70">
        <f>Nonag!C40</f>
        <v>2287220.8850501524</v>
      </c>
      <c r="E19" s="70">
        <f>Fishing!C40</f>
        <v>0</v>
      </c>
      <c r="F19" s="72"/>
      <c r="G19" s="72"/>
      <c r="H19" s="72"/>
      <c r="I19" s="72"/>
      <c r="J19" s="72"/>
      <c r="K19" s="71">
        <f>Households!C43</f>
        <v>0</v>
      </c>
      <c r="L19" s="71">
        <f>Households!D43</f>
        <v>50349.042092631491</v>
      </c>
      <c r="M19" s="72">
        <f>Restaurants!C40</f>
        <v>128774.70472510818</v>
      </c>
      <c r="N19" s="72">
        <f>Lodges!C41</f>
        <v>81070.143059636845</v>
      </c>
      <c r="O19" s="72">
        <f>Tourists!C41</f>
        <v>0</v>
      </c>
      <c r="P19" s="72">
        <f>NatParkPA!C43</f>
        <v>18975815.706197411</v>
      </c>
      <c r="Q19" s="72">
        <f>ComRevSh!C41</f>
        <v>0</v>
      </c>
      <c r="R19" s="72">
        <v>0</v>
      </c>
      <c r="S19" s="70"/>
      <c r="T19" s="76">
        <f t="shared" si="0"/>
        <v>23374916.45278443</v>
      </c>
      <c r="U19" s="52">
        <f>T19/R21</f>
        <v>1</v>
      </c>
      <c r="V19" s="468"/>
      <c r="W19" s="59"/>
      <c r="X19" s="59"/>
      <c r="Y19" s="59"/>
      <c r="Z19" s="59"/>
      <c r="AA19" s="59"/>
      <c r="AB19" s="59"/>
      <c r="AC19" s="59"/>
      <c r="AD19" s="59"/>
      <c r="AE19" s="59"/>
    </row>
    <row r="20" spans="1:31" ht="14.25" customHeight="1" x14ac:dyDescent="0.2">
      <c r="A20" s="78" t="s">
        <v>62</v>
      </c>
      <c r="B20" s="70">
        <f>Ag!C41</f>
        <v>3239309.2359170467</v>
      </c>
      <c r="C20" s="70">
        <f>Tourism!C42</f>
        <v>4840347.2196107758</v>
      </c>
      <c r="D20" s="70">
        <f>Nonag!C41</f>
        <v>43097395.369589746</v>
      </c>
      <c r="E20" s="70">
        <f>Fishing!C41</f>
        <v>1040118.85523884</v>
      </c>
      <c r="F20" s="72">
        <v>0</v>
      </c>
      <c r="G20" s="72"/>
      <c r="H20" s="72"/>
      <c r="I20" s="72"/>
      <c r="J20" s="72">
        <v>0</v>
      </c>
      <c r="K20" s="71">
        <f>Households!C44</f>
        <v>142765.83971164425</v>
      </c>
      <c r="L20" s="71">
        <f>Households!D44</f>
        <v>435584.04119408556</v>
      </c>
      <c r="M20" s="72">
        <f>Restaurants!C41</f>
        <v>1377889.3405586574</v>
      </c>
      <c r="N20" s="72">
        <f>Lodges!C42</f>
        <v>2612729.3211754486</v>
      </c>
      <c r="O20" s="72">
        <f>Tourists!C42</f>
        <v>0</v>
      </c>
      <c r="P20" s="72">
        <f>NatParkPA!C44</f>
        <v>697772.58406943991</v>
      </c>
      <c r="Q20" s="72">
        <f>ComRevSh!C42</f>
        <v>0</v>
      </c>
      <c r="R20" s="103">
        <f>IF(SUM(B19:P19)-SUM(R3:R17)&gt;0,SUM(B19:P19)-SUM(R3:R17),0)</f>
        <v>23374916.45278443</v>
      </c>
      <c r="S20" s="70"/>
      <c r="T20" s="70">
        <f t="shared" si="0"/>
        <v>80858828.259850115</v>
      </c>
      <c r="U20" s="52">
        <f>T20/S21</f>
        <v>0.70159787183892453</v>
      </c>
      <c r="V20" s="468"/>
      <c r="W20" s="59"/>
      <c r="X20" s="59"/>
      <c r="Y20" s="59"/>
      <c r="Z20" s="59"/>
      <c r="AA20" s="59"/>
      <c r="AB20" s="59"/>
      <c r="AC20" s="59"/>
      <c r="AD20" s="59"/>
      <c r="AE20" s="59"/>
    </row>
    <row r="21" spans="1:31" ht="14.25" customHeight="1" x14ac:dyDescent="0.2">
      <c r="A21" s="79" t="s">
        <v>188</v>
      </c>
      <c r="B21" s="70">
        <f t="shared" ref="B21:S21" si="1">SUM(B3:B20)</f>
        <v>29622436.597785547</v>
      </c>
      <c r="C21" s="70">
        <f t="shared" si="1"/>
        <v>44174948.006385349</v>
      </c>
      <c r="D21" s="70">
        <f t="shared" si="1"/>
        <v>104185585.41072658</v>
      </c>
      <c r="E21" s="70">
        <f t="shared" si="1"/>
        <v>1040118.85523884</v>
      </c>
      <c r="F21" s="70">
        <f t="shared" si="1"/>
        <v>4741242.3124914663</v>
      </c>
      <c r="G21" s="70">
        <f t="shared" si="1"/>
        <v>5276330.0223799581</v>
      </c>
      <c r="H21" s="70">
        <f t="shared" si="1"/>
        <v>3563943.4022971326</v>
      </c>
      <c r="I21" s="70">
        <f t="shared" si="1"/>
        <v>2542495.6165238516</v>
      </c>
      <c r="J21" s="70">
        <f t="shared" si="1"/>
        <v>36540430.164639153</v>
      </c>
      <c r="K21" s="70">
        <f t="shared" si="1"/>
        <v>3244278.4913961599</v>
      </c>
      <c r="L21" s="70">
        <f t="shared" si="1"/>
        <v>16233120.016757535</v>
      </c>
      <c r="M21" s="70">
        <f t="shared" si="1"/>
        <v>9538867.0166746788</v>
      </c>
      <c r="N21" s="70">
        <f t="shared" si="1"/>
        <v>4643423.8073984357</v>
      </c>
      <c r="O21" s="70">
        <f t="shared" si="1"/>
        <v>114094006.66746965</v>
      </c>
      <c r="P21" s="70">
        <f t="shared" si="1"/>
        <v>26565124.610706761</v>
      </c>
      <c r="Q21" s="70">
        <f t="shared" si="1"/>
        <v>5313024.9221413527</v>
      </c>
      <c r="R21" s="103">
        <f t="shared" si="1"/>
        <v>23374916.45278443</v>
      </c>
      <c r="S21" s="106">
        <f t="shared" si="1"/>
        <v>115249534.67705783</v>
      </c>
      <c r="T21" s="70"/>
      <c r="U21" s="59"/>
      <c r="V21" s="59"/>
      <c r="W21" s="59"/>
      <c r="X21" s="59"/>
      <c r="Y21" s="59"/>
      <c r="Z21" s="59"/>
      <c r="AA21" s="59"/>
      <c r="AB21" s="59"/>
      <c r="AC21" s="59"/>
      <c r="AD21" s="59"/>
      <c r="AE21" s="59"/>
    </row>
    <row r="22" spans="1:31" ht="14.25" customHeight="1" x14ac:dyDescent="0.2">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row>
    <row r="23" spans="1:31"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row>
    <row r="24" spans="1:31" ht="14.25" customHeight="1" x14ac:dyDescent="0.2">
      <c r="A24" s="59"/>
      <c r="B24" s="59">
        <f>B21-853262</f>
        <v>28769174.597785547</v>
      </c>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row>
    <row r="25" spans="1:31" ht="14.25" customHeight="1" x14ac:dyDescent="0.2">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4.25" customHeight="1" x14ac:dyDescent="0.2">
      <c r="A26" s="59"/>
      <c r="B26" s="59">
        <f>SUM(K3:Q3)+C3</f>
        <v>20007671.604554068</v>
      </c>
      <c r="C26" s="107">
        <f>B24/B21</f>
        <v>0.97119541475991256</v>
      </c>
      <c r="D26" s="108">
        <f>B24/B26</f>
        <v>1.4379071771268588</v>
      </c>
      <c r="E26" s="59"/>
      <c r="F26" s="59">
        <f>SUM(K6:N6)+C6</f>
        <v>1040118.85523884</v>
      </c>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row>
    <row r="27" spans="1:31" ht="14.25" customHeight="1" x14ac:dyDescent="0.2">
      <c r="A27" s="59"/>
      <c r="B27" s="59">
        <f>B26/(1-0.05-0.02-0.075)</f>
        <v>23400785.502402421</v>
      </c>
      <c r="C27" s="59"/>
      <c r="D27" s="59"/>
      <c r="E27" s="59"/>
      <c r="F27" s="59"/>
      <c r="G27" s="59"/>
      <c r="H27" s="59"/>
      <c r="I27" s="59"/>
      <c r="J27" s="59"/>
      <c r="K27" s="59"/>
      <c r="L27" s="59"/>
      <c r="M27" s="59"/>
      <c r="N27" s="59"/>
      <c r="O27" s="59"/>
      <c r="P27" s="59"/>
      <c r="Q27" s="59"/>
      <c r="R27" s="59">
        <f>605550 - 606915</f>
        <v>-1365</v>
      </c>
      <c r="S27" s="59"/>
      <c r="T27" s="59"/>
      <c r="U27" s="59"/>
      <c r="V27" s="59"/>
      <c r="W27" s="59"/>
      <c r="X27" s="59"/>
      <c r="Y27" s="59"/>
      <c r="Z27" s="59"/>
      <c r="AA27" s="59"/>
      <c r="AB27" s="59"/>
      <c r="AC27" s="59"/>
      <c r="AD27" s="59"/>
      <c r="AE27" s="59"/>
    </row>
    <row r="28" spans="1:31" ht="14.25" customHeight="1" x14ac:dyDescent="0.2">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row>
    <row r="29" spans="1:31"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row>
    <row r="30" spans="1:31"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row>
    <row r="31" spans="1:31"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row>
    <row r="32" spans="1:31"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row>
    <row r="33" spans="1:31"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row>
    <row r="34" spans="1:31"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row>
    <row r="35" spans="1:31"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row>
    <row r="36" spans="1:31"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row>
    <row r="37" spans="1:31"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row>
    <row r="38" spans="1:31"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row>
    <row r="39" spans="1:31"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row>
    <row r="40" spans="1:31"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row>
    <row r="41" spans="1:31"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row>
    <row r="42" spans="1:31"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row>
    <row r="43" spans="1:31"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row>
    <row r="44" spans="1:31"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row>
    <row r="45" spans="1:31"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row>
    <row r="46" spans="1:31"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row>
    <row r="47" spans="1:31"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row>
    <row r="48" spans="1:31"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row>
    <row r="49" spans="1:31"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row>
    <row r="50" spans="1:31"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row>
    <row r="51" spans="1:31"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row>
    <row r="52" spans="1:31"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row>
    <row r="53" spans="1:31"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row>
    <row r="54" spans="1:31"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row>
    <row r="55" spans="1:31"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row>
    <row r="56" spans="1:31"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row>
    <row r="57" spans="1:31"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row>
    <row r="58" spans="1:31"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row>
    <row r="59" spans="1:31"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row>
    <row r="60" spans="1:31"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row>
    <row r="61" spans="1:31"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row>
    <row r="62" spans="1:31"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row>
    <row r="63" spans="1:31"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row>
    <row r="64" spans="1:31"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row>
    <row r="65" spans="1:31"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row>
    <row r="66" spans="1:31"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row>
    <row r="67" spans="1:31"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row>
    <row r="68" spans="1:31"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row>
    <row r="69" spans="1:31"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row>
    <row r="70" spans="1:31"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row>
    <row r="71" spans="1:31"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row>
    <row r="72" spans="1:31"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row>
    <row r="73" spans="1:31"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row>
    <row r="74" spans="1:31"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row>
    <row r="75" spans="1:31"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row>
    <row r="76" spans="1:31"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row>
    <row r="77" spans="1:31"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row>
    <row r="78" spans="1:31"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row>
    <row r="79" spans="1:31"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row>
    <row r="80" spans="1:31"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row>
    <row r="81" spans="1:31"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row>
    <row r="82" spans="1:31"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row>
    <row r="83" spans="1:31"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row>
    <row r="84" spans="1:31"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row>
    <row r="85" spans="1:31"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row>
    <row r="86" spans="1:31"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row>
    <row r="87" spans="1:31"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row>
    <row r="88" spans="1:31"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row>
    <row r="89" spans="1:31"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row>
    <row r="90" spans="1:31"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row>
    <row r="91" spans="1:31"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row>
    <row r="92" spans="1:31"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row>
    <row r="93" spans="1:31"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row>
    <row r="94" spans="1:31"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row>
    <row r="95" spans="1:31"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row>
    <row r="96" spans="1:31"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row>
    <row r="97" spans="1:31"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row>
    <row r="98" spans="1:31"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row>
    <row r="99" spans="1:31"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row>
    <row r="100" spans="1:31"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row>
    <row r="101" spans="1:31"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row>
    <row r="102" spans="1:31"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row>
    <row r="103" spans="1:31"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row>
    <row r="104" spans="1:31"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row>
    <row r="105" spans="1:31"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row>
    <row r="106" spans="1:31"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row>
    <row r="107" spans="1:31"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row>
    <row r="108" spans="1:31"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row>
    <row r="109" spans="1:31"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row>
    <row r="110" spans="1:31"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row>
    <row r="111" spans="1:31"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row>
    <row r="112" spans="1:31"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row>
    <row r="113" spans="1:31"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row>
    <row r="114" spans="1:31"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row>
    <row r="115" spans="1:31"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row>
    <row r="116" spans="1:31"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row>
    <row r="117" spans="1:31"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row>
    <row r="118" spans="1:31"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row>
    <row r="119" spans="1:31"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row>
    <row r="120" spans="1:31"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row>
    <row r="121" spans="1:31"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row>
    <row r="122" spans="1:31"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row>
    <row r="123" spans="1:31"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row>
    <row r="124" spans="1:31"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row>
    <row r="125" spans="1:31"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row>
    <row r="126" spans="1:31"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row>
    <row r="127" spans="1:31"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row>
    <row r="128" spans="1:31"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row>
    <row r="129" spans="1:31"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row>
    <row r="130" spans="1:31"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row>
    <row r="131" spans="1:31"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row>
    <row r="132" spans="1:31"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row>
    <row r="133" spans="1:31"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row>
    <row r="134" spans="1:31"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row>
    <row r="135" spans="1:31"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row>
    <row r="136" spans="1:31"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row>
    <row r="137" spans="1:31"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row>
    <row r="138" spans="1:31"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row>
    <row r="139" spans="1:31"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row>
    <row r="140" spans="1:31"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row>
    <row r="141" spans="1:31"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row>
    <row r="142" spans="1:31"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row>
    <row r="143" spans="1:31"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row>
    <row r="144" spans="1:31"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row>
    <row r="145" spans="1:31"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row>
    <row r="146" spans="1:31"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row>
    <row r="147" spans="1:31"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row>
    <row r="148" spans="1:31"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row>
    <row r="149" spans="1:31"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row>
    <row r="150" spans="1:31"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row>
    <row r="151" spans="1:31"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row>
    <row r="152" spans="1:31"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row>
    <row r="153" spans="1:31"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row>
    <row r="154" spans="1:31"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row>
    <row r="155" spans="1:31"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row>
    <row r="156" spans="1:31"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row>
    <row r="157" spans="1:31"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row>
    <row r="158" spans="1:31"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row>
    <row r="159" spans="1:31"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row>
    <row r="160" spans="1:31"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row>
    <row r="161" spans="1:31"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row>
    <row r="162" spans="1:31"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row>
    <row r="163" spans="1:31"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row>
    <row r="164" spans="1:31"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row>
    <row r="165" spans="1:31"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row>
    <row r="166" spans="1:31"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row>
    <row r="167" spans="1:31"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row>
    <row r="168" spans="1:31"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row>
    <row r="169" spans="1:31"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row>
    <row r="170" spans="1:31"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row>
    <row r="171" spans="1:31"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row>
    <row r="172" spans="1:31"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row>
    <row r="173" spans="1:31"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row>
    <row r="174" spans="1:31"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row>
    <row r="175" spans="1:31"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row>
    <row r="176" spans="1:31"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row>
    <row r="177" spans="1:31"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row>
    <row r="178" spans="1:31"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row>
    <row r="179" spans="1:31"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row>
    <row r="180" spans="1:31"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row>
    <row r="181" spans="1:31"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row>
    <row r="182" spans="1:31"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row>
    <row r="183" spans="1:31"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row>
    <row r="184" spans="1:31"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row>
    <row r="185" spans="1:31"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row>
    <row r="186" spans="1:31"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row>
    <row r="187" spans="1:31"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59">
        <f>'SAM(LEWIE Input)'!A2</f>
        <v>0</v>
      </c>
      <c r="B2" s="59" t="str">
        <f>'SAM(LEWIE Input)'!B2</f>
        <v>Ag</v>
      </c>
      <c r="C2" s="59" t="str">
        <f>'SAM(LEWIE Input)'!C2</f>
        <v>Tourism</v>
      </c>
      <c r="D2" s="59" t="str">
        <f>'SAM(LEWIE Input)'!D2</f>
        <v>Nag</v>
      </c>
      <c r="E2" s="59" t="str">
        <f>'SAM(LEWIE Input)'!E2</f>
        <v>NatRes</v>
      </c>
      <c r="F2" s="13" t="s">
        <v>41</v>
      </c>
      <c r="G2" s="13" t="s">
        <v>43</v>
      </c>
      <c r="H2" s="13" t="s">
        <v>44</v>
      </c>
      <c r="I2" s="13" t="s">
        <v>45</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Input)'!R2</f>
        <v>G</v>
      </c>
      <c r="S2" s="59" t="str">
        <f>'SAM(LEWIE Input)'!S2</f>
        <v>ROW</v>
      </c>
      <c r="T2" s="59" t="str">
        <f>'SAM(LEWIE Input)'!T2</f>
        <v>Total</v>
      </c>
      <c r="U2" s="1"/>
      <c r="V2" s="1"/>
      <c r="W2" s="1"/>
      <c r="X2" s="1"/>
      <c r="Y2" s="1"/>
      <c r="Z2" s="1"/>
      <c r="AA2" s="1"/>
      <c r="AB2" s="1"/>
      <c r="AC2" s="1"/>
      <c r="AD2" s="1"/>
      <c r="AE2" s="1"/>
      <c r="AF2" s="1"/>
      <c r="AG2" s="1"/>
    </row>
    <row r="3" spans="1:33" x14ac:dyDescent="0.2">
      <c r="A3" s="59" t="str">
        <f>'SAM(LEWIE Input)'!A3</f>
        <v>Ag</v>
      </c>
      <c r="B3" s="80">
        <f>'SAM(LEWIE Input)'!B3</f>
        <v>2939105.736664861</v>
      </c>
      <c r="C3" s="80">
        <f>'SAM(LEWIE Input)'!C3</f>
        <v>9188159.1074739527</v>
      </c>
      <c r="D3" s="80">
        <f>'SAM(LEWIE Input)'!D3</f>
        <v>14044772.569821486</v>
      </c>
      <c r="E3" s="80">
        <f>'SAM(LEWIE Input)'!E3</f>
        <v>0</v>
      </c>
      <c r="F3" s="80">
        <f>'SAM(LEWIE Input)'!F3</f>
        <v>0</v>
      </c>
      <c r="G3" s="80">
        <f>'SAM(LEWIE Input)'!G3</f>
        <v>0</v>
      </c>
      <c r="H3" s="80">
        <f>'SAM(LEWIE Input)'!H3</f>
        <v>0</v>
      </c>
      <c r="I3" s="80">
        <f>'SAM(LEWIE Input)'!I3</f>
        <v>0</v>
      </c>
      <c r="J3" s="80">
        <f>'SAM(LEWIE Input)'!J3</f>
        <v>0</v>
      </c>
      <c r="K3" s="80">
        <f>'SAM(LEWIE Input)'!K3</f>
        <v>1545093.2541553143</v>
      </c>
      <c r="L3" s="80">
        <f>'SAM(LEWIE Input)'!L3</f>
        <v>6323967.5402675839</v>
      </c>
      <c r="M3" s="80">
        <f>'SAM(LEWIE Input)'!M3</f>
        <v>1977845.3242602397</v>
      </c>
      <c r="N3" s="80">
        <f>'SAM(LEWIE Input)'!N3</f>
        <v>291345.82662056992</v>
      </c>
      <c r="O3" s="80">
        <f>'SAM(LEWIE Input)'!O3</f>
        <v>0</v>
      </c>
      <c r="P3" s="80">
        <f>'SAM(LEWIE Input)'!P3</f>
        <v>103757.84284800001</v>
      </c>
      <c r="Q3" s="80">
        <f>'SAM(LEWIE Input)'!Q3</f>
        <v>577502.70892840787</v>
      </c>
      <c r="R3" s="80">
        <f>'SAM(LEWIE Input)'!R3</f>
        <v>0</v>
      </c>
      <c r="S3" s="80">
        <f>'SAM(LEWIE Input)'!S3</f>
        <v>0</v>
      </c>
      <c r="T3" s="80">
        <f>'SAM(LEWIE Input)'!T3</f>
        <v>36991549.911040425</v>
      </c>
      <c r="U3" s="1"/>
      <c r="V3" s="1"/>
      <c r="W3" s="1"/>
      <c r="X3" s="1"/>
      <c r="Y3" s="1"/>
      <c r="Z3" s="1"/>
      <c r="AA3" s="1"/>
      <c r="AB3" s="1"/>
      <c r="AC3" s="1"/>
      <c r="AD3" s="1"/>
      <c r="AE3" s="1"/>
      <c r="AF3" s="1"/>
      <c r="AG3" s="1"/>
    </row>
    <row r="4" spans="1:33"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44174948.006385349</v>
      </c>
      <c r="P4" s="80">
        <f>'SAM(LEWIE Input)'!P4</f>
        <v>0</v>
      </c>
      <c r="Q4" s="80">
        <f>'SAM(LEWIE Input)'!Q4</f>
        <v>0</v>
      </c>
      <c r="R4" s="80">
        <f>'SAM(LEWIE Input)'!R4</f>
        <v>0</v>
      </c>
      <c r="S4" s="80">
        <f>'SAM(LEWIE Input)'!S4</f>
        <v>0</v>
      </c>
      <c r="T4" s="80"/>
      <c r="U4" s="1"/>
      <c r="V4" s="1"/>
      <c r="W4" s="1"/>
      <c r="X4" s="1"/>
      <c r="Y4" s="1"/>
      <c r="Z4" s="1"/>
      <c r="AA4" s="1"/>
      <c r="AB4" s="1"/>
      <c r="AC4" s="1"/>
      <c r="AD4" s="1"/>
      <c r="AE4" s="1"/>
      <c r="AF4" s="1"/>
      <c r="AG4" s="1"/>
    </row>
    <row r="5" spans="1:33" x14ac:dyDescent="0.2">
      <c r="A5" s="59" t="str">
        <f>'SAM(LEWIE Input)'!A5</f>
        <v>Nag</v>
      </c>
      <c r="B5" s="80">
        <f>'SAM(LEWIE Input)'!B5</f>
        <v>6437353.3860262325</v>
      </c>
      <c r="C5" s="80">
        <f>'SAM(LEWIE Input)'!C5</f>
        <v>12720912.527572097</v>
      </c>
      <c r="D5" s="80">
        <f>'SAM(LEWIE Input)'!D5</f>
        <v>29548421.163620882</v>
      </c>
      <c r="E5" s="80">
        <f>'SAM(LEWIE Input)'!E5</f>
        <v>0</v>
      </c>
      <c r="F5" s="80">
        <f>'SAM(LEWIE Input)'!F5</f>
        <v>0</v>
      </c>
      <c r="G5" s="80">
        <f>'SAM(LEWIE Input)'!G5</f>
        <v>0</v>
      </c>
      <c r="H5" s="80">
        <f>'SAM(LEWIE Input)'!H5</f>
        <v>0</v>
      </c>
      <c r="I5" s="80">
        <f>'SAM(LEWIE Input)'!I5</f>
        <v>0</v>
      </c>
      <c r="J5" s="80">
        <f>'SAM(LEWIE Input)'!J5</f>
        <v>0</v>
      </c>
      <c r="K5" s="80">
        <f>'SAM(LEWIE Input)'!K5</f>
        <v>1556419.3975292013</v>
      </c>
      <c r="L5" s="80">
        <f>'SAM(LEWIE Input)'!L5</f>
        <v>9297674.5249409284</v>
      </c>
      <c r="M5" s="80">
        <f>'SAM(LEWIE Input)'!M5</f>
        <v>2074703.5761267429</v>
      </c>
      <c r="N5" s="80">
        <f>'SAM(LEWIE Input)'!N5</f>
        <v>544690.02368193504</v>
      </c>
      <c r="O5" s="80">
        <f>'SAM(LEWIE Input)'!O5</f>
        <v>29216271.797187515</v>
      </c>
      <c r="P5" s="80">
        <f>'SAM(LEWIE Input)'!P5</f>
        <v>975885.16924800002</v>
      </c>
      <c r="Q5" s="80">
        <f>'SAM(LEWIE Input)'!Q5</f>
        <v>2425511.3774993136</v>
      </c>
      <c r="R5" s="80">
        <f>'SAM(LEWIE Input)'!R5</f>
        <v>0</v>
      </c>
      <c r="S5" s="80">
        <f>'SAM(LEWIE Input)'!S5</f>
        <v>0</v>
      </c>
      <c r="T5" s="80">
        <f>'SAM(LEWIE Input)'!T5</f>
        <v>94797842.943432853</v>
      </c>
      <c r="U5" s="1"/>
      <c r="V5" s="1"/>
      <c r="W5" s="1"/>
      <c r="X5" s="1"/>
      <c r="Y5" s="1"/>
      <c r="Z5" s="1"/>
      <c r="AA5" s="1"/>
      <c r="AB5" s="1"/>
      <c r="AC5" s="1"/>
      <c r="AD5" s="1"/>
      <c r="AE5" s="1"/>
      <c r="AF5" s="1"/>
      <c r="AG5" s="1"/>
    </row>
    <row r="6" spans="1:33" x14ac:dyDescent="0.2">
      <c r="A6" s="59" t="str">
        <f>'SAM(LEWIE Input)'!A6</f>
        <v>NatRes</v>
      </c>
      <c r="B6" s="80">
        <f>'SAM(LEWIE Input)'!B6</f>
        <v>238305.87054039419</v>
      </c>
      <c r="C6" s="80">
        <f>'SAM(LEWIE Input)'!C6</f>
        <v>612543.94049826358</v>
      </c>
      <c r="D6" s="80">
        <f>'SAM(LEWIE Input)'!D6</f>
        <v>1780323.2834984981</v>
      </c>
      <c r="E6" s="80">
        <f>'SAM(LEWIE Input)'!E6</f>
        <v>0</v>
      </c>
      <c r="F6" s="80">
        <f>'SAM(LEWIE Input)'!F6</f>
        <v>0</v>
      </c>
      <c r="G6" s="80">
        <f>'SAM(LEWIE Input)'!G6</f>
        <v>0</v>
      </c>
      <c r="H6" s="80">
        <f>'SAM(LEWIE Input)'!H6</f>
        <v>0</v>
      </c>
      <c r="I6" s="80">
        <f>'SAM(LEWIE Input)'!I6</f>
        <v>0</v>
      </c>
      <c r="J6" s="80">
        <f>'SAM(LEWIE Input)'!J6</f>
        <v>0</v>
      </c>
      <c r="K6" s="80">
        <f>'SAM(LEWIE Input)'!K6</f>
        <v>0</v>
      </c>
      <c r="L6" s="80">
        <f>'SAM(LEWIE Input)'!L6</f>
        <v>0</v>
      </c>
      <c r="M6" s="80">
        <f>'SAM(LEWIE Input)'!M6</f>
        <v>318636.91000418947</v>
      </c>
      <c r="N6" s="80">
        <f>'SAM(LEWIE Input)'!N6</f>
        <v>108938.00473638701</v>
      </c>
      <c r="O6" s="80">
        <f>'SAM(LEWIE Input)'!O6</f>
        <v>0</v>
      </c>
      <c r="P6" s="80">
        <f>'SAM(LEWIE Input)'!P6</f>
        <v>0</v>
      </c>
      <c r="Q6" s="80">
        <f>'SAM(LEWIE Input)'!Q6</f>
        <v>0</v>
      </c>
      <c r="R6" s="80">
        <f>'SAM(LEWIE Input)'!R6</f>
        <v>0</v>
      </c>
      <c r="S6" s="80">
        <f>'SAM(LEWIE Input)'!S6</f>
        <v>0</v>
      </c>
      <c r="T6" s="80">
        <f>'SAM(LEWIE Input)'!T6</f>
        <v>3058748.0092777321</v>
      </c>
      <c r="U6" s="1"/>
      <c r="V6" s="1"/>
      <c r="W6" s="1"/>
      <c r="X6" s="1"/>
      <c r="Y6" s="1"/>
      <c r="Z6" s="1"/>
      <c r="AA6" s="1"/>
      <c r="AB6" s="1"/>
      <c r="AC6" s="1"/>
      <c r="AD6" s="1"/>
      <c r="AE6" s="1"/>
      <c r="AF6" s="1"/>
      <c r="AG6" s="1"/>
    </row>
    <row r="7" spans="1:33" x14ac:dyDescent="0.2">
      <c r="A7" s="59" t="str">
        <f>'SAM(LEWIE Input)'!A7</f>
        <v>L-MUSK</v>
      </c>
      <c r="B7" s="80">
        <f>'SAM(LEWIE Input)'!B7</f>
        <v>3755122.8085153019</v>
      </c>
      <c r="C7" s="80">
        <f>'SAM(LEWIE Input)'!C7</f>
        <v>0</v>
      </c>
      <c r="D7" s="80">
        <f>'SAM(LEWIE Input)'!D7</f>
        <v>232431.09534563666</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246102.76903020672</v>
      </c>
      <c r="N7" s="80">
        <f>'SAM(LEWIE Input)'!N7</f>
        <v>97284.171671564225</v>
      </c>
      <c r="O7" s="80">
        <f>'SAM(LEWIE Input)'!O7</f>
        <v>0</v>
      </c>
      <c r="P7" s="80">
        <f>'SAM(LEWIE Input)'!P7</f>
        <v>17599.625857440002</v>
      </c>
      <c r="Q7" s="80">
        <f>'SAM(LEWIE Input)'!Q7</f>
        <v>392701.84207131737</v>
      </c>
      <c r="R7" s="80">
        <f>'SAM(LEWIE Input)'!R7</f>
        <v>0</v>
      </c>
      <c r="S7" s="80">
        <f>'SAM(LEWIE Input)'!S7</f>
        <v>0</v>
      </c>
      <c r="T7" s="80">
        <f>'SAM(LEWIE Input)'!T7</f>
        <v>4741242.3124914663</v>
      </c>
      <c r="U7" s="1"/>
      <c r="V7" s="1"/>
      <c r="W7" s="1"/>
      <c r="X7" s="1"/>
      <c r="Y7" s="1"/>
      <c r="Z7" s="1"/>
      <c r="AA7" s="1"/>
      <c r="AB7" s="1"/>
      <c r="AC7" s="1"/>
      <c r="AD7" s="1"/>
      <c r="AE7" s="1"/>
      <c r="AF7" s="1"/>
      <c r="AG7" s="1"/>
    </row>
    <row r="8" spans="1:33" x14ac:dyDescent="0.2">
      <c r="A8" s="59" t="str">
        <f>'SAM(LEWIE Input)'!A8</f>
        <v>L-FUSK</v>
      </c>
      <c r="B8" s="80">
        <f>'SAM(LEWIE Input)'!B8</f>
        <v>2475905.1484716279</v>
      </c>
      <c r="C8" s="80">
        <f>'SAM(LEWIE Input)'!C8</f>
        <v>160011.47833424003</v>
      </c>
      <c r="D8" s="80">
        <f>'SAM(LEWIE Input)'!D8</f>
        <v>2062825.971192525</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200316.20735016835</v>
      </c>
      <c r="N8" s="80">
        <f>'SAM(LEWIE Input)'!N8</f>
        <v>190514.83619014663</v>
      </c>
      <c r="O8" s="80">
        <f>'SAM(LEWIE Input)'!O8</f>
        <v>0</v>
      </c>
      <c r="P8" s="80">
        <f>'SAM(LEWIE Input)'!P8</f>
        <v>1955.5139841600003</v>
      </c>
      <c r="Q8" s="80">
        <f>'SAM(LEWIE Input)'!Q8</f>
        <v>184800.86685709053</v>
      </c>
      <c r="R8" s="80">
        <f>'SAM(LEWIE Input)'!R8</f>
        <v>0</v>
      </c>
      <c r="S8" s="80">
        <f>'SAM(LEWIE Input)'!S8</f>
        <v>0</v>
      </c>
      <c r="T8" s="80"/>
      <c r="U8" s="1"/>
      <c r="V8" s="1"/>
      <c r="W8" s="1"/>
      <c r="X8" s="1"/>
      <c r="Y8" s="1"/>
      <c r="Z8" s="1"/>
      <c r="AA8" s="1"/>
      <c r="AB8" s="1"/>
      <c r="AC8" s="1"/>
      <c r="AD8" s="1"/>
      <c r="AE8" s="1"/>
      <c r="AF8" s="1"/>
      <c r="AG8" s="1"/>
    </row>
    <row r="9" spans="1:33" x14ac:dyDescent="0.2">
      <c r="A9" s="59" t="str">
        <f>'SAM(LEWIE Input)'!A9</f>
        <v>L-MSK</v>
      </c>
      <c r="B9" s="80">
        <f>'SAM(LEWIE Input)'!B9</f>
        <v>412650.85807860468</v>
      </c>
      <c r="C9" s="80">
        <f>'SAM(LEWIE Input)'!C9</f>
        <v>500035.86979450146</v>
      </c>
      <c r="D9" s="80">
        <f>'SAM(LEWIE Input)'!D9</f>
        <v>0</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417802.375330351</v>
      </c>
      <c r="N9" s="80">
        <f>'SAM(LEWIE Input)'!N9</f>
        <v>113498.20028349159</v>
      </c>
      <c r="O9" s="80">
        <f>'SAM(LEWIE Input)'!O9</f>
        <v>0</v>
      </c>
      <c r="P9" s="80">
        <f>'SAM(LEWIE Input)'!P9</f>
        <v>387447.97202496004</v>
      </c>
      <c r="Q9" s="80">
        <f>'SAM(LEWIE Input)'!Q9</f>
        <v>1732508.1267852241</v>
      </c>
      <c r="R9" s="80">
        <f>'SAM(LEWIE Input)'!R9</f>
        <v>0</v>
      </c>
      <c r="S9" s="80">
        <f>'SAM(LEWIE Input)'!S9</f>
        <v>0</v>
      </c>
      <c r="T9" s="80"/>
      <c r="U9" s="1"/>
      <c r="V9" s="1"/>
      <c r="W9" s="1"/>
      <c r="X9" s="1"/>
      <c r="Y9" s="1"/>
      <c r="Z9" s="1"/>
      <c r="AA9" s="1"/>
      <c r="AB9" s="1"/>
      <c r="AC9" s="1"/>
      <c r="AD9" s="1"/>
      <c r="AE9" s="1"/>
      <c r="AF9" s="1"/>
      <c r="AG9" s="1"/>
    </row>
    <row r="10" spans="1:33" x14ac:dyDescent="0.2">
      <c r="A10" s="59" t="str">
        <f>'SAM(LEWIE Input)'!A10</f>
        <v>L-FSK</v>
      </c>
      <c r="B10" s="80">
        <f>'SAM(LEWIE Input)'!B10</f>
        <v>206325.42903930234</v>
      </c>
      <c r="C10" s="80">
        <f>'SAM(LEWIE Input)'!C10</f>
        <v>1160083.2179232419</v>
      </c>
      <c r="D10" s="80">
        <f>'SAM(LEWIE Input)'!D10</f>
        <v>435808.30377306906</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412079.05512034619</v>
      </c>
      <c r="N10" s="80">
        <f>'SAM(LEWIE Input)'!N10</f>
        <v>247263.93633189239</v>
      </c>
      <c r="O10" s="80">
        <f>'SAM(LEWIE Input)'!O10</f>
        <v>0</v>
      </c>
      <c r="P10" s="80">
        <f>'SAM(LEWIE Input)'!P10</f>
        <v>80935.674336000011</v>
      </c>
      <c r="Q10" s="80">
        <f>'SAM(LEWIE Input)'!Q10</f>
        <v>0</v>
      </c>
      <c r="R10" s="80">
        <f>'SAM(LEWIE Input)'!R10</f>
        <v>0</v>
      </c>
      <c r="S10" s="80">
        <f>'SAM(LEWIE Input)'!S10</f>
        <v>0</v>
      </c>
      <c r="T10" s="80"/>
      <c r="U10" s="1"/>
      <c r="V10" s="1"/>
      <c r="W10" s="1"/>
      <c r="X10" s="1"/>
      <c r="Y10" s="1"/>
      <c r="Z10" s="1"/>
      <c r="AA10" s="1"/>
      <c r="AB10" s="1"/>
      <c r="AC10" s="1"/>
      <c r="AD10" s="1"/>
      <c r="AE10" s="1"/>
      <c r="AF10" s="1"/>
      <c r="AG10" s="1"/>
    </row>
    <row r="11" spans="1:33" x14ac:dyDescent="0.2">
      <c r="A11" s="59" t="str">
        <f>'SAM(LEWIE Input)'!A11</f>
        <v>K</v>
      </c>
      <c r="B11" s="80">
        <f>'SAM(LEWIE Input)'!B11</f>
        <v>8886730.9793356657</v>
      </c>
      <c r="C11" s="80">
        <f>'SAM(LEWIE Input)'!C11</f>
        <v>14172795.8187153</v>
      </c>
      <c r="D11" s="80">
        <f>'SAM(LEWIE Input)'!D11</f>
        <v>10696386.768834593</v>
      </c>
      <c r="E11" s="80">
        <f>'SAM(LEWIE Input)'!E11</f>
        <v>0</v>
      </c>
      <c r="F11" s="80">
        <f>'SAM(LEWIE Input)'!F11</f>
        <v>0</v>
      </c>
      <c r="G11" s="80">
        <f>'SAM(LEWIE Input)'!G11</f>
        <v>0</v>
      </c>
      <c r="H11" s="80">
        <f>'SAM(LEWIE Input)'!H11</f>
        <v>0</v>
      </c>
      <c r="I11" s="80">
        <f>'SAM(LEWIE Input)'!I11</f>
        <v>0</v>
      </c>
      <c r="J11" s="80">
        <f>'SAM(LEWIE Input)'!J11</f>
        <v>0</v>
      </c>
      <c r="K11" s="80">
        <f>'SAM(LEWIE Input)'!K11</f>
        <v>0</v>
      </c>
      <c r="L11" s="80">
        <f>'SAM(LEWIE Input)'!L11</f>
        <v>32780.899937563081</v>
      </c>
      <c r="M11" s="80">
        <f>'SAM(LEWIE Input)'!M11</f>
        <v>2384716.7541686697</v>
      </c>
      <c r="N11" s="80">
        <f>'SAM(LEWIE Input)'!N11</f>
        <v>356089.34364736325</v>
      </c>
      <c r="O11" s="80">
        <f>'SAM(LEWIE Input)'!O11</f>
        <v>0</v>
      </c>
      <c r="P11" s="80">
        <f>'SAM(LEWIE Input)'!P11</f>
        <v>10929.599999999999</v>
      </c>
      <c r="Q11" s="80">
        <f>'SAM(LEWIE Input)'!Q11</f>
        <v>0</v>
      </c>
      <c r="R11" s="80">
        <f>'SAM(LEWIE Input)'!R11</f>
        <v>0</v>
      </c>
      <c r="S11" s="80">
        <f>'SAM(LEWIE Input)'!S11</f>
        <v>0</v>
      </c>
      <c r="T11" s="80">
        <f>'SAM(LEWIE Input)'!T11</f>
        <v>36540430.164639153</v>
      </c>
      <c r="U11" s="1"/>
      <c r="V11" s="1"/>
      <c r="W11" s="1"/>
      <c r="X11" s="1"/>
      <c r="Y11" s="1"/>
      <c r="Z11" s="1"/>
      <c r="AA11" s="1"/>
      <c r="AB11" s="1"/>
      <c r="AC11" s="1"/>
      <c r="AD11" s="1"/>
      <c r="AE11" s="1"/>
      <c r="AF11" s="1"/>
      <c r="AG11" s="1"/>
    </row>
    <row r="12" spans="1:33" x14ac:dyDescent="0.2">
      <c r="A12" s="59" t="str">
        <f>'SAM(LEWIE Input)'!A12</f>
        <v>Poor</v>
      </c>
      <c r="B12" s="80">
        <f>'SAM(LEWIE Input)'!B12</f>
        <v>0</v>
      </c>
      <c r="C12" s="80">
        <f>'SAM(LEWIE Input)'!C12</f>
        <v>0</v>
      </c>
      <c r="D12" s="80">
        <f>'SAM(LEWIE Input)'!D12</f>
        <v>0</v>
      </c>
      <c r="E12" s="80">
        <f>'SAM(LEWIE Input)'!E12</f>
        <v>0</v>
      </c>
      <c r="F12" s="80">
        <f>'SAM(LEWIE Input)'!F12</f>
        <v>981118.06181505939</v>
      </c>
      <c r="G12" s="80">
        <f>'SAM(LEWIE Input)'!G12</f>
        <v>608925.94697446306</v>
      </c>
      <c r="H12" s="80">
        <f>'SAM(LEWIE Input)'!H12</f>
        <v>1222100.3273335712</v>
      </c>
      <c r="I12" s="80">
        <f>'SAM(LEWIE Input)'!I12</f>
        <v>785783.46546073235</v>
      </c>
      <c r="J12" s="80">
        <f>'SAM(LEWIE Input)'!J12</f>
        <v>1688211.3562204372</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Input)'!R12</f>
        <v>0</v>
      </c>
      <c r="S12" s="80">
        <f>'SAM(LEWIE Input)'!S12</f>
        <v>60995.517350739108</v>
      </c>
      <c r="T12" s="80">
        <f>'SAM(LEWIE Input)'!T12</f>
        <v>5347134.6751550026</v>
      </c>
      <c r="U12" s="1"/>
      <c r="V12" s="1"/>
      <c r="W12" s="1"/>
      <c r="X12" s="1"/>
      <c r="Y12" s="1"/>
      <c r="Z12" s="1"/>
      <c r="AA12" s="1"/>
      <c r="AB12" s="1"/>
      <c r="AC12" s="1"/>
      <c r="AD12" s="1"/>
      <c r="AE12" s="1"/>
      <c r="AF12" s="1"/>
      <c r="AG12" s="1"/>
    </row>
    <row r="13" spans="1:33" x14ac:dyDescent="0.2">
      <c r="A13" s="59" t="str">
        <f>'SAM(LEWIE Input)'!A13</f>
        <v>Nonpoor</v>
      </c>
      <c r="B13" s="80">
        <f>'SAM(LEWIE Input)'!B13</f>
        <v>0</v>
      </c>
      <c r="C13" s="80">
        <f>'SAM(LEWIE Input)'!C13</f>
        <v>0</v>
      </c>
      <c r="D13" s="80">
        <f>'SAM(LEWIE Input)'!D13</f>
        <v>0</v>
      </c>
      <c r="E13" s="80">
        <f>'SAM(LEWIE Input)'!E13</f>
        <v>0</v>
      </c>
      <c r="F13" s="80">
        <f>'SAM(LEWIE Input)'!F13</f>
        <v>3760124.250676407</v>
      </c>
      <c r="G13" s="80">
        <f>'SAM(LEWIE Input)'!G13</f>
        <v>4667404.0754054952</v>
      </c>
      <c r="H13" s="80">
        <f>'SAM(LEWIE Input)'!H13</f>
        <v>2341843.0749635613</v>
      </c>
      <c r="I13" s="80">
        <f>'SAM(LEWIE Input)'!I13</f>
        <v>1756712.1510631193</v>
      </c>
      <c r="J13" s="80">
        <f>'SAM(LEWIE Input)'!J13</f>
        <v>34852218.808418714</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Input)'!R13</f>
        <v>0</v>
      </c>
      <c r="S13" s="80">
        <f>'SAM(LEWIE Input)'!S13</f>
        <v>1094532.4922374405</v>
      </c>
      <c r="T13" s="80">
        <f>'SAM(LEWIE Input)'!T13</f>
        <v>48472834.852764741</v>
      </c>
      <c r="U13" s="1"/>
      <c r="V13" s="1"/>
      <c r="W13" s="1"/>
      <c r="X13" s="1"/>
      <c r="Y13" s="1"/>
      <c r="Z13" s="1"/>
      <c r="AA13" s="1"/>
      <c r="AB13" s="1"/>
      <c r="AC13" s="1"/>
      <c r="AD13" s="1"/>
      <c r="AE13" s="1"/>
      <c r="AF13" s="1"/>
      <c r="AG13" s="1"/>
    </row>
    <row r="14" spans="1:33"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92763.968324743168</v>
      </c>
      <c r="M14" s="80">
        <f>'SAM(LEWIE Input)'!M14</f>
        <v>0</v>
      </c>
      <c r="N14" s="80">
        <f>'SAM(LEWIE Input)'!N14</f>
        <v>0</v>
      </c>
      <c r="O14" s="80">
        <f>'SAM(LEWIE Input)'!O14</f>
        <v>9446103.0483499356</v>
      </c>
      <c r="P14" s="80">
        <f>'SAM(LEWIE Input)'!P14</f>
        <v>0</v>
      </c>
      <c r="Q14" s="80">
        <f>'SAM(LEWIE Input)'!Q14</f>
        <v>0</v>
      </c>
      <c r="R14" s="80">
        <f>'SAM(LEWIE Input)'!R14</f>
        <v>0</v>
      </c>
      <c r="S14" s="80">
        <f>'SAM(LEWIE Input)'!S14</f>
        <v>0</v>
      </c>
      <c r="T14" s="80">
        <f>'SAM(LEWIE Input)'!T14</f>
        <v>9538867.0166746788</v>
      </c>
      <c r="U14" s="1"/>
      <c r="V14" s="1"/>
      <c r="W14" s="1"/>
      <c r="X14" s="1"/>
      <c r="Y14" s="1"/>
      <c r="Z14" s="1"/>
      <c r="AA14" s="1"/>
      <c r="AB14" s="1"/>
      <c r="AC14" s="1"/>
      <c r="AD14" s="1"/>
      <c r="AE14" s="1"/>
      <c r="AF14" s="1"/>
      <c r="AG14" s="1"/>
    </row>
    <row r="15" spans="1:33"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4691559.2048400948</v>
      </c>
      <c r="P15" s="80">
        <f>'SAM(LEWIE Input)'!P15</f>
        <v>0</v>
      </c>
      <c r="Q15" s="80">
        <f>'SAM(LEWIE Input)'!Q15</f>
        <v>0</v>
      </c>
      <c r="R15" s="80">
        <f>'SAM(LEWIE Input)'!R15</f>
        <v>0</v>
      </c>
      <c r="S15" s="80">
        <f>'SAM(LEWIE Input)'!S15</f>
        <v>0</v>
      </c>
      <c r="T15" s="80">
        <f>'SAM(LEWIE Input)'!T15</f>
        <v>4691559.2048400948</v>
      </c>
      <c r="U15" s="1"/>
      <c r="V15" s="1"/>
      <c r="W15" s="1"/>
      <c r="X15" s="1"/>
      <c r="Y15" s="1"/>
      <c r="Z15" s="1"/>
      <c r="AA15" s="1"/>
      <c r="AB15" s="1"/>
      <c r="AC15" s="1"/>
      <c r="AD15" s="1"/>
      <c r="AE15" s="1"/>
      <c r="AF15" s="1"/>
      <c r="AG15" s="1"/>
    </row>
    <row r="16" spans="1:33"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Input)'!R16</f>
        <v>0</v>
      </c>
      <c r="S16" s="80">
        <f>'SAM(LEWIE Input)'!S16</f>
        <v>114094006.66746965</v>
      </c>
      <c r="T16" s="80">
        <f>'SAM(LEWIE Input)'!T16</f>
        <v>114094006.66746965</v>
      </c>
      <c r="U16" s="1"/>
      <c r="V16" s="1"/>
      <c r="W16" s="1"/>
      <c r="X16" s="1"/>
      <c r="Y16" s="1"/>
      <c r="Z16" s="1"/>
      <c r="AA16" s="1"/>
      <c r="AB16" s="1"/>
      <c r="AC16" s="1"/>
      <c r="AD16" s="1"/>
      <c r="AE16" s="1"/>
      <c r="AF16" s="1"/>
      <c r="AG16" s="1"/>
    </row>
    <row r="17" spans="1:33"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26565124.610706765</v>
      </c>
      <c r="P17" s="80">
        <f>'SAM(LEWIE Input)'!P17</f>
        <v>0</v>
      </c>
      <c r="Q17" s="80">
        <f>'SAM(LEWIE Input)'!Q17</f>
        <v>0</v>
      </c>
      <c r="R17" s="80">
        <f>'SAM(LEWIE Input)'!R17</f>
        <v>0</v>
      </c>
      <c r="S17" s="80">
        <f>'SAM(LEWIE Input)'!S17</f>
        <v>0</v>
      </c>
      <c r="T17" s="80">
        <f>'SAM(LEWIE Input)'!T17</f>
        <v>26565124.610706765</v>
      </c>
      <c r="U17" s="1"/>
      <c r="V17" s="1"/>
      <c r="W17" s="1"/>
      <c r="X17" s="1"/>
      <c r="Y17" s="1"/>
      <c r="Z17" s="1"/>
      <c r="AA17" s="1"/>
      <c r="AB17" s="1"/>
      <c r="AC17" s="1"/>
      <c r="AD17" s="1"/>
      <c r="AE17" s="1"/>
      <c r="AF17" s="1"/>
      <c r="AG17" s="1"/>
    </row>
    <row r="18" spans="1:33"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5313024.9221413536</v>
      </c>
      <c r="Q18" s="80">
        <f>'SAM(LEWIE Input)'!Q18</f>
        <v>0</v>
      </c>
      <c r="R18" s="80">
        <f>'SAM(LEWIE Input)'!R18</f>
        <v>0</v>
      </c>
      <c r="S18" s="80">
        <f>'SAM(LEWIE Input)'!S18</f>
        <v>0</v>
      </c>
      <c r="T18" s="80"/>
      <c r="U18" s="1"/>
      <c r="V18" s="1"/>
      <c r="W18" s="1"/>
      <c r="X18" s="1"/>
      <c r="Y18" s="1"/>
      <c r="Z18" s="1"/>
      <c r="AA18" s="1"/>
      <c r="AB18" s="1"/>
      <c r="AC18" s="1"/>
      <c r="AD18" s="1"/>
      <c r="AE18" s="1"/>
      <c r="AF18" s="1"/>
      <c r="AG18" s="1"/>
    </row>
    <row r="19" spans="1:33" x14ac:dyDescent="0.2">
      <c r="A19" s="59" t="str">
        <f>'SAM(LEWIE Input)'!A19</f>
        <v>G</v>
      </c>
      <c r="B19" s="80">
        <f>'SAM(LEWIE Input)'!B19</f>
        <v>1031627.1451965115</v>
      </c>
      <c r="C19" s="80">
        <f>'SAM(LEWIE Input)'!C19</f>
        <v>820058.82646297978</v>
      </c>
      <c r="D19" s="80">
        <f>'SAM(LEWIE Input)'!D19</f>
        <v>2287220.8850501524</v>
      </c>
      <c r="E19" s="80">
        <f>'SAM(LEWIE Input)'!E19</f>
        <v>0</v>
      </c>
      <c r="F19" s="80">
        <f>'SAM(LEWIE Input)'!F19</f>
        <v>0</v>
      </c>
      <c r="G19" s="80">
        <f>'SAM(LEWIE Input)'!G19</f>
        <v>0</v>
      </c>
      <c r="H19" s="80">
        <f>'SAM(LEWIE Input)'!H19</f>
        <v>0</v>
      </c>
      <c r="I19" s="80">
        <f>'SAM(LEWIE Input)'!I19</f>
        <v>0</v>
      </c>
      <c r="J19" s="80">
        <f>'SAM(LEWIE Input)'!J19</f>
        <v>0</v>
      </c>
      <c r="K19" s="80">
        <f>'SAM(LEWIE Input)'!K19</f>
        <v>0</v>
      </c>
      <c r="L19" s="80">
        <f>'SAM(LEWIE Input)'!L19</f>
        <v>50349.042092631491</v>
      </c>
      <c r="M19" s="80">
        <f>'SAM(LEWIE Input)'!M19</f>
        <v>128774.70472510818</v>
      </c>
      <c r="N19" s="80">
        <f>'SAM(LEWIE Input)'!N19</f>
        <v>81070.143059636845</v>
      </c>
      <c r="O19" s="80">
        <f>'SAM(LEWIE Input)'!O19</f>
        <v>0</v>
      </c>
      <c r="P19" s="80">
        <f>'SAM(LEWIE Input)'!P19</f>
        <v>18975815.706197411</v>
      </c>
      <c r="Q19" s="80">
        <f>'SAM(LEWIE Input)'!Q19</f>
        <v>0</v>
      </c>
      <c r="R19" s="80">
        <f>'SAM(LEWIE Input)'!R19</f>
        <v>0</v>
      </c>
      <c r="S19" s="80">
        <f>'SAM(LEWIE Input)'!S19</f>
        <v>0</v>
      </c>
      <c r="T19" s="80">
        <f>'SAM(LEWIE Input)'!T19</f>
        <v>23374916.45278443</v>
      </c>
      <c r="U19" s="1"/>
      <c r="V19" s="1"/>
      <c r="W19" s="1"/>
      <c r="X19" s="1"/>
      <c r="Y19" s="1"/>
      <c r="Z19" s="1"/>
      <c r="AA19" s="1"/>
      <c r="AB19" s="1"/>
      <c r="AC19" s="1"/>
      <c r="AD19" s="1"/>
      <c r="AE19" s="1"/>
      <c r="AF19" s="1"/>
      <c r="AG19" s="1"/>
    </row>
    <row r="20" spans="1:33" x14ac:dyDescent="0.2">
      <c r="A20" s="59" t="str">
        <f>'SAM(LEWIE Input)'!A20</f>
        <v>ROW</v>
      </c>
      <c r="B20" s="80">
        <f>'SAM(LEWIE Input)'!B20</f>
        <v>3239309.2359170467</v>
      </c>
      <c r="C20" s="80">
        <f>'SAM(LEWIE Input)'!C20</f>
        <v>4840347.2196107758</v>
      </c>
      <c r="D20" s="80">
        <f>'SAM(LEWIE Input)'!D20</f>
        <v>43097395.369589746</v>
      </c>
      <c r="E20" s="80">
        <f>'SAM(LEWIE Input)'!E20</f>
        <v>1040118.85523884</v>
      </c>
      <c r="F20" s="80">
        <f>'SAM(LEWIE Input)'!F20</f>
        <v>0</v>
      </c>
      <c r="G20" s="80">
        <f>'SAM(LEWIE Input)'!G20</f>
        <v>0</v>
      </c>
      <c r="H20" s="80">
        <f>'SAM(LEWIE Input)'!H20</f>
        <v>0</v>
      </c>
      <c r="I20" s="80">
        <f>'SAM(LEWIE Input)'!I20</f>
        <v>0</v>
      </c>
      <c r="J20" s="80">
        <f>'SAM(LEWIE Input)'!J20</f>
        <v>0</v>
      </c>
      <c r="K20" s="80">
        <f>'SAM(LEWIE Input)'!K20</f>
        <v>142765.83971164425</v>
      </c>
      <c r="L20" s="80">
        <f>'SAM(LEWIE Input)'!L20</f>
        <v>435584.04119408556</v>
      </c>
      <c r="M20" s="80">
        <f>'SAM(LEWIE Input)'!M20</f>
        <v>1377889.3405586574</v>
      </c>
      <c r="N20" s="80">
        <f>'SAM(LEWIE Input)'!N20</f>
        <v>2612729.3211754486</v>
      </c>
      <c r="O20" s="80">
        <f>'SAM(LEWIE Input)'!O20</f>
        <v>0</v>
      </c>
      <c r="P20" s="80">
        <f>'SAM(LEWIE Input)'!P20</f>
        <v>697772.58406943991</v>
      </c>
      <c r="Q20" s="80">
        <f>'SAM(LEWIE Input)'!Q20</f>
        <v>0</v>
      </c>
      <c r="R20" s="80">
        <f>'SAM(LEWIE Input)'!R20</f>
        <v>23374916.45278443</v>
      </c>
      <c r="S20" s="80">
        <f>'SAM(LEWIE Input)'!S20</f>
        <v>0</v>
      </c>
      <c r="T20" s="80">
        <f>'SAM(LEWIE Input)'!T20</f>
        <v>80858828.259850115</v>
      </c>
      <c r="U20" s="1"/>
      <c r="V20" s="1"/>
      <c r="W20" s="1"/>
      <c r="X20" s="1"/>
      <c r="Y20" s="1"/>
      <c r="Z20" s="1"/>
      <c r="AA20" s="1"/>
      <c r="AB20" s="1"/>
      <c r="AC20" s="1"/>
      <c r="AD20" s="1"/>
      <c r="AE20" s="1"/>
      <c r="AF20" s="1"/>
      <c r="AG20" s="1"/>
    </row>
    <row r="21" spans="1:33" x14ac:dyDescent="0.2">
      <c r="A21" s="59" t="str">
        <f>'SAM(LEWIE Input)'!A21</f>
        <v>Total</v>
      </c>
      <c r="B21" s="80">
        <f>'SAM(LEWIE Input)'!B21</f>
        <v>29622436.597785547</v>
      </c>
      <c r="C21" s="80">
        <f>'SAM(LEWIE Input)'!C21</f>
        <v>44174948.006385349</v>
      </c>
      <c r="D21" s="80">
        <f>'SAM(LEWIE Input)'!D21</f>
        <v>104185585.41072658</v>
      </c>
      <c r="E21" s="80">
        <f>'SAM(LEWIE Input)'!E21</f>
        <v>1040118.85523884</v>
      </c>
      <c r="F21" s="80">
        <f>'SAM(LEWIE Input)'!F21</f>
        <v>4741242.3124914663</v>
      </c>
      <c r="G21" s="80">
        <f>'SAM(LEWIE Input)'!G21</f>
        <v>5276330.0223799581</v>
      </c>
      <c r="H21" s="80">
        <f>'SAM(LEWIE Input)'!H21</f>
        <v>3563943.4022971326</v>
      </c>
      <c r="I21" s="80">
        <f>'SAM(LEWIE Input)'!I21</f>
        <v>2542495.6165238516</v>
      </c>
      <c r="J21" s="80">
        <f>'SAM(LEWIE Input)'!J21</f>
        <v>36540430.164639153</v>
      </c>
      <c r="K21" s="80">
        <f>'SAM(LEWIE Input)'!K21</f>
        <v>3244278.4913961599</v>
      </c>
      <c r="L21" s="80">
        <f>'SAM(LEWIE Input)'!L21</f>
        <v>16233120.016757535</v>
      </c>
      <c r="M21" s="80">
        <f>'SAM(LEWIE Input)'!M21</f>
        <v>9538867.0166746788</v>
      </c>
      <c r="N21" s="80">
        <f>'SAM(LEWIE Input)'!N21</f>
        <v>4643423.8073984357</v>
      </c>
      <c r="O21" s="80">
        <f>'SAM(LEWIE Input)'!O21</f>
        <v>114094006.66746965</v>
      </c>
      <c r="P21" s="80">
        <f>'SAM(LEWIE Input)'!P21</f>
        <v>26565124.610706761</v>
      </c>
      <c r="Q21" s="80">
        <f>'SAM(LEWIE Input)'!Q21</f>
        <v>5313024.9221413527</v>
      </c>
      <c r="R21" s="80">
        <f>'SAM(LEWIE Input)'!R21</f>
        <v>23374916.45278443</v>
      </c>
      <c r="S21" s="80">
        <f>'SAM(LEWIE Input)'!S21</f>
        <v>115249534.67705783</v>
      </c>
      <c r="T21" s="59">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9.9218905472636801E-2</v>
      </c>
      <c r="C24" s="81">
        <f t="shared" si="2"/>
        <v>0.20799479166666668</v>
      </c>
      <c r="D24" s="81">
        <f t="shared" si="2"/>
        <v>0.13480533333333353</v>
      </c>
      <c r="E24" s="81">
        <f t="shared" si="2"/>
        <v>0</v>
      </c>
      <c r="F24" s="81">
        <f t="shared" si="2"/>
        <v>0</v>
      </c>
      <c r="G24" s="81">
        <f t="shared" si="2"/>
        <v>0</v>
      </c>
      <c r="H24" s="81">
        <f t="shared" si="2"/>
        <v>0</v>
      </c>
      <c r="I24" s="81">
        <f t="shared" si="2"/>
        <v>0</v>
      </c>
      <c r="J24" s="81">
        <f t="shared" si="2"/>
        <v>0</v>
      </c>
      <c r="K24" s="81">
        <f t="shared" si="2"/>
        <v>0.47625173309039531</v>
      </c>
      <c r="L24" s="81">
        <f t="shared" si="2"/>
        <v>0.38957190815686199</v>
      </c>
      <c r="M24" s="81">
        <f t="shared" si="2"/>
        <v>0.20734593750000002</v>
      </c>
      <c r="N24" s="81">
        <f t="shared" si="2"/>
        <v>6.2743750884070568E-2</v>
      </c>
      <c r="O24" s="81">
        <f t="shared" si="2"/>
        <v>0</v>
      </c>
      <c r="P24" s="81">
        <f t="shared" si="2"/>
        <v>3.9057916862238859E-3</v>
      </c>
      <c r="Q24" s="81">
        <f t="shared" si="2"/>
        <v>0.10869565217391304</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0.38718026736614253</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0.21731343283582091</v>
      </c>
      <c r="C26" s="81">
        <f t="shared" si="4"/>
        <v>0.28796666666666659</v>
      </c>
      <c r="D26" s="81">
        <f t="shared" si="4"/>
        <v>0.28361333333333349</v>
      </c>
      <c r="E26" s="81">
        <f t="shared" si="4"/>
        <v>0</v>
      </c>
      <c r="F26" s="81">
        <f t="shared" si="4"/>
        <v>0</v>
      </c>
      <c r="G26" s="81">
        <f t="shared" si="4"/>
        <v>0</v>
      </c>
      <c r="H26" s="81">
        <f t="shared" si="4"/>
        <v>0</v>
      </c>
      <c r="I26" s="81">
        <f t="shared" si="4"/>
        <v>0</v>
      </c>
      <c r="J26" s="81">
        <f t="shared" si="4"/>
        <v>0</v>
      </c>
      <c r="K26" s="81">
        <f t="shared" si="4"/>
        <v>0.47974284626206787</v>
      </c>
      <c r="L26" s="81">
        <f t="shared" si="4"/>
        <v>0.57275955055731065</v>
      </c>
      <c r="M26" s="81">
        <f t="shared" si="4"/>
        <v>0.21750000000000003</v>
      </c>
      <c r="N26" s="81">
        <f t="shared" si="4"/>
        <v>0.11730353426152323</v>
      </c>
      <c r="O26" s="81">
        <f t="shared" si="4"/>
        <v>0.25607192393846945</v>
      </c>
      <c r="P26" s="81">
        <f t="shared" si="4"/>
        <v>3.6735576570744978E-2</v>
      </c>
      <c r="Q26" s="81">
        <f t="shared" si="4"/>
        <v>0.45652173913043487</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8.0447761194029858E-3</v>
      </c>
      <c r="C27" s="81">
        <f t="shared" si="5"/>
        <v>1.3866319444444447E-2</v>
      </c>
      <c r="D27" s="81">
        <f t="shared" si="5"/>
        <v>1.7088000000000023E-2</v>
      </c>
      <c r="E27" s="81">
        <f t="shared" si="5"/>
        <v>0</v>
      </c>
      <c r="F27" s="81">
        <f t="shared" si="5"/>
        <v>0</v>
      </c>
      <c r="G27" s="81">
        <f t="shared" si="5"/>
        <v>0</v>
      </c>
      <c r="H27" s="81">
        <f t="shared" si="5"/>
        <v>0</v>
      </c>
      <c r="I27" s="81">
        <f t="shared" si="5"/>
        <v>0</v>
      </c>
      <c r="J27" s="81">
        <f t="shared" si="5"/>
        <v>0</v>
      </c>
      <c r="K27" s="81">
        <f t="shared" si="5"/>
        <v>0</v>
      </c>
      <c r="L27" s="81">
        <f t="shared" si="5"/>
        <v>0</v>
      </c>
      <c r="M27" s="81">
        <f t="shared" si="5"/>
        <v>3.3404062499999998E-2</v>
      </c>
      <c r="N27" s="81">
        <f t="shared" si="5"/>
        <v>2.3460706852304645E-2</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0.12676616915422884</v>
      </c>
      <c r="C28" s="81">
        <f t="shared" si="6"/>
        <v>0</v>
      </c>
      <c r="D28" s="81">
        <f t="shared" si="6"/>
        <v>2.2309333333333306E-3</v>
      </c>
      <c r="E28" s="81">
        <f t="shared" si="6"/>
        <v>0</v>
      </c>
      <c r="F28" s="81">
        <f t="shared" si="6"/>
        <v>0</v>
      </c>
      <c r="G28" s="81">
        <f t="shared" si="6"/>
        <v>0</v>
      </c>
      <c r="H28" s="81">
        <f t="shared" si="6"/>
        <v>0</v>
      </c>
      <c r="I28" s="81">
        <f t="shared" si="6"/>
        <v>0</v>
      </c>
      <c r="J28" s="81">
        <f t="shared" si="6"/>
        <v>0</v>
      </c>
      <c r="K28" s="81">
        <f t="shared" si="6"/>
        <v>0</v>
      </c>
      <c r="L28" s="81">
        <f t="shared" si="6"/>
        <v>0</v>
      </c>
      <c r="M28" s="81">
        <f t="shared" si="6"/>
        <v>2.58E-2</v>
      </c>
      <c r="N28" s="81">
        <f t="shared" si="6"/>
        <v>2.0950956816941826E-2</v>
      </c>
      <c r="O28" s="81">
        <f t="shared" si="6"/>
        <v>0</v>
      </c>
      <c r="P28" s="81">
        <f t="shared" si="6"/>
        <v>6.625086881898788E-4</v>
      </c>
      <c r="Q28" s="81">
        <f t="shared" si="6"/>
        <v>7.3913043478260873E-2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L-FUSK</v>
      </c>
      <c r="B29" s="81">
        <f t="shared" ref="B29:S29" si="7">B8/B$21</f>
        <v>8.3582089552238809E-2</v>
      </c>
      <c r="C29" s="81">
        <f t="shared" si="7"/>
        <v>3.6222222222222172E-3</v>
      </c>
      <c r="D29" s="81">
        <f t="shared" si="7"/>
        <v>1.9799533333333307E-2</v>
      </c>
      <c r="E29" s="81">
        <f t="shared" si="7"/>
        <v>0</v>
      </c>
      <c r="F29" s="81">
        <f t="shared" si="7"/>
        <v>0</v>
      </c>
      <c r="G29" s="81">
        <f t="shared" si="7"/>
        <v>0</v>
      </c>
      <c r="H29" s="81">
        <f t="shared" si="7"/>
        <v>0</v>
      </c>
      <c r="I29" s="81">
        <f t="shared" si="7"/>
        <v>0</v>
      </c>
      <c r="J29" s="81">
        <f t="shared" si="7"/>
        <v>0</v>
      </c>
      <c r="K29" s="81">
        <f t="shared" si="7"/>
        <v>0</v>
      </c>
      <c r="L29" s="81">
        <f t="shared" si="7"/>
        <v>0</v>
      </c>
      <c r="M29" s="81">
        <f t="shared" si="7"/>
        <v>2.1000000000000008E-2</v>
      </c>
      <c r="N29" s="81">
        <f t="shared" si="7"/>
        <v>4.1028957099844415E-2</v>
      </c>
      <c r="O29" s="81">
        <f t="shared" si="7"/>
        <v>0</v>
      </c>
      <c r="P29" s="81">
        <f t="shared" si="7"/>
        <v>7.3612076465542095E-5</v>
      </c>
      <c r="Q29" s="81">
        <f t="shared" si="7"/>
        <v>3.4782608695652174E-2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L-MSK</v>
      </c>
      <c r="B30" s="81">
        <f t="shared" ref="B30:S30" si="8">B9/B$21</f>
        <v>1.393034825870647E-2</v>
      </c>
      <c r="C30" s="81">
        <f t="shared" si="8"/>
        <v>1.1319444444444458E-2</v>
      </c>
      <c r="D30" s="81">
        <f t="shared" si="8"/>
        <v>0</v>
      </c>
      <c r="E30" s="81">
        <f t="shared" si="8"/>
        <v>0</v>
      </c>
      <c r="F30" s="81">
        <f t="shared" si="8"/>
        <v>0</v>
      </c>
      <c r="G30" s="81">
        <f t="shared" si="8"/>
        <v>0</v>
      </c>
      <c r="H30" s="81">
        <f t="shared" si="8"/>
        <v>0</v>
      </c>
      <c r="I30" s="81">
        <f t="shared" si="8"/>
        <v>0</v>
      </c>
      <c r="J30" s="81">
        <f t="shared" si="8"/>
        <v>0</v>
      </c>
      <c r="K30" s="81">
        <f t="shared" si="8"/>
        <v>0</v>
      </c>
      <c r="L30" s="81">
        <f t="shared" si="8"/>
        <v>0</v>
      </c>
      <c r="M30" s="81">
        <f t="shared" si="8"/>
        <v>4.3800000000000006E-2</v>
      </c>
      <c r="N30" s="81">
        <f t="shared" si="8"/>
        <v>2.4442782953098798E-2</v>
      </c>
      <c r="O30" s="81">
        <f t="shared" si="8"/>
        <v>0</v>
      </c>
      <c r="P30" s="81">
        <f t="shared" si="8"/>
        <v>1.4584835482714192E-2</v>
      </c>
      <c r="Q30" s="81">
        <f t="shared" si="8"/>
        <v>0.32608695652173919</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6.9651741293532349E-3</v>
      </c>
      <c r="C31" s="81">
        <f t="shared" si="9"/>
        <v>2.626111111111111E-2</v>
      </c>
      <c r="D31" s="81">
        <f t="shared" si="9"/>
        <v>4.1829999999999984E-3</v>
      </c>
      <c r="E31" s="81">
        <f t="shared" si="9"/>
        <v>0</v>
      </c>
      <c r="F31" s="81">
        <f t="shared" si="9"/>
        <v>0</v>
      </c>
      <c r="G31" s="81">
        <f t="shared" si="9"/>
        <v>0</v>
      </c>
      <c r="H31" s="81">
        <f t="shared" si="9"/>
        <v>0</v>
      </c>
      <c r="I31" s="81">
        <f t="shared" si="9"/>
        <v>0</v>
      </c>
      <c r="J31" s="81">
        <f t="shared" si="9"/>
        <v>0</v>
      </c>
      <c r="K31" s="81">
        <f t="shared" si="9"/>
        <v>0</v>
      </c>
      <c r="L31" s="81">
        <f t="shared" si="9"/>
        <v>0</v>
      </c>
      <c r="M31" s="81">
        <f t="shared" si="9"/>
        <v>4.3200000000000009E-2</v>
      </c>
      <c r="N31" s="81">
        <f t="shared" si="9"/>
        <v>5.3250348576393804E-2</v>
      </c>
      <c r="O31" s="81">
        <f t="shared" si="9"/>
        <v>0</v>
      </c>
      <c r="P31" s="81">
        <f t="shared" si="9"/>
        <v>3.0466890527356999E-3</v>
      </c>
      <c r="Q31" s="81">
        <f t="shared" si="9"/>
        <v>0</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0.30000000000000004</v>
      </c>
      <c r="C32" s="81">
        <f t="shared" si="10"/>
        <v>0.32083333333333336</v>
      </c>
      <c r="D32" s="81">
        <f t="shared" si="10"/>
        <v>0.10266666666666664</v>
      </c>
      <c r="E32" s="81">
        <f t="shared" si="10"/>
        <v>0</v>
      </c>
      <c r="F32" s="81">
        <f t="shared" si="10"/>
        <v>0</v>
      </c>
      <c r="G32" s="81">
        <f t="shared" si="10"/>
        <v>0</v>
      </c>
      <c r="H32" s="81">
        <f t="shared" si="10"/>
        <v>0</v>
      </c>
      <c r="I32" s="81">
        <f t="shared" si="10"/>
        <v>0</v>
      </c>
      <c r="J32" s="81">
        <f t="shared" si="10"/>
        <v>0</v>
      </c>
      <c r="K32" s="81">
        <f t="shared" si="10"/>
        <v>0</v>
      </c>
      <c r="L32" s="81">
        <f t="shared" si="10"/>
        <v>2.0193838217005223E-3</v>
      </c>
      <c r="M32" s="81">
        <f t="shared" si="10"/>
        <v>0.25</v>
      </c>
      <c r="N32" s="81">
        <f t="shared" si="10"/>
        <v>7.6686806636086249E-2</v>
      </c>
      <c r="O32" s="81">
        <f t="shared" si="10"/>
        <v>0</v>
      </c>
      <c r="P32" s="81">
        <f t="shared" si="10"/>
        <v>4.1142664151460262E-4</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0.2069326976244531</v>
      </c>
      <c r="G33" s="81">
        <f t="shared" si="11"/>
        <v>0.11540710008503202</v>
      </c>
      <c r="H33" s="81">
        <f t="shared" si="11"/>
        <v>0.34290677190492669</v>
      </c>
      <c r="I33" s="81">
        <f t="shared" si="11"/>
        <v>0.30905990962339219</v>
      </c>
      <c r="J33" s="81">
        <f t="shared" si="11"/>
        <v>4.6201189986377074E-2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5.292474066958744E-4</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0.7930673023755469</v>
      </c>
      <c r="G34" s="81">
        <f t="shared" si="12"/>
        <v>0.88459289991496803</v>
      </c>
      <c r="H34" s="81">
        <f t="shared" si="12"/>
        <v>0.65709322809507331</v>
      </c>
      <c r="I34" s="81">
        <f t="shared" si="12"/>
        <v>0.69094009037660786</v>
      </c>
      <c r="J34" s="81">
        <f t="shared" si="12"/>
        <v>0.95379881001362288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9.4970664767059041E-3</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5.7144879252406461E-3</v>
      </c>
      <c r="M35" s="81">
        <f t="shared" si="13"/>
        <v>0</v>
      </c>
      <c r="N35" s="81">
        <f t="shared" si="13"/>
        <v>0</v>
      </c>
      <c r="O35" s="81">
        <f t="shared" si="13"/>
        <v>8.2792280894130418E-2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4.1120119644091235E-2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0.98997368611659819</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0.23283540815716644</v>
      </c>
      <c r="P38" s="81">
        <f t="shared" si="16"/>
        <v>0</v>
      </c>
      <c r="Q38" s="81">
        <f t="shared" si="16"/>
        <v>0</v>
      </c>
      <c r="R38" s="81">
        <f t="shared" si="16"/>
        <v>0</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0.20000000000000004</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3.4825870646766163E-2</v>
      </c>
      <c r="C40" s="81">
        <f t="shared" si="18"/>
        <v>1.8563888888888852E-2</v>
      </c>
      <c r="D40" s="81">
        <f t="shared" si="18"/>
        <v>2.1953333333333349E-2</v>
      </c>
      <c r="E40" s="81">
        <f t="shared" si="18"/>
        <v>0</v>
      </c>
      <c r="F40" s="81">
        <f t="shared" si="18"/>
        <v>0</v>
      </c>
      <c r="G40" s="81">
        <f t="shared" si="18"/>
        <v>0</v>
      </c>
      <c r="H40" s="81">
        <f t="shared" si="18"/>
        <v>0</v>
      </c>
      <c r="I40" s="81">
        <f t="shared" si="18"/>
        <v>0</v>
      </c>
      <c r="J40" s="81">
        <f t="shared" si="18"/>
        <v>0</v>
      </c>
      <c r="K40" s="81">
        <f t="shared" si="18"/>
        <v>0</v>
      </c>
      <c r="L40" s="81">
        <f t="shared" si="18"/>
        <v>3.1016244591708748E-3</v>
      </c>
      <c r="M40" s="81">
        <f t="shared" si="18"/>
        <v>1.3500000000000002E-2</v>
      </c>
      <c r="N40" s="81">
        <f t="shared" si="18"/>
        <v>1.7459130680784852E-2</v>
      </c>
      <c r="O40" s="81">
        <f t="shared" si="18"/>
        <v>0</v>
      </c>
      <c r="P40" s="81">
        <f t="shared" si="18"/>
        <v>0.71431306964581043</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0.10935323383084578</v>
      </c>
      <c r="C41" s="81">
        <f t="shared" si="19"/>
        <v>0.1095722222222224</v>
      </c>
      <c r="D41" s="81">
        <f t="shared" si="19"/>
        <v>0.41365986666666643</v>
      </c>
      <c r="E41" s="81">
        <f t="shared" si="19"/>
        <v>1</v>
      </c>
      <c r="F41" s="81">
        <f t="shared" si="19"/>
        <v>0</v>
      </c>
      <c r="G41" s="81">
        <f t="shared" si="19"/>
        <v>0</v>
      </c>
      <c r="H41" s="81">
        <f t="shared" si="19"/>
        <v>0</v>
      </c>
      <c r="I41" s="81">
        <f t="shared" si="19"/>
        <v>0</v>
      </c>
      <c r="J41" s="81">
        <f t="shared" si="19"/>
        <v>0</v>
      </c>
      <c r="K41" s="81">
        <f t="shared" si="19"/>
        <v>4.400542064753684E-2</v>
      </c>
      <c r="L41" s="81">
        <f t="shared" si="19"/>
        <v>2.6833045079715415E-2</v>
      </c>
      <c r="M41" s="81">
        <f t="shared" si="19"/>
        <v>0.14445</v>
      </c>
      <c r="N41" s="81">
        <f t="shared" si="19"/>
        <v>0.56267302523895157</v>
      </c>
      <c r="O41" s="81">
        <f t="shared" si="19"/>
        <v>0</v>
      </c>
      <c r="P41" s="81">
        <f t="shared" si="19"/>
        <v>2.6266490155600883E-2</v>
      </c>
      <c r="Q41" s="81">
        <f t="shared" si="19"/>
        <v>0</v>
      </c>
      <c r="R41" s="81">
        <f t="shared" si="19"/>
        <v>1</v>
      </c>
      <c r="S41" s="81">
        <f t="shared" si="19"/>
        <v>0</v>
      </c>
      <c r="T41" s="1"/>
      <c r="U41" s="1"/>
      <c r="V41" s="1"/>
      <c r="W41" s="1"/>
      <c r="X41" s="1"/>
      <c r="Y41" s="1"/>
      <c r="Z41" s="1"/>
      <c r="AA41" s="1"/>
      <c r="AB41" s="1"/>
      <c r="AC41" s="1"/>
      <c r="AD41" s="1"/>
      <c r="AE41" s="1"/>
      <c r="AF41" s="1"/>
      <c r="AG41" s="1"/>
    </row>
    <row r="42" spans="1:33" x14ac:dyDescent="0.2">
      <c r="A42" s="59" t="s">
        <v>348</v>
      </c>
      <c r="B42" s="81">
        <f t="shared" ref="B42:S42" si="20">SUM(B24:B41)</f>
        <v>1</v>
      </c>
      <c r="C42" s="81">
        <f t="shared" si="20"/>
        <v>1</v>
      </c>
      <c r="D42" s="81">
        <f t="shared" si="20"/>
        <v>1.0000000000000002</v>
      </c>
      <c r="E42" s="81">
        <f t="shared" si="20"/>
        <v>1</v>
      </c>
      <c r="F42" s="81">
        <f t="shared" si="20"/>
        <v>1</v>
      </c>
      <c r="G42" s="81">
        <f t="shared" si="20"/>
        <v>1</v>
      </c>
      <c r="H42" s="81">
        <f t="shared" si="20"/>
        <v>1</v>
      </c>
      <c r="I42" s="81">
        <f t="shared" si="20"/>
        <v>1</v>
      </c>
      <c r="J42" s="81">
        <f t="shared" si="20"/>
        <v>1</v>
      </c>
      <c r="K42" s="81">
        <f t="shared" si="20"/>
        <v>1</v>
      </c>
      <c r="L42" s="81">
        <f t="shared" si="20"/>
        <v>1.0000000000000002</v>
      </c>
      <c r="M42" s="81">
        <f t="shared" si="20"/>
        <v>1</v>
      </c>
      <c r="N42" s="81">
        <f t="shared" si="20"/>
        <v>1</v>
      </c>
      <c r="O42" s="81">
        <f t="shared" si="20"/>
        <v>1</v>
      </c>
      <c r="P42" s="81">
        <f t="shared" si="20"/>
        <v>1.0000000000000002</v>
      </c>
      <c r="Q42" s="81">
        <f t="shared" si="20"/>
        <v>1.0000000000000002</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L-FUSK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L-MSK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0.90078109452736321</v>
      </c>
      <c r="C63" s="81">
        <f t="shared" si="25"/>
        <v>-0.20799479166666668</v>
      </c>
      <c r="D63" s="81">
        <f t="shared" si="25"/>
        <v>-0.13480533333333353</v>
      </c>
      <c r="E63" s="81">
        <f t="shared" si="25"/>
        <v>0</v>
      </c>
      <c r="F63" s="81">
        <f t="shared" si="25"/>
        <v>0</v>
      </c>
      <c r="G63" s="81">
        <f t="shared" si="25"/>
        <v>0</v>
      </c>
      <c r="H63" s="81">
        <f t="shared" si="25"/>
        <v>0</v>
      </c>
      <c r="I63" s="81">
        <f t="shared" si="25"/>
        <v>0</v>
      </c>
      <c r="J63" s="81">
        <f t="shared" si="25"/>
        <v>0</v>
      </c>
      <c r="K63" s="81">
        <f t="shared" si="25"/>
        <v>-0.47625173309039531</v>
      </c>
      <c r="L63" s="81">
        <f t="shared" si="25"/>
        <v>-0.38957190815686199</v>
      </c>
      <c r="M63" s="81">
        <f t="shared" si="25"/>
        <v>-0.20734593750000002</v>
      </c>
      <c r="N63" s="81">
        <f t="shared" si="25"/>
        <v>-6.2743750884070568E-2</v>
      </c>
      <c r="O63" s="81">
        <f t="shared" si="25"/>
        <v>0</v>
      </c>
      <c r="P63" s="81">
        <f t="shared" si="25"/>
        <v>-3.9057916862238859E-3</v>
      </c>
      <c r="Q63" s="81">
        <f t="shared" si="25"/>
        <v>-0.10869565217391304</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-0.38718026736614253</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-0.21731343283582091</v>
      </c>
      <c r="C65" s="81">
        <f t="shared" si="27"/>
        <v>-0.28796666666666659</v>
      </c>
      <c r="D65" s="81">
        <f t="shared" si="27"/>
        <v>0.71638666666666651</v>
      </c>
      <c r="E65" s="81">
        <f t="shared" si="27"/>
        <v>0</v>
      </c>
      <c r="F65" s="81">
        <f t="shared" si="27"/>
        <v>0</v>
      </c>
      <c r="G65" s="81">
        <f t="shared" si="27"/>
        <v>0</v>
      </c>
      <c r="H65" s="81">
        <f t="shared" si="27"/>
        <v>0</v>
      </c>
      <c r="I65" s="81">
        <f t="shared" si="27"/>
        <v>0</v>
      </c>
      <c r="J65" s="81">
        <f t="shared" si="27"/>
        <v>0</v>
      </c>
      <c r="K65" s="81">
        <f t="shared" si="27"/>
        <v>-0.47974284626206787</v>
      </c>
      <c r="L65" s="81">
        <f t="shared" si="27"/>
        <v>-0.57275955055731065</v>
      </c>
      <c r="M65" s="81">
        <f t="shared" si="27"/>
        <v>-0.21750000000000003</v>
      </c>
      <c r="N65" s="81">
        <f t="shared" si="27"/>
        <v>-0.11730353426152323</v>
      </c>
      <c r="O65" s="81">
        <f t="shared" si="27"/>
        <v>-0.25607192393846945</v>
      </c>
      <c r="P65" s="81">
        <f t="shared" si="27"/>
        <v>-3.6735576570744978E-2</v>
      </c>
      <c r="Q65" s="81">
        <f t="shared" si="27"/>
        <v>-0.45652173913043487</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-8.0447761194029858E-3</v>
      </c>
      <c r="C66" s="81">
        <f t="shared" si="28"/>
        <v>-1.3866319444444447E-2</v>
      </c>
      <c r="D66" s="81">
        <f t="shared" si="28"/>
        <v>-1.7088000000000023E-2</v>
      </c>
      <c r="E66" s="81">
        <f t="shared" si="28"/>
        <v>1</v>
      </c>
      <c r="F66" s="81">
        <f t="shared" si="28"/>
        <v>0</v>
      </c>
      <c r="G66" s="81">
        <f t="shared" si="28"/>
        <v>0</v>
      </c>
      <c r="H66" s="81">
        <f t="shared" si="28"/>
        <v>0</v>
      </c>
      <c r="I66" s="81">
        <f t="shared" si="28"/>
        <v>0</v>
      </c>
      <c r="J66" s="81">
        <f t="shared" si="28"/>
        <v>0</v>
      </c>
      <c r="K66" s="81">
        <f t="shared" si="28"/>
        <v>0</v>
      </c>
      <c r="L66" s="81">
        <f t="shared" si="28"/>
        <v>0</v>
      </c>
      <c r="M66" s="81">
        <f t="shared" si="28"/>
        <v>-3.3404062499999998E-2</v>
      </c>
      <c r="N66" s="81">
        <f t="shared" si="28"/>
        <v>-2.3460706852304645E-2</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-0.12676616915422884</v>
      </c>
      <c r="C67" s="81">
        <f t="shared" si="29"/>
        <v>0</v>
      </c>
      <c r="D67" s="81">
        <f t="shared" si="29"/>
        <v>-2.2309333333333306E-3</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-2.58E-2</v>
      </c>
      <c r="N67" s="81">
        <f t="shared" si="29"/>
        <v>-2.0950956816941826E-2</v>
      </c>
      <c r="O67" s="81">
        <f t="shared" si="29"/>
        <v>0</v>
      </c>
      <c r="P67" s="81">
        <f t="shared" si="29"/>
        <v>-6.625086881898788E-4</v>
      </c>
      <c r="Q67" s="81">
        <f t="shared" si="29"/>
        <v>-7.3913043478260873E-2</v>
      </c>
      <c r="R67" s="1"/>
      <c r="S67" s="1"/>
      <c r="T67" s="1"/>
      <c r="U67" s="1"/>
      <c r="V67" s="1"/>
      <c r="W67" s="1"/>
      <c r="X67" s="1"/>
      <c r="Y67" s="1"/>
      <c r="Z67" s="1"/>
      <c r="AA67" s="1"/>
      <c r="AB67" s="1"/>
      <c r="AC67" s="1"/>
      <c r="AD67" s="1"/>
      <c r="AE67" s="1"/>
      <c r="AF67" s="1"/>
      <c r="AG67" s="1"/>
    </row>
    <row r="68" spans="1:33" x14ac:dyDescent="0.2">
      <c r="A68" s="59" t="str">
        <f t="shared" si="24"/>
        <v>L-FUSK</v>
      </c>
      <c r="B68" s="81">
        <f t="shared" ref="B68:Q68" si="30">B50-B29</f>
        <v>-8.3582089552238809E-2</v>
      </c>
      <c r="C68" s="81">
        <f t="shared" si="30"/>
        <v>-3.6222222222222172E-3</v>
      </c>
      <c r="D68" s="81">
        <f t="shared" si="30"/>
        <v>-1.9799533333333307E-2</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-2.1000000000000008E-2</v>
      </c>
      <c r="N68" s="81">
        <f t="shared" si="30"/>
        <v>-4.1028957099844415E-2</v>
      </c>
      <c r="O68" s="81">
        <f t="shared" si="30"/>
        <v>0</v>
      </c>
      <c r="P68" s="81">
        <f t="shared" si="30"/>
        <v>-7.3612076465542095E-5</v>
      </c>
      <c r="Q68" s="81">
        <f t="shared" si="30"/>
        <v>-3.4782608695652174E-2</v>
      </c>
      <c r="R68" s="1"/>
      <c r="S68" s="1"/>
      <c r="T68" s="1"/>
      <c r="U68" s="1"/>
      <c r="V68" s="1"/>
      <c r="W68" s="1"/>
      <c r="X68" s="1"/>
      <c r="Y68" s="1"/>
      <c r="Z68" s="1"/>
      <c r="AA68" s="1"/>
      <c r="AB68" s="1"/>
      <c r="AC68" s="1"/>
      <c r="AD68" s="1"/>
      <c r="AE68" s="1"/>
      <c r="AF68" s="1"/>
      <c r="AG68" s="1"/>
    </row>
    <row r="69" spans="1:33" x14ac:dyDescent="0.2">
      <c r="A69" s="59" t="str">
        <f t="shared" si="24"/>
        <v>L-MSK</v>
      </c>
      <c r="B69" s="81">
        <f t="shared" ref="B69:Q69" si="31">B51-B30</f>
        <v>-1.393034825870647E-2</v>
      </c>
      <c r="C69" s="81">
        <f t="shared" si="31"/>
        <v>-1.1319444444444458E-2</v>
      </c>
      <c r="D69" s="81">
        <f t="shared" si="31"/>
        <v>0</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-4.3800000000000006E-2</v>
      </c>
      <c r="N69" s="81">
        <f t="shared" si="31"/>
        <v>-2.4442782953098798E-2</v>
      </c>
      <c r="O69" s="81">
        <f t="shared" si="31"/>
        <v>0</v>
      </c>
      <c r="P69" s="81">
        <f t="shared" si="31"/>
        <v>-1.4584835482714192E-2</v>
      </c>
      <c r="Q69" s="81">
        <f t="shared" si="31"/>
        <v>-0.32608695652173919</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-6.9651741293532349E-3</v>
      </c>
      <c r="C70" s="81">
        <f t="shared" si="32"/>
        <v>-2.626111111111111E-2</v>
      </c>
      <c r="D70" s="81">
        <f t="shared" si="32"/>
        <v>-4.1829999999999984E-3</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-4.3200000000000009E-2</v>
      </c>
      <c r="N70" s="81">
        <f t="shared" si="32"/>
        <v>-5.3250348576393804E-2</v>
      </c>
      <c r="O70" s="81">
        <f t="shared" si="32"/>
        <v>0</v>
      </c>
      <c r="P70" s="81">
        <f t="shared" si="32"/>
        <v>-3.0466890527356999E-3</v>
      </c>
      <c r="Q70" s="81">
        <f t="shared" si="32"/>
        <v>0</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-0.30000000000000004</v>
      </c>
      <c r="C71" s="81">
        <f t="shared" si="33"/>
        <v>-0.32083333333333336</v>
      </c>
      <c r="D71" s="81">
        <f t="shared" si="33"/>
        <v>-0.10266666666666664</v>
      </c>
      <c r="E71" s="81">
        <f t="shared" si="33"/>
        <v>0</v>
      </c>
      <c r="F71" s="81">
        <f t="shared" si="33"/>
        <v>0</v>
      </c>
      <c r="G71" s="81">
        <f t="shared" si="33"/>
        <v>0</v>
      </c>
      <c r="H71" s="81">
        <f t="shared" si="33"/>
        <v>0</v>
      </c>
      <c r="I71" s="81">
        <f t="shared" si="33"/>
        <v>0</v>
      </c>
      <c r="J71" s="81">
        <f t="shared" si="33"/>
        <v>1</v>
      </c>
      <c r="K71" s="81">
        <f t="shared" si="33"/>
        <v>0</v>
      </c>
      <c r="L71" s="81">
        <f t="shared" si="33"/>
        <v>-2.0193838217005223E-3</v>
      </c>
      <c r="M71" s="81">
        <f t="shared" si="33"/>
        <v>-0.25</v>
      </c>
      <c r="N71" s="81">
        <f t="shared" si="33"/>
        <v>-7.6686806636086249E-2</v>
      </c>
      <c r="O71" s="81">
        <f t="shared" si="33"/>
        <v>0</v>
      </c>
      <c r="P71" s="81">
        <f t="shared" si="33"/>
        <v>-4.1142664151460262E-4</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-0.2069326976244531</v>
      </c>
      <c r="G72" s="81">
        <f t="shared" si="34"/>
        <v>-0.11540710008503202</v>
      </c>
      <c r="H72" s="81">
        <f t="shared" si="34"/>
        <v>-0.34290677190492669</v>
      </c>
      <c r="I72" s="81">
        <f t="shared" si="34"/>
        <v>-0.30905990962339219</v>
      </c>
      <c r="J72" s="81">
        <f t="shared" si="34"/>
        <v>-4.6201189986377074E-2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-0.7930673023755469</v>
      </c>
      <c r="G73" s="81">
        <f t="shared" si="35"/>
        <v>-0.88459289991496803</v>
      </c>
      <c r="H73" s="81">
        <f t="shared" si="35"/>
        <v>-0.65709322809507331</v>
      </c>
      <c r="I73" s="81">
        <f t="shared" si="35"/>
        <v>-0.69094009037660786</v>
      </c>
      <c r="J73" s="81">
        <f t="shared" si="35"/>
        <v>-0.95379881001362288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-5.7144879252406461E-3</v>
      </c>
      <c r="M74" s="81">
        <f t="shared" si="36"/>
        <v>1</v>
      </c>
      <c r="N74" s="81">
        <f t="shared" si="36"/>
        <v>0</v>
      </c>
      <c r="O74" s="81">
        <f t="shared" si="36"/>
        <v>-8.2792280894130418E-2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-4.1120119644091235E-2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-0.23283540815716644</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-0.20000000000000004</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1.8601587659343917</v>
      </c>
      <c r="C81" s="81">
        <v>0.92144814289191801</v>
      </c>
      <c r="D81" s="81">
        <v>0.53847344990263746</v>
      </c>
      <c r="E81" s="81">
        <v>0</v>
      </c>
      <c r="F81" s="81">
        <v>1.0618668683625396</v>
      </c>
      <c r="G81" s="81">
        <v>1.0523612756359633</v>
      </c>
      <c r="H81" s="81">
        <v>1.0759887556403225</v>
      </c>
      <c r="I81" s="81">
        <v>1.0724735151330733</v>
      </c>
      <c r="J81" s="81">
        <v>1.0451737432586241</v>
      </c>
      <c r="K81" s="81">
        <v>1.1442326215923913</v>
      </c>
      <c r="L81" s="81">
        <v>1.0403754168089712</v>
      </c>
      <c r="M81" s="81">
        <v>0.90706268973289295</v>
      </c>
      <c r="N81" s="81">
        <v>0.40886337441445891</v>
      </c>
      <c r="O81" s="81">
        <v>0.64011980849324301</v>
      </c>
      <c r="P81" s="81">
        <v>0.23001242985710504</v>
      </c>
      <c r="Q81" s="1">
        <v>0.91397158708005155</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0.38718026736614253</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1.4987825571632964</v>
      </c>
      <c r="C83" s="81">
        <v>1.5107860736332595</v>
      </c>
      <c r="D83" s="81">
        <v>1.9891950397698435</v>
      </c>
      <c r="E83" s="81">
        <v>0</v>
      </c>
      <c r="F83" s="81">
        <v>1.7209545014711822</v>
      </c>
      <c r="G83" s="81">
        <v>1.7270543000007617</v>
      </c>
      <c r="H83" s="81">
        <v>1.7118923977465956</v>
      </c>
      <c r="I83" s="81">
        <v>1.7141481496490829</v>
      </c>
      <c r="J83" s="81">
        <v>1.7316665846512516</v>
      </c>
      <c r="K83" s="81">
        <v>1.6680998805242462</v>
      </c>
      <c r="L83" s="81">
        <v>1.7347457008583032</v>
      </c>
      <c r="M83" s="81">
        <v>1.4060338952605389</v>
      </c>
      <c r="N83" s="81">
        <v>0.700212109457512</v>
      </c>
      <c r="O83" s="81">
        <v>1.3499827146915164</v>
      </c>
      <c r="P83" s="81">
        <v>0.4744020671102096</v>
      </c>
      <c r="Q83" s="1">
        <v>1.8165201472214214</v>
      </c>
      <c r="R83" s="1"/>
      <c r="S83" s="1"/>
      <c r="T83" s="1"/>
      <c r="U83" s="1"/>
      <c r="V83" s="1"/>
      <c r="W83" s="1"/>
      <c r="X83" s="1"/>
      <c r="Y83" s="1"/>
      <c r="Z83" s="1"/>
      <c r="AA83" s="1"/>
      <c r="AB83" s="1"/>
      <c r="AC83" s="1"/>
      <c r="AD83" s="1"/>
      <c r="AE83" s="1"/>
      <c r="AF83" s="1"/>
      <c r="AG83" s="1"/>
    </row>
    <row r="84" spans="1:33" x14ac:dyDescent="0.2">
      <c r="A84" s="59" t="str">
        <f t="shared" si="42"/>
        <v>NatRes</v>
      </c>
      <c r="B84" s="81">
        <v>4.0779412805746873E-2</v>
      </c>
      <c r="C84" s="81">
        <v>4.7278196501391735E-2</v>
      </c>
      <c r="D84" s="81">
        <v>3.8418010576470714E-2</v>
      </c>
      <c r="E84" s="81">
        <v>1</v>
      </c>
      <c r="F84" s="81">
        <v>3.8238294424995101E-2</v>
      </c>
      <c r="G84" s="81">
        <v>3.8282871878476128E-2</v>
      </c>
      <c r="H84" s="81">
        <v>3.8172068384042419E-2</v>
      </c>
      <c r="I84" s="81">
        <v>3.8188553465477532E-2</v>
      </c>
      <c r="J84" s="81">
        <v>3.8316578549844285E-2</v>
      </c>
      <c r="K84" s="81">
        <v>3.785203176482789E-2</v>
      </c>
      <c r="L84" s="81">
        <v>3.8339080794601535E-2</v>
      </c>
      <c r="M84" s="81">
        <v>6.4906740427293108E-2</v>
      </c>
      <c r="N84" s="81">
        <v>3.8802725169971353E-2</v>
      </c>
      <c r="O84" s="81">
        <v>3.7441333511816076E-2</v>
      </c>
      <c r="P84" s="81">
        <v>1.000288186045949E-2</v>
      </c>
      <c r="Q84" s="1">
        <v>3.8576502346647848E-2</v>
      </c>
      <c r="R84" s="1"/>
      <c r="S84" s="1"/>
      <c r="T84" s="1"/>
      <c r="U84" s="1"/>
      <c r="V84" s="1"/>
      <c r="W84" s="1"/>
      <c r="X84" s="1"/>
      <c r="Y84" s="1"/>
      <c r="Z84" s="1"/>
      <c r="AA84" s="1"/>
      <c r="AB84" s="1"/>
      <c r="AC84" s="1"/>
      <c r="AD84" s="1"/>
      <c r="AE84" s="1"/>
      <c r="AF84" s="1"/>
      <c r="AG84" s="1"/>
    </row>
    <row r="85" spans="1:33" x14ac:dyDescent="0.2">
      <c r="A85" s="59" t="str">
        <f t="shared" si="42"/>
        <v>L-MUSK</v>
      </c>
      <c r="B85" s="81">
        <v>0.23930618045396762</v>
      </c>
      <c r="C85" s="81">
        <v>0.12032004046390946</v>
      </c>
      <c r="D85" s="81">
        <v>7.2771157155927149E-2</v>
      </c>
      <c r="E85" s="81">
        <v>0</v>
      </c>
      <c r="F85" s="81">
        <v>1.1386706800266251</v>
      </c>
      <c r="G85" s="81">
        <v>0.13749228753181766</v>
      </c>
      <c r="H85" s="81">
        <v>0.14042134686659272</v>
      </c>
      <c r="I85" s="81">
        <v>0.13998556835699971</v>
      </c>
      <c r="J85" s="81">
        <v>0.13660126111681453</v>
      </c>
      <c r="K85" s="81">
        <v>0.14888142524021369</v>
      </c>
      <c r="L85" s="81">
        <v>0.13600642058045345</v>
      </c>
      <c r="M85" s="81">
        <v>0.14406007942502413</v>
      </c>
      <c r="N85" s="81">
        <v>7.4410770022398653E-2</v>
      </c>
      <c r="O85" s="81">
        <v>9.0846853223841173E-2</v>
      </c>
      <c r="P85" s="81">
        <v>4.5696723380978715E-2</v>
      </c>
      <c r="Q85" s="1">
        <v>0.19396768212357901</v>
      </c>
      <c r="R85" s="1"/>
      <c r="S85" s="1"/>
      <c r="T85" s="1"/>
      <c r="U85" s="1"/>
      <c r="V85" s="1"/>
      <c r="W85" s="1"/>
      <c r="X85" s="1"/>
      <c r="Y85" s="1"/>
      <c r="Z85" s="1"/>
      <c r="AA85" s="1"/>
      <c r="AB85" s="1"/>
      <c r="AC85" s="1"/>
      <c r="AD85" s="1"/>
      <c r="AE85" s="1"/>
      <c r="AF85" s="1"/>
      <c r="AG85" s="1"/>
    </row>
    <row r="86" spans="1:33" x14ac:dyDescent="0.2">
      <c r="A86" s="59" t="str">
        <f t="shared" si="42"/>
        <v>L-FUSK</v>
      </c>
      <c r="B86" s="81">
        <v>0.18527918314885675</v>
      </c>
      <c r="C86" s="81">
        <v>0.11066651289105289</v>
      </c>
      <c r="D86" s="81">
        <v>8.4451434072630255E-2</v>
      </c>
      <c r="E86" s="81">
        <v>0</v>
      </c>
      <c r="F86" s="81">
        <v>0.12300829322085041</v>
      </c>
      <c r="G86" s="81">
        <v>1.1223451397637718</v>
      </c>
      <c r="H86" s="81">
        <v>0.12399350041814086</v>
      </c>
      <c r="I86" s="81">
        <v>0.12374826122455251</v>
      </c>
      <c r="J86" s="81">
        <v>0.12184370475798111</v>
      </c>
      <c r="K86" s="81">
        <v>0.1287545034331328</v>
      </c>
      <c r="L86" s="81">
        <v>0.12150895164317724</v>
      </c>
      <c r="M86" s="81">
        <v>0.12476570113287866</v>
      </c>
      <c r="N86" s="81">
        <v>8.9121543522497265E-2</v>
      </c>
      <c r="O86" s="81">
        <v>8.6774690495418097E-2</v>
      </c>
      <c r="P86" s="81">
        <v>3.5676849163661276E-2</v>
      </c>
      <c r="Q86" s="1">
        <v>0.14725562952422955</v>
      </c>
      <c r="R86" s="1"/>
      <c r="S86" s="1"/>
      <c r="T86" s="1"/>
      <c r="U86" s="1"/>
      <c r="V86" s="1"/>
      <c r="W86" s="1"/>
      <c r="X86" s="1"/>
      <c r="Y86" s="1"/>
      <c r="Z86" s="1"/>
      <c r="AA86" s="1"/>
      <c r="AB86" s="1"/>
      <c r="AC86" s="1"/>
      <c r="AD86" s="1"/>
      <c r="AE86" s="1"/>
      <c r="AF86" s="1"/>
      <c r="AG86" s="1"/>
    </row>
    <row r="87" spans="1:33" x14ac:dyDescent="0.2">
      <c r="A87" s="59" t="str">
        <f t="shared" si="42"/>
        <v>L-MSK</v>
      </c>
      <c r="B87" s="81">
        <v>2.6179696331712972E-2</v>
      </c>
      <c r="C87" s="81">
        <v>2.4395124493391342E-2</v>
      </c>
      <c r="D87" s="81">
        <v>7.6253571406587626E-3</v>
      </c>
      <c r="E87" s="81">
        <v>0</v>
      </c>
      <c r="F87" s="81">
        <v>1.5169993079088423E-2</v>
      </c>
      <c r="G87" s="81">
        <v>1.5059624282640807E-2</v>
      </c>
      <c r="H87" s="81">
        <v>1.0153339613604204</v>
      </c>
      <c r="I87" s="81">
        <v>1.5293146139826639E-2</v>
      </c>
      <c r="J87" s="81">
        <v>1.4976170328665137E-2</v>
      </c>
      <c r="K87" s="81">
        <v>1.6126336288182986E-2</v>
      </c>
      <c r="L87" s="81">
        <v>1.492045728367739E-2</v>
      </c>
      <c r="M87" s="81">
        <v>5.6670740791826775E-2</v>
      </c>
      <c r="N87" s="81">
        <v>3.0253227919370455E-2</v>
      </c>
      <c r="O87" s="81">
        <v>3.6674704744767181E-2</v>
      </c>
      <c r="P87" s="81">
        <v>8.3066566028582853E-2</v>
      </c>
      <c r="Q87" s="1">
        <v>0.33905899515956156</v>
      </c>
      <c r="R87" s="1"/>
      <c r="S87" s="1"/>
      <c r="T87" s="1"/>
      <c r="U87" s="1"/>
      <c r="V87" s="1"/>
      <c r="W87" s="1"/>
      <c r="X87" s="1"/>
      <c r="Y87" s="1"/>
      <c r="Z87" s="1"/>
      <c r="AA87" s="1"/>
      <c r="AB87" s="1"/>
      <c r="AC87" s="1"/>
      <c r="AD87" s="1"/>
      <c r="AE87" s="1"/>
      <c r="AF87" s="1"/>
      <c r="AG87" s="1"/>
    </row>
    <row r="88" spans="1:33" x14ac:dyDescent="0.2">
      <c r="A88" s="59" t="str">
        <f t="shared" si="42"/>
        <v>L-FSK</v>
      </c>
      <c r="B88" s="81">
        <v>1.9489116015546225E-2</v>
      </c>
      <c r="C88" s="81">
        <v>3.923508053258435E-2</v>
      </c>
      <c r="D88" s="81">
        <v>1.2193896807555128E-2</v>
      </c>
      <c r="E88" s="81">
        <v>0</v>
      </c>
      <c r="F88" s="81">
        <v>1.49674825321266E-2</v>
      </c>
      <c r="G88" s="81">
        <v>1.4948535282010726E-2</v>
      </c>
      <c r="H88" s="81">
        <v>1.4995631321797787E-2</v>
      </c>
      <c r="I88" s="81">
        <v>1.0149886244845574</v>
      </c>
      <c r="J88" s="81">
        <v>1.4934208561143691E-2</v>
      </c>
      <c r="K88" s="81">
        <v>1.5131660040286108E-2</v>
      </c>
      <c r="L88" s="81">
        <v>1.4924644182151836E-2</v>
      </c>
      <c r="M88" s="81">
        <v>5.5631111247097589E-2</v>
      </c>
      <c r="N88" s="81">
        <v>5.9140403105868711E-2</v>
      </c>
      <c r="O88" s="81">
        <v>2.6909513482113148E-2</v>
      </c>
      <c r="P88" s="81">
        <v>6.6925510494947023E-3</v>
      </c>
      <c r="Q88" s="1">
        <v>1.4201282172256595E-2</v>
      </c>
      <c r="R88" s="1"/>
      <c r="S88" s="1"/>
      <c r="T88" s="1"/>
      <c r="U88" s="1"/>
      <c r="V88" s="1"/>
      <c r="W88" s="1"/>
      <c r="X88" s="1"/>
      <c r="Y88" s="1"/>
      <c r="Z88" s="1"/>
      <c r="AA88" s="1"/>
      <c r="AB88" s="1"/>
      <c r="AC88" s="1"/>
      <c r="AD88" s="1"/>
      <c r="AE88" s="1"/>
      <c r="AF88" s="1"/>
      <c r="AG88" s="1"/>
    </row>
    <row r="89" spans="1:33" x14ac:dyDescent="0.2">
      <c r="A89" s="59" t="str">
        <f t="shared" si="42"/>
        <v>K</v>
      </c>
      <c r="B89" s="81">
        <v>0.71560128369509324</v>
      </c>
      <c r="C89" s="81">
        <v>0.75567564029815582</v>
      </c>
      <c r="D89" s="81">
        <v>0.36747748699807792</v>
      </c>
      <c r="E89" s="81">
        <v>0</v>
      </c>
      <c r="F89" s="81">
        <v>0.50044946184196659</v>
      </c>
      <c r="G89" s="81">
        <v>0.49852775067422694</v>
      </c>
      <c r="H89" s="81">
        <v>0.50330443251785095</v>
      </c>
      <c r="I89" s="81">
        <v>0.50259376910796338</v>
      </c>
      <c r="J89" s="81">
        <v>1.497074673350663</v>
      </c>
      <c r="K89" s="81">
        <v>0.51710104711118965</v>
      </c>
      <c r="L89" s="81">
        <v>0.49610461311454768</v>
      </c>
      <c r="M89" s="81">
        <v>0.66970950465313761</v>
      </c>
      <c r="N89" s="81">
        <v>0.27281621581822446</v>
      </c>
      <c r="O89" s="81">
        <v>0.48104404207193902</v>
      </c>
      <c r="P89" s="81">
        <v>0.11894954412967304</v>
      </c>
      <c r="Q89" s="1">
        <v>0.46399505879444181</v>
      </c>
      <c r="R89" s="1"/>
      <c r="S89" s="1"/>
      <c r="T89" s="1"/>
      <c r="U89" s="1"/>
      <c r="V89" s="1"/>
      <c r="W89" s="1"/>
      <c r="X89" s="1"/>
      <c r="Y89" s="1"/>
      <c r="Z89" s="1"/>
      <c r="AA89" s="1"/>
      <c r="AB89" s="1"/>
      <c r="AC89" s="1"/>
      <c r="AD89" s="1"/>
      <c r="AE89" s="1"/>
      <c r="AF89" s="1"/>
      <c r="AG89" s="1"/>
    </row>
    <row r="90" spans="1:33" x14ac:dyDescent="0.2">
      <c r="A90" s="59" t="str">
        <f t="shared" si="42"/>
        <v>Poor</v>
      </c>
      <c r="B90" s="81">
        <v>0.11896493716833256</v>
      </c>
      <c r="C90" s="81">
        <v>9.3074209539966257E-2</v>
      </c>
      <c r="D90" s="81">
        <v>4.8166355403413595E-2</v>
      </c>
      <c r="E90" s="81">
        <v>0</v>
      </c>
      <c r="F90" s="81">
        <v>0.28277332875118749</v>
      </c>
      <c r="G90" s="81">
        <v>0.19079486327068576</v>
      </c>
      <c r="H90" s="81">
        <v>0.41942020168815963</v>
      </c>
      <c r="I90" s="81">
        <v>0.38540586539666988</v>
      </c>
      <c r="J90" s="81">
        <v>0.12124652286991242</v>
      </c>
      <c r="K90" s="81">
        <v>1.0797647219387123</v>
      </c>
      <c r="L90" s="81">
        <v>7.4816729756682243E-2</v>
      </c>
      <c r="M90" s="81">
        <v>0.11177709167405966</v>
      </c>
      <c r="N90" s="81">
        <v>6.6939678448989445E-2</v>
      </c>
      <c r="O90" s="81">
        <v>7.1931063398120762E-2</v>
      </c>
      <c r="P90" s="81">
        <v>4.962160566369711E-2</v>
      </c>
      <c r="Q90" s="1">
        <v>0.19922439725267127</v>
      </c>
      <c r="R90" s="1"/>
      <c r="S90" s="1"/>
      <c r="T90" s="1"/>
      <c r="U90" s="1"/>
      <c r="V90" s="1"/>
      <c r="W90" s="1"/>
      <c r="X90" s="1"/>
      <c r="Y90" s="1"/>
      <c r="Z90" s="1"/>
      <c r="AA90" s="1"/>
      <c r="AB90" s="1"/>
      <c r="AC90" s="1"/>
      <c r="AD90" s="1"/>
      <c r="AE90" s="1"/>
      <c r="AF90" s="1"/>
      <c r="AG90" s="1"/>
    </row>
    <row r="91" spans="1:33" x14ac:dyDescent="0.2">
      <c r="A91" s="59" t="str">
        <f t="shared" si="42"/>
        <v>Nonpoor</v>
      </c>
      <c r="B91" s="81">
        <v>1.0668905224768441</v>
      </c>
      <c r="C91" s="81">
        <v>0.95721818913912748</v>
      </c>
      <c r="D91" s="81">
        <v>0.49635297677143564</v>
      </c>
      <c r="E91" s="81">
        <v>0</v>
      </c>
      <c r="F91" s="81">
        <v>1.5094925819494696</v>
      </c>
      <c r="G91" s="81">
        <v>1.5975784742637824</v>
      </c>
      <c r="H91" s="81">
        <v>1.3786286707966431</v>
      </c>
      <c r="I91" s="81">
        <v>1.4112035039172299</v>
      </c>
      <c r="J91" s="81">
        <v>1.6641834952453551</v>
      </c>
      <c r="K91" s="81">
        <v>0.7462302501742929</v>
      </c>
      <c r="L91" s="81">
        <v>1.7086483570473254</v>
      </c>
      <c r="M91" s="81">
        <v>0.93906004557590528</v>
      </c>
      <c r="N91" s="81">
        <v>0.45880248193937018</v>
      </c>
      <c r="O91" s="81">
        <v>0.65031874061995798</v>
      </c>
      <c r="P91" s="81">
        <v>0.24046062808869348</v>
      </c>
      <c r="Q91" s="1">
        <v>0.95925425052139734</v>
      </c>
      <c r="R91" s="1"/>
      <c r="S91" s="1"/>
      <c r="T91" s="1"/>
      <c r="U91" s="1"/>
      <c r="V91" s="1"/>
      <c r="W91" s="1"/>
      <c r="X91" s="1"/>
      <c r="Y91" s="1"/>
      <c r="Z91" s="1"/>
      <c r="AA91" s="1"/>
      <c r="AB91" s="1"/>
      <c r="AC91" s="1"/>
      <c r="AD91" s="1"/>
      <c r="AE91" s="1"/>
      <c r="AF91" s="1"/>
      <c r="AG91" s="1"/>
    </row>
    <row r="92" spans="1:33" x14ac:dyDescent="0.2">
      <c r="A92" s="59" t="str">
        <f t="shared" si="42"/>
        <v>Restaurants</v>
      </c>
      <c r="B92" s="1">
        <v>6.0967330082476092E-3</v>
      </c>
      <c r="C92" s="1">
        <v>5.4700117836562617E-3</v>
      </c>
      <c r="D92" s="1">
        <v>2.8364030924176195E-3</v>
      </c>
      <c r="E92" s="1">
        <v>0</v>
      </c>
      <c r="F92" s="1">
        <v>8.6259771327905702E-3</v>
      </c>
      <c r="G92" s="1">
        <v>9.1293429008047593E-3</v>
      </c>
      <c r="H92" s="1">
        <v>7.8781568926579778E-3</v>
      </c>
      <c r="I92" s="1">
        <v>8.0643053831922999E-3</v>
      </c>
      <c r="J92" s="1">
        <v>9.5099564889643551E-3</v>
      </c>
      <c r="K92" s="1">
        <v>4.2643237540703031E-3</v>
      </c>
      <c r="L92" s="1">
        <v>9.7640504048292082E-3</v>
      </c>
      <c r="M92" s="1">
        <v>1.0053662472915195</v>
      </c>
      <c r="N92" s="1">
        <v>2.6218212431129702E-3</v>
      </c>
      <c r="O92" s="1">
        <v>8.6508519484960855E-2</v>
      </c>
      <c r="P92" s="1">
        <v>1.3741093557086206E-3</v>
      </c>
      <c r="Q92" s="1">
        <v>5.4816468318402908E-3</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4.1120119644091235E-2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0.23283540815716644</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4.6567081631433298E-2</v>
      </c>
      <c r="P96" s="1">
        <v>0.20000000000000004</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349</v>
      </c>
      <c r="B1" s="6"/>
      <c r="C1" s="1"/>
      <c r="D1" s="1"/>
      <c r="E1" s="1"/>
      <c r="F1" s="1"/>
      <c r="G1" s="1"/>
      <c r="H1" s="1"/>
      <c r="I1" s="1"/>
      <c r="J1" s="1"/>
      <c r="K1" s="1"/>
      <c r="L1" s="1"/>
      <c r="M1" s="1"/>
      <c r="N1" s="1"/>
      <c r="O1" s="1"/>
      <c r="P1" s="1"/>
      <c r="Q1" s="1"/>
      <c r="R1" s="1"/>
      <c r="S1" s="1"/>
      <c r="T1" s="1"/>
      <c r="U1" s="1"/>
      <c r="V1" s="1"/>
      <c r="W1" s="1"/>
      <c r="X1" s="1"/>
      <c r="Y1" s="1"/>
      <c r="Z1" s="1"/>
    </row>
    <row r="2" spans="1:26" x14ac:dyDescent="0.2">
      <c r="A2" s="83" t="s">
        <v>350</v>
      </c>
      <c r="B2" s="84" t="s">
        <v>351</v>
      </c>
      <c r="C2" s="1"/>
      <c r="D2" s="1"/>
      <c r="E2" s="1"/>
      <c r="F2" s="1"/>
      <c r="G2" s="1"/>
      <c r="H2" s="1"/>
      <c r="I2" s="1"/>
      <c r="J2" s="1"/>
      <c r="K2" s="1"/>
      <c r="L2" s="1"/>
      <c r="M2" s="1"/>
      <c r="N2" s="1"/>
      <c r="O2" s="1"/>
      <c r="P2" s="1"/>
      <c r="Q2" s="1"/>
      <c r="R2" s="1"/>
      <c r="S2" s="1"/>
      <c r="T2" s="1"/>
      <c r="U2" s="1"/>
      <c r="V2" s="1"/>
      <c r="W2" s="1"/>
      <c r="X2" s="1"/>
      <c r="Y2" s="1"/>
      <c r="Z2" s="1"/>
    </row>
    <row r="3" spans="1:26" x14ac:dyDescent="0.2">
      <c r="A3" s="85" t="s">
        <v>352</v>
      </c>
      <c r="B3" s="16"/>
      <c r="C3" s="1"/>
      <c r="D3" s="1"/>
      <c r="E3" s="1"/>
      <c r="F3" s="1"/>
      <c r="G3" s="1"/>
      <c r="H3" s="1"/>
      <c r="I3" s="1"/>
      <c r="J3" s="1"/>
      <c r="K3" s="1"/>
      <c r="L3" s="1"/>
      <c r="M3" s="1"/>
      <c r="N3" s="1"/>
      <c r="O3" s="1"/>
      <c r="P3" s="1"/>
      <c r="Q3" s="1"/>
      <c r="R3" s="1"/>
      <c r="S3" s="1"/>
      <c r="T3" s="1"/>
      <c r="U3" s="1"/>
      <c r="V3" s="1"/>
      <c r="W3" s="1"/>
      <c r="X3" s="1"/>
      <c r="Y3" s="1"/>
      <c r="Z3" s="1"/>
    </row>
    <row r="4" spans="1:26" x14ac:dyDescent="0.2">
      <c r="A4" s="86" t="str">
        <f>'Multiplier Matrix (uncorrected)'!A81</f>
        <v>Ag</v>
      </c>
      <c r="B4" s="87">
        <f>'Multiplier Matrix (uncorrected)'!O81</f>
        <v>0.64011980849324301</v>
      </c>
      <c r="C4" s="1"/>
      <c r="D4" s="1"/>
      <c r="E4" s="1"/>
      <c r="F4" s="1"/>
      <c r="G4" s="1"/>
      <c r="H4" s="1"/>
      <c r="I4" s="1"/>
      <c r="J4" s="1"/>
      <c r="K4" s="1"/>
      <c r="L4" s="1"/>
      <c r="M4" s="1"/>
      <c r="N4" s="1"/>
      <c r="O4" s="1"/>
      <c r="P4" s="1"/>
      <c r="Q4" s="1"/>
      <c r="R4" s="1"/>
      <c r="S4" s="1"/>
      <c r="T4" s="1"/>
      <c r="U4" s="1"/>
      <c r="V4" s="1"/>
      <c r="W4" s="1"/>
      <c r="X4" s="1"/>
      <c r="Y4" s="1"/>
      <c r="Z4" s="1"/>
    </row>
    <row r="5" spans="1:26" x14ac:dyDescent="0.2">
      <c r="A5" s="86" t="str">
        <f>'Multiplier Matrix (uncorrected)'!A82</f>
        <v>Tourism</v>
      </c>
      <c r="B5" s="87">
        <f>'Multiplier Matrix (uncorrected)'!O82</f>
        <v>0.38718026736614253</v>
      </c>
      <c r="C5" s="1"/>
      <c r="D5" s="1"/>
      <c r="E5" s="1"/>
      <c r="F5" s="1"/>
      <c r="G5" s="1"/>
      <c r="H5" s="1"/>
      <c r="I5" s="1"/>
      <c r="J5" s="1"/>
      <c r="K5" s="1"/>
      <c r="L5" s="1"/>
      <c r="M5" s="1"/>
      <c r="N5" s="1"/>
      <c r="O5" s="1"/>
      <c r="P5" s="1"/>
      <c r="Q5" s="1"/>
      <c r="R5" s="1"/>
      <c r="S5" s="1"/>
      <c r="T5" s="1"/>
      <c r="U5" s="1"/>
      <c r="V5" s="1"/>
      <c r="W5" s="1"/>
      <c r="X5" s="1"/>
      <c r="Y5" s="1"/>
      <c r="Z5" s="1"/>
    </row>
    <row r="6" spans="1:26" x14ac:dyDescent="0.2">
      <c r="A6" s="86" t="str">
        <f>'Multiplier Matrix (uncorrected)'!A83</f>
        <v>Nag</v>
      </c>
      <c r="B6" s="87">
        <f>'Multiplier Matrix (uncorrected)'!O83</f>
        <v>1.3499827146915164</v>
      </c>
      <c r="C6" s="1"/>
      <c r="D6" s="1"/>
      <c r="E6" s="1"/>
      <c r="F6" s="1"/>
      <c r="G6" s="1"/>
      <c r="H6" s="1"/>
      <c r="I6" s="1"/>
      <c r="J6" s="1"/>
      <c r="K6" s="1"/>
      <c r="L6" s="1"/>
      <c r="M6" s="1"/>
      <c r="N6" s="1"/>
      <c r="O6" s="1"/>
      <c r="P6" s="1"/>
      <c r="Q6" s="1"/>
      <c r="R6" s="1"/>
      <c r="S6" s="1"/>
      <c r="T6" s="1"/>
      <c r="U6" s="1"/>
      <c r="V6" s="1"/>
      <c r="W6" s="1"/>
      <c r="X6" s="1"/>
      <c r="Y6" s="1"/>
      <c r="Z6" s="1"/>
    </row>
    <row r="7" spans="1:26" x14ac:dyDescent="0.2">
      <c r="A7" s="86" t="str">
        <f>'Multiplier Matrix (uncorrected)'!A84</f>
        <v>NatRes</v>
      </c>
      <c r="B7" s="87">
        <f>'Multiplier Matrix (uncorrected)'!O84</f>
        <v>3.7441333511816076E-2</v>
      </c>
      <c r="C7" s="1"/>
      <c r="D7" s="1"/>
      <c r="E7" s="1"/>
      <c r="F7" s="1"/>
      <c r="G7" s="1"/>
      <c r="H7" s="1"/>
      <c r="I7" s="1"/>
      <c r="J7" s="1"/>
      <c r="K7" s="1"/>
      <c r="L7" s="1"/>
      <c r="M7" s="1"/>
      <c r="N7" s="1"/>
      <c r="O7" s="1"/>
      <c r="P7" s="1"/>
      <c r="Q7" s="1"/>
      <c r="R7" s="1"/>
      <c r="S7" s="1"/>
      <c r="T7" s="1"/>
      <c r="U7" s="1"/>
      <c r="V7" s="1"/>
      <c r="W7" s="1"/>
      <c r="X7" s="1"/>
      <c r="Y7" s="1"/>
      <c r="Z7" s="1"/>
    </row>
    <row r="8" spans="1:26" x14ac:dyDescent="0.2">
      <c r="A8" s="86" t="str">
        <f>'Multiplier Matrix (uncorrected)'!A92</f>
        <v>Restaurants</v>
      </c>
      <c r="B8" s="87">
        <f>'Multiplier Matrix (uncorrected)'!O92</f>
        <v>8.6508519484960855E-2</v>
      </c>
      <c r="C8" s="1"/>
      <c r="D8" s="1"/>
      <c r="E8" s="1"/>
      <c r="F8" s="1"/>
      <c r="G8" s="1"/>
      <c r="H8" s="1"/>
      <c r="I8" s="1"/>
      <c r="J8" s="1"/>
      <c r="K8" s="1"/>
      <c r="L8" s="1"/>
      <c r="M8" s="1"/>
      <c r="N8" s="1"/>
      <c r="O8" s="1"/>
      <c r="P8" s="1"/>
      <c r="Q8" s="1"/>
      <c r="R8" s="1"/>
      <c r="S8" s="1"/>
      <c r="T8" s="1"/>
      <c r="U8" s="1"/>
      <c r="V8" s="1"/>
      <c r="W8" s="1"/>
      <c r="X8" s="1"/>
      <c r="Y8" s="1"/>
      <c r="Z8" s="1"/>
    </row>
    <row r="9" spans="1:26" x14ac:dyDescent="0.2">
      <c r="A9" s="86" t="str">
        <f>'Multiplier Matrix (uncorrected)'!A93</f>
        <v>Lodges</v>
      </c>
      <c r="B9" s="87">
        <f>'Multiplier Matrix (uncorrected)'!O93</f>
        <v>4.1120119644091235E-2</v>
      </c>
      <c r="C9" s="1"/>
      <c r="D9" s="1"/>
      <c r="E9" s="1"/>
      <c r="F9" s="1"/>
      <c r="G9" s="1"/>
      <c r="H9" s="1"/>
      <c r="I9" s="1"/>
      <c r="J9" s="1"/>
      <c r="K9" s="1"/>
      <c r="L9" s="1"/>
      <c r="M9" s="1"/>
      <c r="N9" s="1"/>
      <c r="O9" s="1"/>
      <c r="P9" s="1"/>
      <c r="Q9" s="1"/>
      <c r="R9" s="1"/>
      <c r="S9" s="1"/>
      <c r="T9" s="1"/>
      <c r="U9" s="1"/>
      <c r="V9" s="1"/>
      <c r="W9" s="1"/>
      <c r="X9" s="1"/>
      <c r="Y9" s="1"/>
      <c r="Z9" s="1"/>
    </row>
    <row r="10" spans="1:26" x14ac:dyDescent="0.2">
      <c r="A10" s="88" t="s">
        <v>353</v>
      </c>
      <c r="B10" s="89">
        <f>SUM(B4:B9)</f>
        <v>2.5423527631917704</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0" t="s">
        <v>354</v>
      </c>
      <c r="B11" s="9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6" t="s">
        <v>355</v>
      </c>
      <c r="B12" s="92">
        <f>SUM(B13:B16)</f>
        <v>0.2412057619461396</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6" t="str">
        <f>'Multiplier Matrix (uncorrected)'!A85</f>
        <v>L-MUSK</v>
      </c>
      <c r="B13" s="92">
        <f>'Multiplier Matrix (uncorrected)'!O85</f>
        <v>9.0846853223841173E-2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6" t="str">
        <f>'Multiplier Matrix (uncorrected)'!A86</f>
        <v>L-FUSK</v>
      </c>
      <c r="B14" s="92">
        <f>'Multiplier Matrix (uncorrected)'!O86</f>
        <v>8.6774690495418097E-2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6" t="str">
        <f>'Multiplier Matrix (uncorrected)'!A87</f>
        <v>L-MSK</v>
      </c>
      <c r="B15" s="92">
        <f>'Multiplier Matrix (uncorrected)'!O87</f>
        <v>3.6674704744767181E-2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6" t="str">
        <f>'Multiplier Matrix (uncorrected)'!A88</f>
        <v>L-FSK</v>
      </c>
      <c r="B16" s="92">
        <f>'Multiplier Matrix (uncorrected)'!O88</f>
        <v>2.6909513482113148E-2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8" t="s">
        <v>356</v>
      </c>
      <c r="B17" s="92">
        <f>'Multiplier Matrix (uncorrected)'!O89</f>
        <v>0.48104404207193902</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0" t="s">
        <v>357</v>
      </c>
      <c r="B18" s="9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6" t="str">
        <f>'Multiplier Matrix (uncorrected)'!A90</f>
        <v>Poor</v>
      </c>
      <c r="B19" s="92">
        <f>'Multiplier Matrix (uncorrected)'!O90</f>
        <v>7.1931063398120762E-2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6" t="str">
        <f>'Multiplier Matrix (uncorrected)'!A91</f>
        <v>Nonpoor</v>
      </c>
      <c r="B20" s="92">
        <f>'Multiplier Matrix (uncorrected)'!O91</f>
        <v>0.65031874061995798</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3" t="s">
        <v>358</v>
      </c>
      <c r="B21" s="94">
        <f>SUM(B19:B20)</f>
        <v>0.7222498040180787</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359</v>
      </c>
      <c r="B24" s="92">
        <f>SUM(B25:B26)</f>
        <v>1270.6919653850014</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360</v>
      </c>
      <c r="B25" s="92">
        <f>B27*B19</f>
        <v>126.55209293667498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361</v>
      </c>
      <c r="B26" s="89">
        <f>B27*B20</f>
        <v>1144.1398724483263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362</v>
      </c>
      <c r="B27" s="99">
        <f>Tourists!C43/SUM(Tourists!C3,Tourists!C7)</f>
        <v>1759.3524543942892</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Nonag</vt:lpstr>
      <vt:lpstr>Fishing</vt:lpstr>
      <vt:lpstr>Restaurants</vt:lpstr>
      <vt:lpstr>Lodges</vt:lpstr>
      <vt:lpstr>Tourism</vt:lpstr>
      <vt:lpstr>NatParkPA</vt:lpstr>
      <vt:lpstr>ComRevSh</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Mateusz Filipski</cp:lastModifiedBy>
  <dcterms:created xsi:type="dcterms:W3CDTF">2023-06-19T15:34:23Z</dcterms:created>
  <dcterms:modified xsi:type="dcterms:W3CDTF">2023-10-25T18:02:57Z</dcterms:modified>
</cp:coreProperties>
</file>