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jeffrey.kazmierski/Documents/Stuff/"/>
    </mc:Choice>
  </mc:AlternateContent>
  <xr:revisionPtr revIDLastSave="0" documentId="13_ncr:1_{F0096E4C-6A8C-334D-95FD-E5616939C6F6}" xr6:coauthVersionLast="47" xr6:coauthVersionMax="47" xr10:uidLastSave="{00000000-0000-0000-0000-000000000000}"/>
  <bookViews>
    <workbookView xWindow="0" yWindow="760" windowWidth="24580" windowHeight="17640" tabRatio="874" firstSheet="4" activeTab="13" xr2:uid="{D065147E-43FF-4F00-9D2A-CB2AA0AAE841}"/>
  </bookViews>
  <sheets>
    <sheet name="Instructions" sheetId="18" r:id="rId1"/>
    <sheet name="Summary" sheetId="21" r:id="rId2"/>
    <sheet name="SSD" sheetId="17" r:id="rId3"/>
    <sheet name="Ship Info" sheetId="1" r:id="rId4"/>
    <sheet name="1-Hull" sheetId="2" r:id="rId5"/>
    <sheet name="2-Drives" sheetId="3" r:id="rId6"/>
    <sheet name="3-Pwr Plant" sheetId="4" r:id="rId7"/>
    <sheet name="4-Fuel" sheetId="5" r:id="rId8"/>
    <sheet name="5-Bridge" sheetId="6" r:id="rId9"/>
    <sheet name="6-Comp" sheetId="7" r:id="rId10"/>
    <sheet name="7-Sensors" sheetId="8" r:id="rId11"/>
    <sheet name="8a-Weapons" sheetId="19" r:id="rId12"/>
    <sheet name="8b-Screens" sheetId="15" r:id="rId13"/>
    <sheet name="9a-Optional" sheetId="10" r:id="rId14"/>
    <sheet name="9b-Optional" sheetId="16" r:id="rId15"/>
    <sheet name="10-Crew" sheetId="11" r:id="rId16"/>
    <sheet name="11-Staterooms" sheetId="12" r:id="rId17"/>
    <sheet name="12-Cargo" sheetId="13" r:id="rId18"/>
    <sheet name="Capital SSD" sheetId="20" r:id="rId19"/>
  </sheets>
  <externalReferences>
    <externalReference r:id="rId20"/>
  </externalReferences>
  <definedNames>
    <definedName name="FtrArmr">'1-Hull'!$AA$17</definedName>
    <definedName name="HullConfig">[1]Sheet1!$S$2:$S$11</definedName>
    <definedName name="Tech_Level">'Ship Info'!$F$2</definedName>
    <definedName name="TL">'Ship Info'!$F$2</definedName>
    <definedName name="Tonnage">'1-Hull'!$B$4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2" i="21" l="1"/>
  <c r="H221" i="21"/>
  <c r="H218" i="21"/>
  <c r="K27" i="16"/>
  <c r="C36" i="12"/>
  <c r="T65" i="12" s="1"/>
  <c r="A44" i="12"/>
  <c r="A43" i="12"/>
  <c r="A42" i="12"/>
  <c r="A41" i="12"/>
  <c r="A40" i="12"/>
  <c r="A39" i="12"/>
  <c r="A38" i="12"/>
  <c r="T73" i="12"/>
  <c r="T72" i="12"/>
  <c r="T71" i="12"/>
  <c r="T70" i="12"/>
  <c r="T69" i="12"/>
  <c r="T68" i="12"/>
  <c r="T67" i="12"/>
  <c r="H349" i="21"/>
  <c r="H35" i="12"/>
  <c r="H208" i="21"/>
  <c r="H207" i="21"/>
  <c r="H206" i="21"/>
  <c r="H205" i="21"/>
  <c r="H204" i="21"/>
  <c r="H203" i="21"/>
  <c r="W24" i="4"/>
  <c r="BA106" i="19"/>
  <c r="BA104" i="19"/>
  <c r="BA103" i="19"/>
  <c r="BA102" i="19"/>
  <c r="BA101" i="19"/>
  <c r="BA100" i="19"/>
  <c r="BA99" i="19"/>
  <c r="BA105" i="19"/>
  <c r="AT105" i="19"/>
  <c r="AT104" i="19"/>
  <c r="AS105" i="19"/>
  <c r="AS104" i="19"/>
  <c r="AW106" i="19"/>
  <c r="AV106" i="19"/>
  <c r="AU106" i="19"/>
  <c r="AU103" i="19"/>
  <c r="AT103" i="19"/>
  <c r="W6" i="15"/>
  <c r="V6" i="15"/>
  <c r="U6" i="15"/>
  <c r="T6" i="15"/>
  <c r="F39" i="15"/>
  <c r="W5" i="15"/>
  <c r="V5" i="15"/>
  <c r="U5" i="15"/>
  <c r="H39" i="15"/>
  <c r="T5" i="15"/>
  <c r="S5" i="15"/>
  <c r="K24" i="15"/>
  <c r="K19" i="15"/>
  <c r="K14" i="15"/>
  <c r="K9" i="15"/>
  <c r="H9" i="15"/>
  <c r="H24" i="15"/>
  <c r="H19" i="15"/>
  <c r="H14" i="15"/>
  <c r="F24" i="15"/>
  <c r="F19" i="15"/>
  <c r="F14" i="15"/>
  <c r="D24" i="15"/>
  <c r="D19" i="15"/>
  <c r="D14" i="15"/>
  <c r="D29" i="15"/>
  <c r="F9" i="15"/>
  <c r="S9" i="15"/>
  <c r="D9" i="15"/>
  <c r="AX136" i="19"/>
  <c r="AW136" i="19"/>
  <c r="Z156" i="19"/>
  <c r="X154" i="19"/>
  <c r="AB153" i="19"/>
  <c r="Z154" i="19"/>
  <c r="AG117" i="19"/>
  <c r="C7" i="12"/>
  <c r="T42" i="12"/>
  <c r="H299" i="21"/>
  <c r="H29" i="12"/>
  <c r="I299" i="21" s="1"/>
  <c r="F29" i="12"/>
  <c r="J299" i="21" s="1"/>
  <c r="D29" i="12"/>
  <c r="Y15" i="12"/>
  <c r="T14" i="12"/>
  <c r="O36" i="10"/>
  <c r="N36" i="10"/>
  <c r="O35" i="10"/>
  <c r="N35" i="10"/>
  <c r="O34" i="10"/>
  <c r="N34" i="10"/>
  <c r="O33" i="10"/>
  <c r="N33" i="10"/>
  <c r="O32" i="10"/>
  <c r="N32" i="10"/>
  <c r="O31" i="10"/>
  <c r="N31" i="10"/>
  <c r="O30" i="10"/>
  <c r="N30" i="10"/>
  <c r="O29" i="10"/>
  <c r="N29" i="10"/>
  <c r="O28" i="10"/>
  <c r="N28" i="10"/>
  <c r="O27" i="10"/>
  <c r="N27" i="10"/>
  <c r="AW4" i="10"/>
  <c r="AW5" i="10" s="1"/>
  <c r="AE318" i="10"/>
  <c r="AE345" i="10"/>
  <c r="AE220" i="10"/>
  <c r="AE439" i="10"/>
  <c r="AE428" i="10"/>
  <c r="AD433" i="10"/>
  <c r="AD453" i="10"/>
  <c r="AD229" i="10"/>
  <c r="AD361" i="10"/>
  <c r="AD74" i="10"/>
  <c r="AD297" i="10"/>
  <c r="AD135" i="10"/>
  <c r="AD136" i="10"/>
  <c r="AD107" i="10"/>
  <c r="AD359" i="10"/>
  <c r="AD360" i="10"/>
  <c r="AD37" i="10"/>
  <c r="AD455" i="10"/>
  <c r="AD68" i="10"/>
  <c r="AD99" i="10"/>
  <c r="AD346" i="10"/>
  <c r="AD369" i="10"/>
  <c r="AD318" i="10"/>
  <c r="AD83" i="10"/>
  <c r="AD294" i="10"/>
  <c r="AD307" i="10"/>
  <c r="AD345" i="10"/>
  <c r="AD220" i="10"/>
  <c r="AD14" i="10"/>
  <c r="AD439" i="10"/>
  <c r="AD431" i="10"/>
  <c r="AD430" i="10"/>
  <c r="AD241" i="10"/>
  <c r="AD302" i="10"/>
  <c r="AD428" i="10"/>
  <c r="AD196" i="10"/>
  <c r="AD415" i="10"/>
  <c r="AD314" i="10"/>
  <c r="AD342" i="10"/>
  <c r="AD304" i="10"/>
  <c r="AD111" i="10"/>
  <c r="AD321" i="10"/>
  <c r="AD170" i="10"/>
  <c r="AD182" i="10"/>
  <c r="AD219" i="10"/>
  <c r="AD325" i="10"/>
  <c r="AD254" i="10"/>
  <c r="AD291" i="10"/>
  <c r="AD414" i="10"/>
  <c r="AD413" i="10"/>
  <c r="AD210" i="10"/>
  <c r="AD188" i="10"/>
  <c r="AD252" i="10"/>
  <c r="AD392" i="10"/>
  <c r="AS433" i="10"/>
  <c r="AS453" i="10"/>
  <c r="AS229" i="10"/>
  <c r="AS361" i="10"/>
  <c r="AS74" i="10"/>
  <c r="AS297" i="10"/>
  <c r="AS135" i="10"/>
  <c r="AS136" i="10"/>
  <c r="AS107" i="10"/>
  <c r="AS359" i="10"/>
  <c r="AS360" i="10"/>
  <c r="AS37" i="10"/>
  <c r="AS455" i="10"/>
  <c r="AS68" i="10"/>
  <c r="AS99" i="10"/>
  <c r="AS346" i="10"/>
  <c r="AT369" i="10"/>
  <c r="AT318" i="10"/>
  <c r="AT83" i="10"/>
  <c r="AT294" i="10"/>
  <c r="AT307" i="10"/>
  <c r="AT345" i="10"/>
  <c r="AT220" i="10"/>
  <c r="AT14" i="10"/>
  <c r="AT439" i="10"/>
  <c r="AT431" i="10"/>
  <c r="AT430" i="10"/>
  <c r="AT241" i="10"/>
  <c r="AT302" i="10"/>
  <c r="AT428" i="10"/>
  <c r="AU196" i="10"/>
  <c r="AU415" i="10"/>
  <c r="AU314" i="10"/>
  <c r="AU342" i="10"/>
  <c r="AU304" i="10"/>
  <c r="AU111" i="10"/>
  <c r="AU321" i="10"/>
  <c r="AU170" i="10"/>
  <c r="AU182" i="10"/>
  <c r="AU219" i="10"/>
  <c r="AU325" i="10"/>
  <c r="AU254" i="10"/>
  <c r="AU291" i="10"/>
  <c r="AU414" i="10"/>
  <c r="AU413" i="10"/>
  <c r="AU210" i="10"/>
  <c r="AU188" i="10"/>
  <c r="AU252" i="10"/>
  <c r="AU392" i="10"/>
  <c r="AV196" i="10"/>
  <c r="AV415" i="10"/>
  <c r="AV314" i="10"/>
  <c r="AV342" i="10"/>
  <c r="AV304" i="10"/>
  <c r="AV111" i="10"/>
  <c r="AV321" i="10"/>
  <c r="AV170" i="10"/>
  <c r="AV182" i="10"/>
  <c r="AV369" i="10"/>
  <c r="AV318" i="10"/>
  <c r="AV83" i="10"/>
  <c r="AV219" i="10"/>
  <c r="AV325" i="10"/>
  <c r="AV294" i="10"/>
  <c r="AV433" i="10"/>
  <c r="AV453" i="10"/>
  <c r="AV307" i="10"/>
  <c r="AV254" i="10"/>
  <c r="AV291" i="10"/>
  <c r="AV345" i="10"/>
  <c r="AV220" i="10"/>
  <c r="AV229" i="10"/>
  <c r="AV14" i="10"/>
  <c r="AV361" i="10"/>
  <c r="AV414" i="10"/>
  <c r="AV439" i="10"/>
  <c r="X439" i="10" s="1"/>
  <c r="AV413" i="10"/>
  <c r="AV74" i="10"/>
  <c r="AV297" i="10"/>
  <c r="AV135" i="10"/>
  <c r="AV136" i="10"/>
  <c r="AV431" i="10"/>
  <c r="AV430" i="10"/>
  <c r="AV107" i="10"/>
  <c r="AV359" i="10"/>
  <c r="AV360" i="10"/>
  <c r="AV37" i="10"/>
  <c r="AV241" i="10"/>
  <c r="AV455" i="10"/>
  <c r="AV68" i="10"/>
  <c r="AV99" i="10"/>
  <c r="AV346" i="10"/>
  <c r="AV302" i="10"/>
  <c r="AV210" i="10"/>
  <c r="AV188" i="10"/>
  <c r="AV252" i="10"/>
  <c r="AV428" i="10"/>
  <c r="AV392" i="10"/>
  <c r="D24" i="10"/>
  <c r="H24" i="10"/>
  <c r="K24" i="10" s="1"/>
  <c r="S66" i="10"/>
  <c r="BS48" i="19"/>
  <c r="BS49" i="19" s="1"/>
  <c r="BS50" i="19" s="1"/>
  <c r="BS51" i="19" s="1"/>
  <c r="BS52" i="19" s="1"/>
  <c r="BS53" i="19" s="1"/>
  <c r="BS54" i="19" s="1"/>
  <c r="BS55" i="19" s="1"/>
  <c r="BS56" i="19" s="1"/>
  <c r="BS57" i="19" s="1"/>
  <c r="BS58" i="19" s="1"/>
  <c r="BS59" i="19" s="1"/>
  <c r="BS60" i="19" s="1"/>
  <c r="BS61" i="19" s="1"/>
  <c r="BS62" i="19" s="1"/>
  <c r="BS63" i="19" s="1"/>
  <c r="BS64" i="19" s="1"/>
  <c r="BS65" i="19" s="1"/>
  <c r="BS66" i="19" s="1"/>
  <c r="BS67" i="19" s="1"/>
  <c r="BS68" i="19" s="1"/>
  <c r="BS69" i="19" s="1"/>
  <c r="BS70" i="19" s="1"/>
  <c r="BS71" i="19" s="1"/>
  <c r="BS72" i="19" s="1"/>
  <c r="BS73" i="19" s="1"/>
  <c r="BS74" i="19" s="1"/>
  <c r="BS75" i="19" s="1"/>
  <c r="BS76" i="19" s="1"/>
  <c r="BS77" i="19" s="1"/>
  <c r="BS78" i="19" s="1"/>
  <c r="BS79" i="19" s="1"/>
  <c r="BS80" i="19" s="1"/>
  <c r="BS81" i="19" s="1"/>
  <c r="BS82" i="19" s="1"/>
  <c r="BS83" i="19" s="1"/>
  <c r="BS84" i="19" s="1"/>
  <c r="BS85" i="19" s="1"/>
  <c r="BS86" i="19" s="1"/>
  <c r="BS87" i="19" s="1"/>
  <c r="BS88" i="19" s="1"/>
  <c r="BS89" i="19" s="1"/>
  <c r="BS90" i="19" s="1"/>
  <c r="BS91" i="19" s="1"/>
  <c r="BS92" i="19" s="1"/>
  <c r="BS93" i="19" s="1"/>
  <c r="BS94" i="19" s="1"/>
  <c r="BS95" i="19" s="1"/>
  <c r="BS96" i="19" s="1"/>
  <c r="BS97" i="19" s="1"/>
  <c r="BS98" i="19" s="1"/>
  <c r="BS99" i="19" s="1"/>
  <c r="BS100" i="19" s="1"/>
  <c r="BS101" i="19" s="1"/>
  <c r="BS102" i="19" s="1"/>
  <c r="BS103" i="19" s="1"/>
  <c r="BS104" i="19" s="1"/>
  <c r="BS105" i="19" s="1"/>
  <c r="BS106" i="19" s="1"/>
  <c r="BS107" i="19" s="1"/>
  <c r="BS108" i="19" s="1"/>
  <c r="BS109" i="19" s="1"/>
  <c r="BS110" i="19" s="1"/>
  <c r="BS111" i="19" s="1"/>
  <c r="BS112" i="19" s="1"/>
  <c r="BS113" i="19" s="1"/>
  <c r="BS114" i="19" s="1"/>
  <c r="BS115" i="19" s="1"/>
  <c r="BS116" i="19" s="1"/>
  <c r="BS117" i="19" s="1"/>
  <c r="BS118" i="19" s="1"/>
  <c r="BS119" i="19" s="1"/>
  <c r="BS120" i="19" s="1"/>
  <c r="BS121" i="19" s="1"/>
  <c r="BR47" i="19"/>
  <c r="BR48" i="19" s="1"/>
  <c r="BR49" i="19" s="1"/>
  <c r="BR50" i="19" s="1"/>
  <c r="BR51" i="19" s="1"/>
  <c r="BR52" i="19" s="1"/>
  <c r="BR53" i="19" s="1"/>
  <c r="BR54" i="19" s="1"/>
  <c r="BR55" i="19" s="1"/>
  <c r="BR56" i="19" s="1"/>
  <c r="BR57" i="19" s="1"/>
  <c r="BR58" i="19" s="1"/>
  <c r="BR59" i="19" s="1"/>
  <c r="BR60" i="19" s="1"/>
  <c r="BR61" i="19" s="1"/>
  <c r="BR62" i="19" s="1"/>
  <c r="BR63" i="19" s="1"/>
  <c r="BR64" i="19" s="1"/>
  <c r="BR65" i="19" s="1"/>
  <c r="BR66" i="19" s="1"/>
  <c r="BR67" i="19" s="1"/>
  <c r="BR68" i="19" s="1"/>
  <c r="BR69" i="19" s="1"/>
  <c r="BR70" i="19" s="1"/>
  <c r="BR71" i="19" s="1"/>
  <c r="BR72" i="19" s="1"/>
  <c r="BR73" i="19" s="1"/>
  <c r="BR74" i="19" s="1"/>
  <c r="BR75" i="19" s="1"/>
  <c r="BR76" i="19" s="1"/>
  <c r="BR77" i="19" s="1"/>
  <c r="BR78" i="19" s="1"/>
  <c r="BR79" i="19" s="1"/>
  <c r="BR80" i="19" s="1"/>
  <c r="BR81" i="19" s="1"/>
  <c r="BR82" i="19" s="1"/>
  <c r="BR83" i="19" s="1"/>
  <c r="BR84" i="19" s="1"/>
  <c r="BR85" i="19" s="1"/>
  <c r="BR86" i="19" s="1"/>
  <c r="BR87" i="19" s="1"/>
  <c r="BR88" i="19" s="1"/>
  <c r="BR89" i="19" s="1"/>
  <c r="BR90" i="19" s="1"/>
  <c r="BR91" i="19" s="1"/>
  <c r="BR92" i="19" s="1"/>
  <c r="BR93" i="19" s="1"/>
  <c r="BR94" i="19" s="1"/>
  <c r="BR95" i="19" s="1"/>
  <c r="BR96" i="19" s="1"/>
  <c r="BR97" i="19" s="1"/>
  <c r="BR98" i="19" s="1"/>
  <c r="BR99" i="19" s="1"/>
  <c r="BR100" i="19" s="1"/>
  <c r="BR101" i="19" s="1"/>
  <c r="BR102" i="19" s="1"/>
  <c r="BR103" i="19" s="1"/>
  <c r="BR104" i="19" s="1"/>
  <c r="BR105" i="19" s="1"/>
  <c r="BR106" i="19" s="1"/>
  <c r="BR107" i="19" s="1"/>
  <c r="BR108" i="19" s="1"/>
  <c r="BR109" i="19" s="1"/>
  <c r="BR110" i="19" s="1"/>
  <c r="BR111" i="19" s="1"/>
  <c r="BR112" i="19" s="1"/>
  <c r="BR113" i="19" s="1"/>
  <c r="BR114" i="19" s="1"/>
  <c r="BR115" i="19" s="1"/>
  <c r="BR116" i="19" s="1"/>
  <c r="BR117" i="19" s="1"/>
  <c r="BR118" i="19" s="1"/>
  <c r="BR119" i="19" s="1"/>
  <c r="BR120" i="19" s="1"/>
  <c r="BR121" i="19" s="1"/>
  <c r="BN47" i="19"/>
  <c r="BN48" i="19" s="1"/>
  <c r="BN49" i="19" s="1"/>
  <c r="BN50" i="19" s="1"/>
  <c r="BN51" i="19" s="1"/>
  <c r="BN52" i="19" s="1"/>
  <c r="BN53" i="19" s="1"/>
  <c r="BN54" i="19" s="1"/>
  <c r="BN55" i="19" s="1"/>
  <c r="BN56" i="19" s="1"/>
  <c r="BN57" i="19" s="1"/>
  <c r="BN58" i="19" s="1"/>
  <c r="BN59" i="19" s="1"/>
  <c r="BN60" i="19" s="1"/>
  <c r="BN61" i="19" s="1"/>
  <c r="BN62" i="19" s="1"/>
  <c r="BN63" i="19" s="1"/>
  <c r="BN64" i="19" s="1"/>
  <c r="BN65" i="19" s="1"/>
  <c r="BN66" i="19" s="1"/>
  <c r="BN67" i="19" s="1"/>
  <c r="BN68" i="19" s="1"/>
  <c r="BN69" i="19" s="1"/>
  <c r="BN70" i="19" s="1"/>
  <c r="BN71" i="19" s="1"/>
  <c r="BN72" i="19" s="1"/>
  <c r="BN73" i="19" s="1"/>
  <c r="BN74" i="19" s="1"/>
  <c r="BN75" i="19" s="1"/>
  <c r="BN76" i="19" s="1"/>
  <c r="BN77" i="19" s="1"/>
  <c r="BN78" i="19" s="1"/>
  <c r="BN79" i="19" s="1"/>
  <c r="BN80" i="19" s="1"/>
  <c r="BN81" i="19" s="1"/>
  <c r="BN82" i="19" s="1"/>
  <c r="BN83" i="19" s="1"/>
  <c r="BN84" i="19" s="1"/>
  <c r="BN85" i="19" s="1"/>
  <c r="BN86" i="19" s="1"/>
  <c r="BN87" i="19" s="1"/>
  <c r="BN88" i="19" s="1"/>
  <c r="BN89" i="19" s="1"/>
  <c r="BN90" i="19" s="1"/>
  <c r="BN91" i="19" s="1"/>
  <c r="BN92" i="19" s="1"/>
  <c r="BN93" i="19" s="1"/>
  <c r="BN94" i="19" s="1"/>
  <c r="BN95" i="19" s="1"/>
  <c r="BN96" i="19" s="1"/>
  <c r="BN97" i="19" s="1"/>
  <c r="BN98" i="19" s="1"/>
  <c r="BN99" i="19" s="1"/>
  <c r="BN100" i="19" s="1"/>
  <c r="BN101" i="19" s="1"/>
  <c r="BN102" i="19" s="1"/>
  <c r="BN103" i="19" s="1"/>
  <c r="BN104" i="19" s="1"/>
  <c r="BN105" i="19" s="1"/>
  <c r="BN106" i="19" s="1"/>
  <c r="BN107" i="19" s="1"/>
  <c r="BN108" i="19" s="1"/>
  <c r="BN109" i="19" s="1"/>
  <c r="BN110" i="19" s="1"/>
  <c r="BN111" i="19" s="1"/>
  <c r="BN112" i="19" s="1"/>
  <c r="BN113" i="19" s="1"/>
  <c r="BN114" i="19" s="1"/>
  <c r="BN115" i="19" s="1"/>
  <c r="BN116" i="19" s="1"/>
  <c r="BN117" i="19" s="1"/>
  <c r="BN118" i="19" s="1"/>
  <c r="BN119" i="19" s="1"/>
  <c r="BN120" i="19" s="1"/>
  <c r="BN121" i="19" s="1"/>
  <c r="BS46" i="19"/>
  <c r="BS47" i="19" s="1"/>
  <c r="BR46" i="19"/>
  <c r="BQ46" i="19"/>
  <c r="BQ47" i="19" s="1"/>
  <c r="BQ48" i="19" s="1"/>
  <c r="BQ49" i="19" s="1"/>
  <c r="BQ50" i="19" s="1"/>
  <c r="BQ51" i="19" s="1"/>
  <c r="BQ52" i="19" s="1"/>
  <c r="BQ53" i="19" s="1"/>
  <c r="BQ54" i="19" s="1"/>
  <c r="BQ55" i="19" s="1"/>
  <c r="BQ56" i="19" s="1"/>
  <c r="BQ57" i="19" s="1"/>
  <c r="BQ58" i="19" s="1"/>
  <c r="BQ59" i="19" s="1"/>
  <c r="BQ60" i="19" s="1"/>
  <c r="BQ61" i="19" s="1"/>
  <c r="BQ62" i="19" s="1"/>
  <c r="BQ63" i="19" s="1"/>
  <c r="BQ64" i="19" s="1"/>
  <c r="BQ65" i="19" s="1"/>
  <c r="BQ66" i="19" s="1"/>
  <c r="BQ67" i="19" s="1"/>
  <c r="BQ68" i="19" s="1"/>
  <c r="BQ69" i="19" s="1"/>
  <c r="BQ70" i="19" s="1"/>
  <c r="BQ71" i="19" s="1"/>
  <c r="BQ72" i="19" s="1"/>
  <c r="BQ73" i="19" s="1"/>
  <c r="BQ74" i="19" s="1"/>
  <c r="BQ75" i="19" s="1"/>
  <c r="BQ76" i="19" s="1"/>
  <c r="BQ77" i="19" s="1"/>
  <c r="BQ78" i="19" s="1"/>
  <c r="BQ79" i="19" s="1"/>
  <c r="BQ80" i="19" s="1"/>
  <c r="BQ81" i="19" s="1"/>
  <c r="BQ82" i="19" s="1"/>
  <c r="BQ83" i="19" s="1"/>
  <c r="BQ84" i="19" s="1"/>
  <c r="BQ85" i="19" s="1"/>
  <c r="BQ86" i="19" s="1"/>
  <c r="BQ87" i="19" s="1"/>
  <c r="BQ88" i="19" s="1"/>
  <c r="BQ89" i="19" s="1"/>
  <c r="BQ90" i="19" s="1"/>
  <c r="BQ91" i="19" s="1"/>
  <c r="BQ92" i="19" s="1"/>
  <c r="BQ93" i="19" s="1"/>
  <c r="BQ94" i="19" s="1"/>
  <c r="BQ95" i="19" s="1"/>
  <c r="BQ96" i="19" s="1"/>
  <c r="BQ97" i="19" s="1"/>
  <c r="BQ98" i="19" s="1"/>
  <c r="BQ99" i="19" s="1"/>
  <c r="BQ100" i="19" s="1"/>
  <c r="BQ101" i="19" s="1"/>
  <c r="BQ102" i="19" s="1"/>
  <c r="BQ103" i="19" s="1"/>
  <c r="BQ104" i="19" s="1"/>
  <c r="BQ105" i="19" s="1"/>
  <c r="BQ106" i="19" s="1"/>
  <c r="BQ107" i="19" s="1"/>
  <c r="BQ108" i="19" s="1"/>
  <c r="BQ109" i="19" s="1"/>
  <c r="BQ110" i="19" s="1"/>
  <c r="BQ111" i="19" s="1"/>
  <c r="BQ112" i="19" s="1"/>
  <c r="BQ113" i="19" s="1"/>
  <c r="BQ114" i="19" s="1"/>
  <c r="BQ115" i="19" s="1"/>
  <c r="BQ116" i="19" s="1"/>
  <c r="BQ117" i="19" s="1"/>
  <c r="BQ118" i="19" s="1"/>
  <c r="BQ119" i="19" s="1"/>
  <c r="BQ120" i="19" s="1"/>
  <c r="BQ121" i="19" s="1"/>
  <c r="BP46" i="19"/>
  <c r="BP47" i="19" s="1"/>
  <c r="BP48" i="19" s="1"/>
  <c r="BP49" i="19" s="1"/>
  <c r="BP50" i="19" s="1"/>
  <c r="BP51" i="19" s="1"/>
  <c r="BP52" i="19" s="1"/>
  <c r="BP53" i="19" s="1"/>
  <c r="BP54" i="19" s="1"/>
  <c r="BP55" i="19" s="1"/>
  <c r="BP56" i="19" s="1"/>
  <c r="BP57" i="19" s="1"/>
  <c r="BP58" i="19" s="1"/>
  <c r="BP59" i="19" s="1"/>
  <c r="BP60" i="19" s="1"/>
  <c r="BP61" i="19" s="1"/>
  <c r="BP62" i="19" s="1"/>
  <c r="BP63" i="19" s="1"/>
  <c r="BP64" i="19" s="1"/>
  <c r="BP65" i="19" s="1"/>
  <c r="BP66" i="19" s="1"/>
  <c r="BP67" i="19" s="1"/>
  <c r="BP68" i="19" s="1"/>
  <c r="BP69" i="19" s="1"/>
  <c r="BP70" i="19" s="1"/>
  <c r="BP71" i="19" s="1"/>
  <c r="BP72" i="19" s="1"/>
  <c r="BP73" i="19" s="1"/>
  <c r="BP74" i="19" s="1"/>
  <c r="BP75" i="19" s="1"/>
  <c r="BP76" i="19" s="1"/>
  <c r="BP77" i="19" s="1"/>
  <c r="BP78" i="19" s="1"/>
  <c r="BP79" i="19" s="1"/>
  <c r="BP80" i="19" s="1"/>
  <c r="BP81" i="19" s="1"/>
  <c r="BP82" i="19" s="1"/>
  <c r="BP83" i="19" s="1"/>
  <c r="BP84" i="19" s="1"/>
  <c r="BP85" i="19" s="1"/>
  <c r="BP86" i="19" s="1"/>
  <c r="BP87" i="19" s="1"/>
  <c r="BP88" i="19" s="1"/>
  <c r="BP89" i="19" s="1"/>
  <c r="BP90" i="19" s="1"/>
  <c r="BP91" i="19" s="1"/>
  <c r="BP92" i="19" s="1"/>
  <c r="BP93" i="19" s="1"/>
  <c r="BP94" i="19" s="1"/>
  <c r="BP95" i="19" s="1"/>
  <c r="BP96" i="19" s="1"/>
  <c r="BP97" i="19" s="1"/>
  <c r="BP98" i="19" s="1"/>
  <c r="BP99" i="19" s="1"/>
  <c r="BP100" i="19" s="1"/>
  <c r="BP101" i="19" s="1"/>
  <c r="BP102" i="19" s="1"/>
  <c r="BP103" i="19" s="1"/>
  <c r="BP104" i="19" s="1"/>
  <c r="BP105" i="19" s="1"/>
  <c r="BP106" i="19" s="1"/>
  <c r="BP107" i="19" s="1"/>
  <c r="BP108" i="19" s="1"/>
  <c r="BP109" i="19" s="1"/>
  <c r="BP110" i="19" s="1"/>
  <c r="BP111" i="19" s="1"/>
  <c r="BP112" i="19" s="1"/>
  <c r="BP113" i="19" s="1"/>
  <c r="BP114" i="19" s="1"/>
  <c r="BP115" i="19" s="1"/>
  <c r="BP116" i="19" s="1"/>
  <c r="BP117" i="19" s="1"/>
  <c r="BP118" i="19" s="1"/>
  <c r="BP119" i="19" s="1"/>
  <c r="BP120" i="19" s="1"/>
  <c r="BP121" i="19" s="1"/>
  <c r="BO46" i="19"/>
  <c r="BO47" i="19" s="1"/>
  <c r="BO48" i="19" s="1"/>
  <c r="BO49" i="19" s="1"/>
  <c r="BO50" i="19" s="1"/>
  <c r="BO51" i="19" s="1"/>
  <c r="BO52" i="19" s="1"/>
  <c r="BO53" i="19" s="1"/>
  <c r="BO54" i="19" s="1"/>
  <c r="BO55" i="19" s="1"/>
  <c r="BO56" i="19" s="1"/>
  <c r="BO57" i="19" s="1"/>
  <c r="BO58" i="19" s="1"/>
  <c r="BO59" i="19" s="1"/>
  <c r="BO60" i="19" s="1"/>
  <c r="BO61" i="19" s="1"/>
  <c r="BO62" i="19" s="1"/>
  <c r="BO63" i="19" s="1"/>
  <c r="BO64" i="19" s="1"/>
  <c r="BO65" i="19" s="1"/>
  <c r="BO66" i="19" s="1"/>
  <c r="BO67" i="19" s="1"/>
  <c r="BO68" i="19" s="1"/>
  <c r="BO69" i="19" s="1"/>
  <c r="BO70" i="19" s="1"/>
  <c r="BO71" i="19" s="1"/>
  <c r="BO72" i="19" s="1"/>
  <c r="BO73" i="19" s="1"/>
  <c r="BO74" i="19" s="1"/>
  <c r="BO75" i="19" s="1"/>
  <c r="BO76" i="19" s="1"/>
  <c r="BO77" i="19" s="1"/>
  <c r="BO78" i="19" s="1"/>
  <c r="BO79" i="19" s="1"/>
  <c r="BO80" i="19" s="1"/>
  <c r="BO81" i="19" s="1"/>
  <c r="BO82" i="19" s="1"/>
  <c r="BO83" i="19" s="1"/>
  <c r="BO84" i="19" s="1"/>
  <c r="BO85" i="19" s="1"/>
  <c r="BO86" i="19" s="1"/>
  <c r="BO87" i="19" s="1"/>
  <c r="BO88" i="19" s="1"/>
  <c r="BO89" i="19" s="1"/>
  <c r="BO90" i="19" s="1"/>
  <c r="BO91" i="19" s="1"/>
  <c r="BO92" i="19" s="1"/>
  <c r="BO93" i="19" s="1"/>
  <c r="BO94" i="19" s="1"/>
  <c r="BO95" i="19" s="1"/>
  <c r="BO96" i="19" s="1"/>
  <c r="BO97" i="19" s="1"/>
  <c r="BO98" i="19" s="1"/>
  <c r="BO99" i="19" s="1"/>
  <c r="BO100" i="19" s="1"/>
  <c r="BO101" i="19" s="1"/>
  <c r="BO102" i="19" s="1"/>
  <c r="BO103" i="19" s="1"/>
  <c r="BO104" i="19" s="1"/>
  <c r="BO105" i="19" s="1"/>
  <c r="BO106" i="19" s="1"/>
  <c r="BO107" i="19" s="1"/>
  <c r="BO108" i="19" s="1"/>
  <c r="BO109" i="19" s="1"/>
  <c r="BO110" i="19" s="1"/>
  <c r="BO111" i="19" s="1"/>
  <c r="BO112" i="19" s="1"/>
  <c r="BO113" i="19" s="1"/>
  <c r="BO114" i="19" s="1"/>
  <c r="BO115" i="19" s="1"/>
  <c r="BO116" i="19" s="1"/>
  <c r="BO117" i="19" s="1"/>
  <c r="BO118" i="19" s="1"/>
  <c r="BO119" i="19" s="1"/>
  <c r="BO120" i="19" s="1"/>
  <c r="BO121" i="19" s="1"/>
  <c r="BN46" i="19"/>
  <c r="BM46" i="19"/>
  <c r="BM47" i="19" s="1"/>
  <c r="BM48" i="19" s="1"/>
  <c r="BM49" i="19" s="1"/>
  <c r="BM50" i="19" s="1"/>
  <c r="BM51" i="19" s="1"/>
  <c r="BM52" i="19" s="1"/>
  <c r="BM53" i="19" s="1"/>
  <c r="BM54" i="19" s="1"/>
  <c r="BM55" i="19" s="1"/>
  <c r="BM56" i="19" s="1"/>
  <c r="BM57" i="19" s="1"/>
  <c r="BM58" i="19" s="1"/>
  <c r="BM59" i="19" s="1"/>
  <c r="BM60" i="19" s="1"/>
  <c r="BM61" i="19" s="1"/>
  <c r="BM62" i="19" s="1"/>
  <c r="BM63" i="19" s="1"/>
  <c r="BM64" i="19" s="1"/>
  <c r="BM65" i="19" s="1"/>
  <c r="BM66" i="19" s="1"/>
  <c r="BM67" i="19" s="1"/>
  <c r="BM68" i="19" s="1"/>
  <c r="BM69" i="19" s="1"/>
  <c r="BM70" i="19" s="1"/>
  <c r="BM71" i="19" s="1"/>
  <c r="BM72" i="19" s="1"/>
  <c r="BM73" i="19" s="1"/>
  <c r="BM74" i="19" s="1"/>
  <c r="BM75" i="19" s="1"/>
  <c r="BM76" i="19" s="1"/>
  <c r="BM77" i="19" s="1"/>
  <c r="BM78" i="19" s="1"/>
  <c r="BM79" i="19" s="1"/>
  <c r="BM80" i="19" s="1"/>
  <c r="BM81" i="19" s="1"/>
  <c r="BM82" i="19" s="1"/>
  <c r="BM83" i="19" s="1"/>
  <c r="BM84" i="19" s="1"/>
  <c r="BM85" i="19" s="1"/>
  <c r="BM86" i="19" s="1"/>
  <c r="BM87" i="19" s="1"/>
  <c r="BM88" i="19" s="1"/>
  <c r="BM89" i="19" s="1"/>
  <c r="BM90" i="19" s="1"/>
  <c r="BM91" i="19" s="1"/>
  <c r="BM92" i="19" s="1"/>
  <c r="BM93" i="19" s="1"/>
  <c r="BM94" i="19" s="1"/>
  <c r="BM95" i="19" s="1"/>
  <c r="BM96" i="19" s="1"/>
  <c r="BM97" i="19" s="1"/>
  <c r="BM98" i="19" s="1"/>
  <c r="BM99" i="19" s="1"/>
  <c r="BM100" i="19" s="1"/>
  <c r="BM101" i="19" s="1"/>
  <c r="BM102" i="19" s="1"/>
  <c r="BM103" i="19" s="1"/>
  <c r="BM104" i="19" s="1"/>
  <c r="BM105" i="19" s="1"/>
  <c r="BM106" i="19" s="1"/>
  <c r="BM107" i="19" s="1"/>
  <c r="BM108" i="19" s="1"/>
  <c r="BM109" i="19" s="1"/>
  <c r="BM110" i="19" s="1"/>
  <c r="BM111" i="19" s="1"/>
  <c r="BM112" i="19" s="1"/>
  <c r="BM113" i="19" s="1"/>
  <c r="BM114" i="19" s="1"/>
  <c r="BM115" i="19" s="1"/>
  <c r="BM116" i="19" s="1"/>
  <c r="BM117" i="19" s="1"/>
  <c r="BM118" i="19" s="1"/>
  <c r="BM119" i="19" s="1"/>
  <c r="BM120" i="19" s="1"/>
  <c r="BM121" i="19" s="1"/>
  <c r="AR99" i="19"/>
  <c r="AR100" i="19"/>
  <c r="AR101" i="19"/>
  <c r="AR102" i="19"/>
  <c r="AR106" i="19"/>
  <c r="AR107" i="19"/>
  <c r="AY105" i="19"/>
  <c r="AX105" i="19"/>
  <c r="AY104" i="19"/>
  <c r="AX104" i="19"/>
  <c r="AY103" i="19"/>
  <c r="AY102" i="19"/>
  <c r="AX102" i="19"/>
  <c r="AW102" i="19"/>
  <c r="AV102" i="19"/>
  <c r="AY106" i="19"/>
  <c r="AX106" i="19"/>
  <c r="AZ105" i="19"/>
  <c r="AZ104" i="19"/>
  <c r="AZ103" i="19"/>
  <c r="AZ102" i="19"/>
  <c r="AZ101" i="19"/>
  <c r="AZ100" i="19"/>
  <c r="AY101" i="19"/>
  <c r="AX101" i="19"/>
  <c r="AW101" i="19"/>
  <c r="AV101" i="19"/>
  <c r="AY100" i="19"/>
  <c r="AX100" i="19"/>
  <c r="AW100" i="19"/>
  <c r="AV100" i="19"/>
  <c r="AY99" i="19"/>
  <c r="AX99" i="19"/>
  <c r="AW99" i="19"/>
  <c r="AV99" i="19"/>
  <c r="AZ99" i="19"/>
  <c r="AZ106" i="19"/>
  <c r="W67" i="15"/>
  <c r="W66" i="15"/>
  <c r="W65" i="15"/>
  <c r="BS56" i="17"/>
  <c r="V64" i="15"/>
  <c r="D34" i="15"/>
  <c r="F34" i="15" s="1"/>
  <c r="M36" i="15"/>
  <c r="B36" i="15"/>
  <c r="M35" i="15"/>
  <c r="M34" i="15"/>
  <c r="J36" i="11"/>
  <c r="AN101" i="19"/>
  <c r="AO101" i="19"/>
  <c r="AP101" i="19"/>
  <c r="AD331" i="10"/>
  <c r="AD116" i="10"/>
  <c r="AD185" i="10"/>
  <c r="AD393" i="10"/>
  <c r="AD63" i="10"/>
  <c r="AD160" i="10"/>
  <c r="AS331" i="10"/>
  <c r="AS116" i="10"/>
  <c r="AS185" i="10"/>
  <c r="AS393" i="10"/>
  <c r="AT63" i="10"/>
  <c r="AT160" i="10"/>
  <c r="AV331" i="10"/>
  <c r="AV63" i="10"/>
  <c r="AV116" i="10"/>
  <c r="AV185" i="10"/>
  <c r="AV160" i="10"/>
  <c r="AV393" i="10"/>
  <c r="H31" i="16"/>
  <c r="I225" i="21" s="1"/>
  <c r="D32" i="16"/>
  <c r="F32" i="16"/>
  <c r="J226" i="21" s="1"/>
  <c r="H32" i="16"/>
  <c r="I226" i="21" s="1"/>
  <c r="F31" i="16"/>
  <c r="J225" i="21" s="1"/>
  <c r="E32" i="16"/>
  <c r="E31" i="16"/>
  <c r="H225" i="21" s="1"/>
  <c r="G225" i="21" s="1"/>
  <c r="H82" i="21"/>
  <c r="D46" i="3"/>
  <c r="V21" i="7"/>
  <c r="E9" i="2"/>
  <c r="H355" i="21"/>
  <c r="E34" i="13"/>
  <c r="H51" i="21"/>
  <c r="H71" i="21"/>
  <c r="H72" i="21"/>
  <c r="AD242" i="10"/>
  <c r="AD179" i="10"/>
  <c r="AD381" i="10"/>
  <c r="AD335" i="10"/>
  <c r="AD295" i="10"/>
  <c r="AD126" i="10"/>
  <c r="AD155" i="10"/>
  <c r="AD376" i="10"/>
  <c r="AD157" i="10"/>
  <c r="AD172" i="10"/>
  <c r="AD10" i="10"/>
  <c r="AD36" i="10"/>
  <c r="AD177" i="10"/>
  <c r="AD62" i="10"/>
  <c r="AD435" i="10"/>
  <c r="AD173" i="10"/>
  <c r="AD352" i="10"/>
  <c r="AD344" i="10"/>
  <c r="AD355" i="10"/>
  <c r="AD137" i="10"/>
  <c r="AD67" i="10"/>
  <c r="AE242" i="10"/>
  <c r="AE179" i="10"/>
  <c r="AS295" i="10"/>
  <c r="AS126" i="10"/>
  <c r="AS155" i="10"/>
  <c r="AS376" i="10"/>
  <c r="AS157" i="10"/>
  <c r="AS172" i="10"/>
  <c r="AS10" i="10"/>
  <c r="AS36" i="10"/>
  <c r="AS177" i="10"/>
  <c r="AS62" i="10"/>
  <c r="AS435" i="10"/>
  <c r="AS173" i="10"/>
  <c r="AS352" i="10"/>
  <c r="AS344" i="10"/>
  <c r="AS355" i="10"/>
  <c r="AS137" i="10"/>
  <c r="AS67" i="10"/>
  <c r="AT242" i="10"/>
  <c r="AT179" i="10"/>
  <c r="AT381" i="10"/>
  <c r="AU335" i="10"/>
  <c r="AR295" i="10"/>
  <c r="AR126" i="10"/>
  <c r="AR242" i="10"/>
  <c r="AR155" i="10"/>
  <c r="AR376" i="10"/>
  <c r="AR157" i="10"/>
  <c r="AR172" i="10"/>
  <c r="AR10" i="10"/>
  <c r="AR36" i="10"/>
  <c r="AR177" i="10"/>
  <c r="AR335" i="10"/>
  <c r="AR62" i="10"/>
  <c r="AR435" i="10"/>
  <c r="AR173" i="10"/>
  <c r="AR352" i="10"/>
  <c r="AR344" i="10"/>
  <c r="AR355" i="10"/>
  <c r="AR179" i="10"/>
  <c r="AR137" i="10"/>
  <c r="AR67" i="10"/>
  <c r="AR381" i="10"/>
  <c r="AV295" i="10"/>
  <c r="AV126" i="10"/>
  <c r="AV242" i="10"/>
  <c r="AV155" i="10"/>
  <c r="AV376" i="10"/>
  <c r="AV157" i="10"/>
  <c r="AV172" i="10"/>
  <c r="AV10" i="10"/>
  <c r="AV36" i="10"/>
  <c r="AV177" i="10"/>
  <c r="AV335" i="10"/>
  <c r="AV62" i="10"/>
  <c r="AV435" i="10"/>
  <c r="AV173" i="10"/>
  <c r="AV352" i="10"/>
  <c r="AV344" i="10"/>
  <c r="AV355" i="10"/>
  <c r="AV179" i="10"/>
  <c r="AV137" i="10"/>
  <c r="AV67" i="10"/>
  <c r="AV381" i="10"/>
  <c r="AR198" i="10"/>
  <c r="AR482" i="10"/>
  <c r="AR44" i="10"/>
  <c r="AR112" i="10"/>
  <c r="AR171" i="10"/>
  <c r="AR326" i="10"/>
  <c r="AR248" i="10"/>
  <c r="AR189" i="10"/>
  <c r="AR127" i="10"/>
  <c r="AR434" i="10"/>
  <c r="AR452" i="10"/>
  <c r="AR247" i="10"/>
  <c r="AR351" i="10"/>
  <c r="AR324" i="10"/>
  <c r="AR403" i="10"/>
  <c r="AR140" i="10"/>
  <c r="AR39" i="10"/>
  <c r="AR8" i="10"/>
  <c r="AR7" i="10"/>
  <c r="AR255" i="10"/>
  <c r="AR202" i="10"/>
  <c r="AR203" i="10"/>
  <c r="AR48" i="10"/>
  <c r="AR250" i="10"/>
  <c r="AR420" i="10"/>
  <c r="AR402" i="10"/>
  <c r="AR387" i="10"/>
  <c r="AR386" i="10"/>
  <c r="AR385" i="10"/>
  <c r="AR384" i="10"/>
  <c r="AR383" i="10"/>
  <c r="AR378" i="10"/>
  <c r="AR350" i="10"/>
  <c r="AR330" i="10"/>
  <c r="AR298" i="10"/>
  <c r="AR284" i="10"/>
  <c r="AR270" i="10"/>
  <c r="AR263" i="10"/>
  <c r="AR240" i="10"/>
  <c r="AR239" i="10"/>
  <c r="AR236" i="10"/>
  <c r="AR213" i="10"/>
  <c r="AR207" i="10"/>
  <c r="AR206" i="10"/>
  <c r="AR204" i="10"/>
  <c r="AR191" i="10"/>
  <c r="AR175" i="10"/>
  <c r="AR151" i="10"/>
  <c r="AR149" i="10"/>
  <c r="AR148" i="10"/>
  <c r="AR91" i="10"/>
  <c r="AR34" i="10"/>
  <c r="AR15" i="10"/>
  <c r="AR6" i="10"/>
  <c r="AR5" i="10"/>
  <c r="AR4" i="10"/>
  <c r="AR317" i="10"/>
  <c r="AR316" i="10"/>
  <c r="AR380" i="10"/>
  <c r="AQ11" i="10"/>
  <c r="AD189" i="10"/>
  <c r="AD127" i="10"/>
  <c r="AD324" i="10"/>
  <c r="AD403" i="10"/>
  <c r="AD140" i="10"/>
  <c r="AD250" i="10"/>
  <c r="AD171" i="10"/>
  <c r="AD255" i="10"/>
  <c r="AD198" i="10"/>
  <c r="AD482" i="10"/>
  <c r="AD44" i="10"/>
  <c r="AD112" i="10"/>
  <c r="AD326" i="10"/>
  <c r="AD248" i="10"/>
  <c r="AD434" i="10"/>
  <c r="AD452" i="10"/>
  <c r="AD247" i="10"/>
  <c r="AD351" i="10"/>
  <c r="AD39" i="10"/>
  <c r="AD8" i="10"/>
  <c r="AD7" i="10"/>
  <c r="AD202" i="10"/>
  <c r="AD203" i="10"/>
  <c r="AD48" i="10"/>
  <c r="AS198" i="10"/>
  <c r="AS482" i="10"/>
  <c r="AS44" i="10"/>
  <c r="AS112" i="10"/>
  <c r="AS326" i="10"/>
  <c r="AS248" i="10"/>
  <c r="AS434" i="10"/>
  <c r="AS452" i="10"/>
  <c r="AS247" i="10"/>
  <c r="AS351" i="10"/>
  <c r="AS39" i="10"/>
  <c r="AS8" i="10"/>
  <c r="AS7" i="10"/>
  <c r="AS202" i="10"/>
  <c r="AS203" i="10"/>
  <c r="AS48" i="10"/>
  <c r="AT189" i="10"/>
  <c r="AT127" i="10"/>
  <c r="AT324" i="10"/>
  <c r="AT403" i="10"/>
  <c r="AT140" i="10"/>
  <c r="AT250" i="10"/>
  <c r="AU171" i="10"/>
  <c r="AU255" i="10"/>
  <c r="AV198" i="10"/>
  <c r="AV482" i="10"/>
  <c r="AV44" i="10"/>
  <c r="AV112" i="10"/>
  <c r="AV171" i="10"/>
  <c r="AV326" i="10"/>
  <c r="AV248" i="10"/>
  <c r="AV189" i="10"/>
  <c r="AV127" i="10"/>
  <c r="AV434" i="10"/>
  <c r="AV452" i="10"/>
  <c r="AV247" i="10"/>
  <c r="AV351" i="10"/>
  <c r="AV324" i="10"/>
  <c r="AV403" i="10"/>
  <c r="AV140" i="10"/>
  <c r="AV39" i="10"/>
  <c r="AV8" i="10"/>
  <c r="AV7" i="10"/>
  <c r="AV255" i="10"/>
  <c r="AV202" i="10"/>
  <c r="AV203" i="10"/>
  <c r="AV48" i="10"/>
  <c r="AV250" i="10"/>
  <c r="U63" i="19"/>
  <c r="AE91" i="10"/>
  <c r="AD91" i="10"/>
  <c r="AD420" i="10"/>
  <c r="AD387" i="10"/>
  <c r="AD383" i="10"/>
  <c r="AD386" i="10"/>
  <c r="AD385" i="10"/>
  <c r="AD384" i="10"/>
  <c r="AD213" i="10"/>
  <c r="AD350" i="10"/>
  <c r="AD207" i="10"/>
  <c r="AD204" i="10"/>
  <c r="AD206" i="10"/>
  <c r="AD218" i="10"/>
  <c r="AD4" i="10"/>
  <c r="AD5" i="10"/>
  <c r="AD6" i="10"/>
  <c r="AD191" i="10"/>
  <c r="AD151" i="10"/>
  <c r="AD34" i="10"/>
  <c r="AD402" i="10"/>
  <c r="AD378" i="10"/>
  <c r="AS207" i="10"/>
  <c r="AS204" i="10"/>
  <c r="AS206" i="10"/>
  <c r="AS218" i="10"/>
  <c r="AS4" i="10"/>
  <c r="AS5" i="10"/>
  <c r="AS6" i="10"/>
  <c r="AS191" i="10"/>
  <c r="AS151" i="10"/>
  <c r="AS34" i="10"/>
  <c r="AS402" i="10"/>
  <c r="AS378" i="10"/>
  <c r="AT91" i="10"/>
  <c r="AT420" i="10"/>
  <c r="AU387" i="10"/>
  <c r="AU383" i="10"/>
  <c r="AU386" i="10"/>
  <c r="AU385" i="10"/>
  <c r="AU384" i="10"/>
  <c r="AU213" i="10"/>
  <c r="AU350" i="10"/>
  <c r="AV207" i="10"/>
  <c r="AV204" i="10"/>
  <c r="AV206" i="10"/>
  <c r="AV218" i="10"/>
  <c r="AV4" i="10"/>
  <c r="AV5" i="10"/>
  <c r="AV387" i="10"/>
  <c r="AV383" i="10"/>
  <c r="AV386" i="10"/>
  <c r="AV385" i="10"/>
  <c r="AV384" i="10"/>
  <c r="AV91" i="10"/>
  <c r="AV213" i="10"/>
  <c r="AV6" i="10"/>
  <c r="AV191" i="10"/>
  <c r="AV151" i="10"/>
  <c r="AV34" i="10"/>
  <c r="AV420" i="10"/>
  <c r="AV350" i="10"/>
  <c r="AV402" i="10"/>
  <c r="AV378" i="10"/>
  <c r="AD270" i="10"/>
  <c r="AD263" i="10"/>
  <c r="AD284" i="10"/>
  <c r="AD98" i="10"/>
  <c r="AD30" i="10"/>
  <c r="AD28" i="10"/>
  <c r="AD366" i="10"/>
  <c r="AD94" i="10"/>
  <c r="AD317" i="10"/>
  <c r="AD316" i="10"/>
  <c r="AD330" i="10"/>
  <c r="AD240" i="10"/>
  <c r="AD298" i="10"/>
  <c r="AD149" i="10"/>
  <c r="AD328" i="10"/>
  <c r="AD236" i="10"/>
  <c r="AD239" i="10"/>
  <c r="AD15" i="10"/>
  <c r="AD175" i="10"/>
  <c r="AD230" i="10"/>
  <c r="AD148" i="10"/>
  <c r="AD380" i="10"/>
  <c r="AD142" i="10"/>
  <c r="AS317" i="10"/>
  <c r="AS316" i="10"/>
  <c r="AS330" i="10"/>
  <c r="AS240" i="10"/>
  <c r="AS298" i="10"/>
  <c r="AS149" i="10"/>
  <c r="AS328" i="10"/>
  <c r="AS236" i="10"/>
  <c r="AS239" i="10"/>
  <c r="AS15" i="10"/>
  <c r="AS175" i="10"/>
  <c r="AS230" i="10"/>
  <c r="AS148" i="10"/>
  <c r="AS380" i="10"/>
  <c r="AS142" i="10"/>
  <c r="AT270" i="10"/>
  <c r="AT263" i="10"/>
  <c r="AT284" i="10"/>
  <c r="AT98" i="10"/>
  <c r="AU30" i="10"/>
  <c r="AU28" i="10"/>
  <c r="AU366" i="10"/>
  <c r="AU94" i="10"/>
  <c r="AV317" i="10"/>
  <c r="AV316" i="10"/>
  <c r="AV270" i="10"/>
  <c r="AV263" i="10"/>
  <c r="AV284" i="10"/>
  <c r="AV330" i="10"/>
  <c r="AV240" i="10"/>
  <c r="AV298" i="10"/>
  <c r="AV149" i="10"/>
  <c r="AV328" i="10"/>
  <c r="AV236" i="10"/>
  <c r="AV239" i="10"/>
  <c r="AV15" i="10"/>
  <c r="AV175" i="10"/>
  <c r="AV230" i="10"/>
  <c r="AV148" i="10"/>
  <c r="AV380" i="10"/>
  <c r="AV98" i="10"/>
  <c r="AV30" i="10"/>
  <c r="AV28" i="10"/>
  <c r="AV142" i="10"/>
  <c r="AV366" i="10"/>
  <c r="AV94" i="10"/>
  <c r="A35" i="13"/>
  <c r="J426" i="21"/>
  <c r="I426" i="21"/>
  <c r="I425" i="21"/>
  <c r="C38" i="1"/>
  <c r="E38" i="1" s="1"/>
  <c r="X433" i="10" l="1"/>
  <c r="X455" i="10"/>
  <c r="X452" i="10"/>
  <c r="X435" i="10"/>
  <c r="X453" i="10"/>
  <c r="X434" i="10"/>
  <c r="X482" i="10"/>
  <c r="AW6" i="10"/>
  <c r="I202" i="21"/>
  <c r="F24" i="10"/>
  <c r="J202" i="21" s="1"/>
  <c r="H34" i="15"/>
  <c r="I131" i="21" s="1"/>
  <c r="K34" i="15"/>
  <c r="E34" i="15"/>
  <c r="H131" i="21"/>
  <c r="J131" i="21"/>
  <c r="X65" i="15"/>
  <c r="X66" i="15"/>
  <c r="X67" i="15"/>
  <c r="A130" i="20"/>
  <c r="O130" i="20"/>
  <c r="CG55" i="17"/>
  <c r="BS55" i="17"/>
  <c r="X317" i="10"/>
  <c r="H226" i="21"/>
  <c r="G226" i="21" s="1"/>
  <c r="X10" i="10"/>
  <c r="X188" i="10"/>
  <c r="X8" i="10"/>
  <c r="X5" i="10"/>
  <c r="X160" i="10"/>
  <c r="X7" i="10"/>
  <c r="X4" i="10"/>
  <c r="X294" i="10"/>
  <c r="X342" i="10"/>
  <c r="X189" i="10"/>
  <c r="A38" i="1"/>
  <c r="H408" i="21" s="1"/>
  <c r="G408" i="21" s="1"/>
  <c r="D39" i="1"/>
  <c r="J425" i="21"/>
  <c r="J424" i="21"/>
  <c r="I424" i="21"/>
  <c r="J423" i="21"/>
  <c r="I423" i="21"/>
  <c r="J422" i="21"/>
  <c r="I422" i="21"/>
  <c r="J421" i="21"/>
  <c r="I421" i="21"/>
  <c r="J420" i="21"/>
  <c r="I420" i="21"/>
  <c r="J419" i="21"/>
  <c r="I419" i="21"/>
  <c r="J418" i="21"/>
  <c r="I418" i="21"/>
  <c r="J417" i="21"/>
  <c r="I417" i="21"/>
  <c r="J416" i="21"/>
  <c r="I416" i="21"/>
  <c r="J415" i="21"/>
  <c r="I415" i="21"/>
  <c r="J414" i="21"/>
  <c r="I414" i="21"/>
  <c r="J413" i="21"/>
  <c r="I413" i="21"/>
  <c r="J412" i="21"/>
  <c r="I412" i="21"/>
  <c r="J411" i="21"/>
  <c r="I411" i="21"/>
  <c r="J410" i="21"/>
  <c r="I410" i="21"/>
  <c r="J409" i="21"/>
  <c r="I409" i="21"/>
  <c r="J408" i="21"/>
  <c r="I408" i="21"/>
  <c r="J354" i="21"/>
  <c r="J355" i="21"/>
  <c r="S34" i="13"/>
  <c r="D54" i="13"/>
  <c r="A37" i="12" s="1"/>
  <c r="H34" i="13"/>
  <c r="I355" i="21" s="1"/>
  <c r="B85" i="16"/>
  <c r="B87" i="16"/>
  <c r="F28" i="13"/>
  <c r="H28" i="13"/>
  <c r="H24" i="13"/>
  <c r="F24" i="13"/>
  <c r="F20" i="13"/>
  <c r="H20" i="13"/>
  <c r="B35" i="7"/>
  <c r="B34" i="7"/>
  <c r="H54" i="21" s="1"/>
  <c r="B31" i="7"/>
  <c r="I2" i="21"/>
  <c r="T16" i="2"/>
  <c r="K10" i="2" s="1"/>
  <c r="H6" i="1"/>
  <c r="I371" i="21"/>
  <c r="H371" i="21"/>
  <c r="G82" i="21"/>
  <c r="Z24" i="8"/>
  <c r="I396" i="21"/>
  <c r="AV338" i="10"/>
  <c r="X338" i="10" s="1"/>
  <c r="AD338" i="10"/>
  <c r="AD379" i="10"/>
  <c r="AD340" i="10"/>
  <c r="AD73" i="10"/>
  <c r="AD319" i="10"/>
  <c r="AD401" i="10"/>
  <c r="AD245" i="10"/>
  <c r="AD292" i="10"/>
  <c r="AD143" i="10"/>
  <c r="AD178" i="10"/>
  <c r="AS379" i="10"/>
  <c r="AS340" i="10"/>
  <c r="AS73" i="10"/>
  <c r="AS319" i="10"/>
  <c r="AS401" i="10"/>
  <c r="AS245" i="10"/>
  <c r="AS292" i="10"/>
  <c r="AS143" i="10"/>
  <c r="AS178" i="10"/>
  <c r="AU338" i="10"/>
  <c r="AV379" i="10"/>
  <c r="AV340" i="10"/>
  <c r="X340" i="10" s="1"/>
  <c r="AV73" i="10"/>
  <c r="AV319" i="10"/>
  <c r="AV401" i="10"/>
  <c r="AV245" i="10"/>
  <c r="AV292" i="10"/>
  <c r="AV143" i="10"/>
  <c r="AV178" i="10"/>
  <c r="I407" i="21"/>
  <c r="I406" i="21"/>
  <c r="I405" i="21"/>
  <c r="I404" i="21"/>
  <c r="I403" i="21"/>
  <c r="I402" i="21"/>
  <c r="I401" i="21"/>
  <c r="I400" i="21"/>
  <c r="I399" i="21"/>
  <c r="I398" i="21"/>
  <c r="I397" i="21"/>
  <c r="I395" i="21"/>
  <c r="I394" i="21"/>
  <c r="I393" i="21"/>
  <c r="I392" i="21"/>
  <c r="I391" i="21"/>
  <c r="I390" i="21"/>
  <c r="I389" i="21"/>
  <c r="I388" i="21"/>
  <c r="I377" i="21"/>
  <c r="I387" i="21"/>
  <c r="I386" i="21"/>
  <c r="I385" i="21"/>
  <c r="I384" i="21"/>
  <c r="I383" i="21"/>
  <c r="I382" i="21"/>
  <c r="I381" i="21"/>
  <c r="I380" i="21"/>
  <c r="I379" i="21"/>
  <c r="I378" i="21"/>
  <c r="I372" i="21"/>
  <c r="I373" i="21"/>
  <c r="I374" i="21"/>
  <c r="I375" i="21"/>
  <c r="I376" i="21"/>
  <c r="H376" i="21"/>
  <c r="H375" i="21"/>
  <c r="H374" i="21"/>
  <c r="H373" i="21"/>
  <c r="H372" i="21"/>
  <c r="G372" i="21"/>
  <c r="W25" i="11"/>
  <c r="W24" i="11"/>
  <c r="W23" i="11"/>
  <c r="W22" i="11"/>
  <c r="F24" i="11"/>
  <c r="G24" i="11" s="1"/>
  <c r="J391" i="21" s="1"/>
  <c r="F22" i="11"/>
  <c r="G22" i="11" s="1"/>
  <c r="J389" i="21" s="1"/>
  <c r="F25" i="11"/>
  <c r="G25" i="11" s="1"/>
  <c r="J392" i="21" s="1"/>
  <c r="D25" i="11"/>
  <c r="X25" i="11" s="1"/>
  <c r="C25" i="11"/>
  <c r="V25" i="11" s="1"/>
  <c r="D24" i="11"/>
  <c r="X24" i="11" s="1"/>
  <c r="C24" i="11"/>
  <c r="V24" i="11" s="1"/>
  <c r="F23" i="11"/>
  <c r="G23" i="11" s="1"/>
  <c r="J390" i="21" s="1"/>
  <c r="D23" i="11"/>
  <c r="X23" i="11" s="1"/>
  <c r="C23" i="11"/>
  <c r="V23" i="11" s="1"/>
  <c r="D22" i="11"/>
  <c r="X22" i="11" s="1"/>
  <c r="C22" i="11"/>
  <c r="V22" i="11" s="1"/>
  <c r="C21" i="11"/>
  <c r="D21" i="11"/>
  <c r="F21" i="11"/>
  <c r="G21" i="11" s="1"/>
  <c r="J388" i="21" s="1"/>
  <c r="H44" i="21"/>
  <c r="AT377" i="10"/>
  <c r="AD377" i="10"/>
  <c r="AU211" i="10"/>
  <c r="AU132" i="10"/>
  <c r="AU147" i="10"/>
  <c r="AU144" i="10"/>
  <c r="AU296" i="10"/>
  <c r="AU419" i="10"/>
  <c r="AU244" i="10"/>
  <c r="AU187" i="10"/>
  <c r="X175" i="10" s="1"/>
  <c r="AU153" i="10"/>
  <c r="AU251" i="10"/>
  <c r="AU253" i="10"/>
  <c r="AU343" i="10"/>
  <c r="AU186" i="10"/>
  <c r="AU117" i="10"/>
  <c r="AU120" i="10"/>
  <c r="AU125" i="10"/>
  <c r="AU119" i="10"/>
  <c r="AU123" i="10"/>
  <c r="AU122" i="10"/>
  <c r="AU121" i="10"/>
  <c r="AU118" i="10"/>
  <c r="AU72" i="10"/>
  <c r="AT124" i="10"/>
  <c r="AS17" i="10"/>
  <c r="AV211" i="10"/>
  <c r="AV132" i="10"/>
  <c r="AV147" i="10"/>
  <c r="AV144" i="10"/>
  <c r="AV296" i="10"/>
  <c r="AV419" i="10"/>
  <c r="AV244" i="10"/>
  <c r="AV187" i="10"/>
  <c r="AV153" i="10"/>
  <c r="AV251" i="10"/>
  <c r="AV253" i="10"/>
  <c r="AV343" i="10"/>
  <c r="AV186" i="10"/>
  <c r="AV377" i="10"/>
  <c r="AV17" i="10"/>
  <c r="AV117" i="10"/>
  <c r="AV120" i="10"/>
  <c r="AV125" i="10"/>
  <c r="AV119" i="10"/>
  <c r="AV123" i="10"/>
  <c r="AV122" i="10"/>
  <c r="AV121" i="10"/>
  <c r="AV118" i="10"/>
  <c r="AV124" i="10"/>
  <c r="AV72" i="10"/>
  <c r="AV301" i="10"/>
  <c r="AV364" i="10"/>
  <c r="AV354" i="10"/>
  <c r="AD211" i="10"/>
  <c r="AD132" i="10"/>
  <c r="AD147" i="10"/>
  <c r="AD144" i="10"/>
  <c r="AD296" i="10"/>
  <c r="AD419" i="10"/>
  <c r="AD244" i="10"/>
  <c r="AD187" i="10"/>
  <c r="AD153" i="10"/>
  <c r="AD251" i="10"/>
  <c r="AD253" i="10"/>
  <c r="AD343" i="10"/>
  <c r="AD186" i="10"/>
  <c r="AD117" i="10"/>
  <c r="AD120" i="10"/>
  <c r="AD125" i="10"/>
  <c r="AD119" i="10"/>
  <c r="AD123" i="10"/>
  <c r="AD122" i="10"/>
  <c r="AD121" i="10"/>
  <c r="AD118" i="10"/>
  <c r="AD72" i="10"/>
  <c r="AD17" i="10"/>
  <c r="AD124" i="10"/>
  <c r="H298" i="21"/>
  <c r="G298" i="21" s="1"/>
  <c r="G299" i="21" s="1"/>
  <c r="D28" i="12"/>
  <c r="F28" i="12"/>
  <c r="J298" i="21" s="1"/>
  <c r="H28" i="12"/>
  <c r="I298" i="21" s="1"/>
  <c r="H27" i="12"/>
  <c r="T34" i="12"/>
  <c r="H262" i="21"/>
  <c r="H261" i="21"/>
  <c r="H260" i="21"/>
  <c r="S83" i="16"/>
  <c r="H263" i="21" s="1"/>
  <c r="S81" i="16"/>
  <c r="S79" i="16"/>
  <c r="S77" i="16"/>
  <c r="S75" i="16"/>
  <c r="H259" i="21" s="1"/>
  <c r="S82" i="16"/>
  <c r="H81" i="16" s="1"/>
  <c r="F81" i="16" s="1"/>
  <c r="J263" i="21" s="1"/>
  <c r="S80" i="16"/>
  <c r="H80" i="16" s="1"/>
  <c r="F80" i="16" s="1"/>
  <c r="J262" i="21" s="1"/>
  <c r="S78" i="16"/>
  <c r="H79" i="16" s="1"/>
  <c r="F79" i="16" s="1"/>
  <c r="J261" i="21" s="1"/>
  <c r="S76" i="16"/>
  <c r="H78" i="16" s="1"/>
  <c r="F78" i="16" s="1"/>
  <c r="J260" i="21" s="1"/>
  <c r="S74" i="16"/>
  <c r="H77" i="16" s="1"/>
  <c r="F77" i="16" s="1"/>
  <c r="J259" i="21" s="1"/>
  <c r="T73" i="16"/>
  <c r="H71" i="16" s="1"/>
  <c r="I258" i="21" s="1"/>
  <c r="H258" i="21"/>
  <c r="H257" i="21"/>
  <c r="H256" i="21"/>
  <c r="H255" i="21"/>
  <c r="H70" i="16"/>
  <c r="K70" i="16" s="1"/>
  <c r="H69" i="16"/>
  <c r="K69" i="16" s="1"/>
  <c r="E71" i="16"/>
  <c r="E70" i="16"/>
  <c r="E69" i="16"/>
  <c r="E68" i="16"/>
  <c r="H68" i="16"/>
  <c r="F68" i="16" s="1"/>
  <c r="J255" i="21" s="1"/>
  <c r="DL56" i="17"/>
  <c r="BB132" i="20"/>
  <c r="AS132" i="20"/>
  <c r="H12" i="5"/>
  <c r="H37" i="21"/>
  <c r="H38" i="21"/>
  <c r="H36" i="21"/>
  <c r="H27" i="5"/>
  <c r="F27" i="5" s="1"/>
  <c r="J37" i="21" s="1"/>
  <c r="H19" i="13"/>
  <c r="F19" i="13" s="1"/>
  <c r="K28" i="5"/>
  <c r="H28" i="5"/>
  <c r="I38" i="21" s="1"/>
  <c r="AD301" i="10"/>
  <c r="AT301" i="10"/>
  <c r="AT364" i="10"/>
  <c r="AT354" i="10"/>
  <c r="AD364" i="10"/>
  <c r="AD354" i="10"/>
  <c r="AF301" i="10"/>
  <c r="AF364" i="10"/>
  <c r="AF354" i="10"/>
  <c r="H53" i="21"/>
  <c r="H52" i="21"/>
  <c r="G52" i="21" s="1"/>
  <c r="H50" i="21"/>
  <c r="H48" i="21"/>
  <c r="H47" i="21"/>
  <c r="H46" i="21"/>
  <c r="H45" i="21"/>
  <c r="H43" i="21"/>
  <c r="H42" i="21"/>
  <c r="H41" i="21"/>
  <c r="H39" i="21"/>
  <c r="H35" i="21"/>
  <c r="H34" i="21"/>
  <c r="H25" i="21"/>
  <c r="H21" i="21"/>
  <c r="H17" i="21"/>
  <c r="H16" i="21"/>
  <c r="H15" i="21"/>
  <c r="H14" i="21"/>
  <c r="H11" i="21"/>
  <c r="H10" i="21"/>
  <c r="H9" i="21"/>
  <c r="H8" i="21"/>
  <c r="H7" i="21"/>
  <c r="H83" i="21"/>
  <c r="G83" i="21" s="1"/>
  <c r="H84" i="21"/>
  <c r="G84" i="21" s="1"/>
  <c r="H85" i="21"/>
  <c r="H86" i="21"/>
  <c r="G86" i="21" s="1"/>
  <c r="H87" i="21"/>
  <c r="H88" i="21"/>
  <c r="H89" i="21"/>
  <c r="H90" i="21"/>
  <c r="H91" i="21"/>
  <c r="H92" i="21"/>
  <c r="H93" i="21"/>
  <c r="G93" i="21" s="1"/>
  <c r="H94" i="21"/>
  <c r="G94" i="21" s="1"/>
  <c r="H95" i="21"/>
  <c r="G95" i="21" s="1"/>
  <c r="H96" i="21"/>
  <c r="G96" i="21" s="1"/>
  <c r="H97" i="21"/>
  <c r="H98" i="21"/>
  <c r="G98" i="21" s="1"/>
  <c r="H99" i="21"/>
  <c r="H100" i="21"/>
  <c r="G100" i="21" s="1"/>
  <c r="H101" i="21"/>
  <c r="G101" i="21" s="1"/>
  <c r="I101" i="21"/>
  <c r="H122" i="21"/>
  <c r="G122" i="21" s="1"/>
  <c r="H123" i="21"/>
  <c r="G123" i="21" s="1"/>
  <c r="H124" i="21"/>
  <c r="G124" i="21" s="1"/>
  <c r="H132" i="21"/>
  <c r="H133" i="21"/>
  <c r="G133" i="21" s="1"/>
  <c r="G140" i="21"/>
  <c r="G146" i="21"/>
  <c r="G152" i="21"/>
  <c r="G158" i="21"/>
  <c r="H160" i="21"/>
  <c r="G160" i="21" s="1"/>
  <c r="I160" i="21"/>
  <c r="I203" i="21"/>
  <c r="H209" i="21"/>
  <c r="G209" i="21" s="1"/>
  <c r="H210" i="21"/>
  <c r="G210" i="21" s="1"/>
  <c r="H211" i="21"/>
  <c r="G211" i="21" s="1"/>
  <c r="H212" i="21"/>
  <c r="G212" i="21" s="1"/>
  <c r="H214" i="21"/>
  <c r="G214" i="21" s="1"/>
  <c r="H215" i="21"/>
  <c r="H217" i="21"/>
  <c r="G217" i="21" s="1"/>
  <c r="H219" i="21"/>
  <c r="H220" i="21"/>
  <c r="H223" i="21"/>
  <c r="G223" i="21" s="1"/>
  <c r="H224" i="21"/>
  <c r="G224" i="21" s="1"/>
  <c r="H227" i="21"/>
  <c r="G227" i="21" s="1"/>
  <c r="H246" i="21"/>
  <c r="G246" i="21" s="1"/>
  <c r="H247" i="21"/>
  <c r="H248" i="21"/>
  <c r="G248" i="21" s="1"/>
  <c r="H249" i="21"/>
  <c r="G249" i="21" s="1"/>
  <c r="H250" i="21"/>
  <c r="G250" i="21" s="1"/>
  <c r="H251" i="21"/>
  <c r="G251" i="21" s="1"/>
  <c r="H252" i="21"/>
  <c r="G252" i="21" s="1"/>
  <c r="H253" i="21"/>
  <c r="G253" i="21" s="1"/>
  <c r="H264" i="21"/>
  <c r="G264" i="21" s="1"/>
  <c r="H265" i="21"/>
  <c r="G265" i="21" s="1"/>
  <c r="H266" i="21"/>
  <c r="G266" i="21" s="1"/>
  <c r="H267" i="21"/>
  <c r="G267" i="21" s="1"/>
  <c r="H269" i="21"/>
  <c r="G269" i="21" s="1"/>
  <c r="H279" i="21"/>
  <c r="G279" i="21" s="1"/>
  <c r="H280" i="21"/>
  <c r="G280" i="21" s="1"/>
  <c r="H281" i="21"/>
  <c r="G281" i="21" s="1"/>
  <c r="H282" i="21"/>
  <c r="H285" i="21"/>
  <c r="G285" i="21" s="1"/>
  <c r="H286" i="21"/>
  <c r="G286" i="21" s="1"/>
  <c r="H287" i="21"/>
  <c r="G287" i="21" s="1"/>
  <c r="H288" i="21"/>
  <c r="G288" i="21" s="1"/>
  <c r="H289" i="21"/>
  <c r="G289" i="21" s="1"/>
  <c r="H290" i="21"/>
  <c r="G290" i="21" s="1"/>
  <c r="H291" i="21"/>
  <c r="G291" i="21" s="1"/>
  <c r="H292" i="21"/>
  <c r="H293" i="21"/>
  <c r="H294" i="21"/>
  <c r="H295" i="21"/>
  <c r="G295" i="21" s="1"/>
  <c r="H296" i="21"/>
  <c r="G296" i="21" s="1"/>
  <c r="H297" i="21"/>
  <c r="G297" i="21" s="1"/>
  <c r="H300" i="21"/>
  <c r="G300" i="21" s="1"/>
  <c r="H304" i="21"/>
  <c r="H301" i="21"/>
  <c r="H302" i="21"/>
  <c r="G302" i="21" s="1"/>
  <c r="H303" i="21"/>
  <c r="G303" i="21" s="1"/>
  <c r="H326" i="21"/>
  <c r="G326" i="21" s="1"/>
  <c r="I326" i="21"/>
  <c r="H330" i="21"/>
  <c r="G330" i="21" s="1"/>
  <c r="H331" i="21"/>
  <c r="G331" i="21" s="1"/>
  <c r="H332" i="21"/>
  <c r="G332" i="21" s="1"/>
  <c r="H333" i="21"/>
  <c r="G333" i="21" s="1"/>
  <c r="H334" i="21"/>
  <c r="G334" i="21" s="1"/>
  <c r="I334" i="21"/>
  <c r="H335" i="21"/>
  <c r="G335" i="21" s="1"/>
  <c r="I338" i="21"/>
  <c r="J341" i="21"/>
  <c r="J345" i="21"/>
  <c r="J349" i="21"/>
  <c r="H353" i="21"/>
  <c r="H354" i="21"/>
  <c r="H356" i="21"/>
  <c r="G356" i="21" s="1"/>
  <c r="H357" i="21"/>
  <c r="G357" i="21" s="1"/>
  <c r="H358" i="21"/>
  <c r="H359" i="21"/>
  <c r="H360" i="21"/>
  <c r="H361" i="21"/>
  <c r="H362" i="21"/>
  <c r="H363" i="21"/>
  <c r="H364" i="21"/>
  <c r="H365" i="21"/>
  <c r="H366" i="21"/>
  <c r="H367" i="21"/>
  <c r="H368" i="21"/>
  <c r="H369" i="21"/>
  <c r="J370" i="21"/>
  <c r="I458" i="21"/>
  <c r="J458" i="21"/>
  <c r="I459" i="21"/>
  <c r="J459" i="21"/>
  <c r="I460" i="21"/>
  <c r="J460" i="21"/>
  <c r="I461" i="21"/>
  <c r="J461" i="21"/>
  <c r="I462" i="21"/>
  <c r="J462" i="21"/>
  <c r="I463" i="21"/>
  <c r="J463" i="21"/>
  <c r="I464" i="21"/>
  <c r="J464" i="21"/>
  <c r="I465" i="21"/>
  <c r="J465" i="21"/>
  <c r="I466" i="21"/>
  <c r="J466" i="21"/>
  <c r="I467" i="21"/>
  <c r="J467" i="21"/>
  <c r="I468" i="21"/>
  <c r="J468" i="21"/>
  <c r="C1" i="21"/>
  <c r="F63" i="16"/>
  <c r="H245" i="21" s="1"/>
  <c r="G245" i="21" s="1"/>
  <c r="F62" i="16"/>
  <c r="H244" i="21" s="1"/>
  <c r="G244" i="21" s="1"/>
  <c r="F61" i="16"/>
  <c r="H243" i="21" s="1"/>
  <c r="G243" i="21" s="1"/>
  <c r="F59" i="16"/>
  <c r="H242" i="21" s="1"/>
  <c r="G242" i="21" s="1"/>
  <c r="F58" i="16"/>
  <c r="H241" i="21" s="1"/>
  <c r="G241" i="21" s="1"/>
  <c r="F57" i="16"/>
  <c r="H240" i="21" s="1"/>
  <c r="G240" i="21" s="1"/>
  <c r="F53" i="16"/>
  <c r="H239" i="21" s="1"/>
  <c r="G239" i="21" s="1"/>
  <c r="F52" i="16"/>
  <c r="H238" i="21" s="1"/>
  <c r="G238" i="21" s="1"/>
  <c r="F51" i="16"/>
  <c r="H237" i="21" s="1"/>
  <c r="G237" i="21" s="1"/>
  <c r="F49" i="16"/>
  <c r="H236" i="21" s="1"/>
  <c r="G236" i="21" s="1"/>
  <c r="F48" i="16"/>
  <c r="H235" i="21" s="1"/>
  <c r="G235" i="21" s="1"/>
  <c r="F47" i="16"/>
  <c r="H234" i="21" s="1"/>
  <c r="G234" i="21" s="1"/>
  <c r="F43" i="16"/>
  <c r="H233" i="21" s="1"/>
  <c r="G233" i="21" s="1"/>
  <c r="F42" i="16"/>
  <c r="H232" i="21" s="1"/>
  <c r="G232" i="21" s="1"/>
  <c r="F41" i="16"/>
  <c r="H231" i="21" s="1"/>
  <c r="G231" i="21" s="1"/>
  <c r="F39" i="16"/>
  <c r="H230" i="21" s="1"/>
  <c r="G230" i="21" s="1"/>
  <c r="F38" i="16"/>
  <c r="H229" i="21" s="1"/>
  <c r="G229" i="21" s="1"/>
  <c r="F37" i="16"/>
  <c r="H228" i="21" s="1"/>
  <c r="G228" i="21" s="1"/>
  <c r="AQ114" i="10"/>
  <c r="AQ370" i="10"/>
  <c r="AQ368" i="10"/>
  <c r="AQ77" i="10"/>
  <c r="AQ76" i="10"/>
  <c r="AQ128" i="10"/>
  <c r="AQ129" i="10"/>
  <c r="AQ12" i="10"/>
  <c r="AQ13" i="10"/>
  <c r="AQ93" i="10"/>
  <c r="AQ95" i="10"/>
  <c r="AQ96" i="10"/>
  <c r="AQ451" i="10"/>
  <c r="AQ16" i="10"/>
  <c r="AQ362" i="10"/>
  <c r="AQ329" i="10"/>
  <c r="AP473" i="10"/>
  <c r="AU114" i="10"/>
  <c r="AU12" i="10"/>
  <c r="AU96" i="10"/>
  <c r="AU311" i="10"/>
  <c r="AT77" i="10"/>
  <c r="AT76" i="10"/>
  <c r="AT11" i="10"/>
  <c r="AT93" i="10"/>
  <c r="AT95" i="10"/>
  <c r="AT334" i="10"/>
  <c r="AT327" i="10"/>
  <c r="AS370" i="10"/>
  <c r="AS368" i="10"/>
  <c r="AS128" i="10"/>
  <c r="AS129" i="10"/>
  <c r="AS13" i="10"/>
  <c r="AS451" i="10"/>
  <c r="AS16" i="10"/>
  <c r="AS362" i="10"/>
  <c r="AS329" i="10"/>
  <c r="AS417" i="10"/>
  <c r="AS115" i="10"/>
  <c r="AS199" i="10"/>
  <c r="AS347" i="10"/>
  <c r="AS200" i="10"/>
  <c r="AS42" i="10"/>
  <c r="AS40" i="10"/>
  <c r="AD396" i="10"/>
  <c r="AD473" i="10"/>
  <c r="AD466" i="10"/>
  <c r="AD389" i="10"/>
  <c r="AD231" i="10"/>
  <c r="AD232" i="10"/>
  <c r="AD306" i="10"/>
  <c r="AD77" i="10"/>
  <c r="AD76" i="10"/>
  <c r="AD11" i="10"/>
  <c r="AD93" i="10"/>
  <c r="AD95" i="10"/>
  <c r="AD334" i="10"/>
  <c r="AD327" i="10"/>
  <c r="AE11" i="10"/>
  <c r="AE76" i="10"/>
  <c r="AD370" i="10"/>
  <c r="AD368" i="10"/>
  <c r="AD128" i="10"/>
  <c r="AD129" i="10"/>
  <c r="AD13" i="10"/>
  <c r="AD451" i="10"/>
  <c r="AD16" i="10"/>
  <c r="AD362" i="10"/>
  <c r="AD329" i="10"/>
  <c r="AD417" i="10"/>
  <c r="AD115" i="10"/>
  <c r="AD199" i="10"/>
  <c r="AD347" i="10"/>
  <c r="AD200" i="10"/>
  <c r="AD42" i="10"/>
  <c r="AD40" i="10"/>
  <c r="AD114" i="10"/>
  <c r="AD12" i="10"/>
  <c r="AD96" i="10"/>
  <c r="AD311" i="10"/>
  <c r="AV114" i="10"/>
  <c r="AV370" i="10"/>
  <c r="AV368" i="10"/>
  <c r="AV77" i="10"/>
  <c r="AV76" i="10"/>
  <c r="AV128" i="10"/>
  <c r="AV129" i="10"/>
  <c r="AV12" i="10"/>
  <c r="AV11" i="10"/>
  <c r="AV13" i="10"/>
  <c r="AV93" i="10"/>
  <c r="AV95" i="10"/>
  <c r="AV96" i="10"/>
  <c r="AV451" i="10"/>
  <c r="AV16" i="10"/>
  <c r="AV362" i="10"/>
  <c r="AV329" i="10"/>
  <c r="AV334" i="10"/>
  <c r="AV417" i="10"/>
  <c r="AV115" i="10"/>
  <c r="AV199" i="10"/>
  <c r="AV327" i="10"/>
  <c r="AV347" i="10"/>
  <c r="AV200" i="10"/>
  <c r="AV42" i="10"/>
  <c r="AV40" i="10"/>
  <c r="AV311" i="10"/>
  <c r="AV71" i="10"/>
  <c r="AU71" i="10"/>
  <c r="AD71" i="10"/>
  <c r="AV306" i="10"/>
  <c r="AT306" i="10"/>
  <c r="AS470" i="10"/>
  <c r="AV470" i="10"/>
  <c r="AD470" i="10"/>
  <c r="AV396" i="10"/>
  <c r="AE396" i="10"/>
  <c r="AT396" i="10"/>
  <c r="AP466" i="10"/>
  <c r="AP389" i="10"/>
  <c r="AP231" i="10"/>
  <c r="AP232" i="10"/>
  <c r="AP305" i="10"/>
  <c r="AP341" i="10"/>
  <c r="AP303" i="10"/>
  <c r="AP309" i="10"/>
  <c r="AP310" i="10"/>
  <c r="AP308" i="10"/>
  <c r="AE473" i="10"/>
  <c r="AE389" i="10"/>
  <c r="AE231" i="10"/>
  <c r="AV473" i="10"/>
  <c r="AV466" i="10"/>
  <c r="AV389" i="10"/>
  <c r="AV231" i="10"/>
  <c r="AV232" i="10"/>
  <c r="AV305" i="10"/>
  <c r="AV341" i="10"/>
  <c r="AV303" i="10"/>
  <c r="AV309" i="10"/>
  <c r="AV310" i="10"/>
  <c r="AV308" i="10"/>
  <c r="AV133" i="10"/>
  <c r="AV131" i="10"/>
  <c r="AV33" i="10"/>
  <c r="AV426" i="10"/>
  <c r="AV212" i="10"/>
  <c r="AD305" i="10"/>
  <c r="AD341" i="10"/>
  <c r="AD303" i="10"/>
  <c r="AD309" i="10"/>
  <c r="AD310" i="10"/>
  <c r="AD308" i="10"/>
  <c r="AD133" i="10"/>
  <c r="AD131" i="10"/>
  <c r="AD33" i="10"/>
  <c r="AD426" i="10"/>
  <c r="AD212" i="10"/>
  <c r="AU305" i="10"/>
  <c r="AU341" i="10"/>
  <c r="AU303" i="10"/>
  <c r="AU309" i="10"/>
  <c r="AU310" i="10"/>
  <c r="AU308" i="10"/>
  <c r="AT473" i="10"/>
  <c r="AT466" i="10"/>
  <c r="AT389" i="10"/>
  <c r="AT231" i="10"/>
  <c r="AT232" i="10"/>
  <c r="AS133" i="10"/>
  <c r="AS131" i="10"/>
  <c r="AS33" i="10"/>
  <c r="AS426" i="10"/>
  <c r="AS212" i="10"/>
  <c r="E63" i="16"/>
  <c r="E62" i="16"/>
  <c r="E61" i="16"/>
  <c r="E59" i="16"/>
  <c r="E58" i="16"/>
  <c r="E57" i="16"/>
  <c r="E53" i="16"/>
  <c r="E52" i="16"/>
  <c r="E51" i="16"/>
  <c r="E49" i="16"/>
  <c r="E48" i="16"/>
  <c r="E47" i="16"/>
  <c r="E43" i="16"/>
  <c r="E42" i="16"/>
  <c r="E41" i="16"/>
  <c r="E39" i="16"/>
  <c r="E38" i="16"/>
  <c r="E37" i="16"/>
  <c r="G85" i="21" l="1"/>
  <c r="G87" i="21" s="1"/>
  <c r="G221" i="21"/>
  <c r="H324" i="21"/>
  <c r="H316" i="21"/>
  <c r="H317" i="21"/>
  <c r="H323" i="21"/>
  <c r="H315" i="21"/>
  <c r="H322" i="21"/>
  <c r="H314" i="21"/>
  <c r="H321" i="21"/>
  <c r="H313" i="21"/>
  <c r="H320" i="21"/>
  <c r="H325" i="21"/>
  <c r="H319" i="21"/>
  <c r="H312" i="21"/>
  <c r="H318" i="21"/>
  <c r="T66" i="12"/>
  <c r="H306" i="21"/>
  <c r="H311" i="21"/>
  <c r="H310" i="21"/>
  <c r="H309" i="21"/>
  <c r="H308" i="21"/>
  <c r="H307" i="21"/>
  <c r="H305" i="21"/>
  <c r="X119" i="10"/>
  <c r="X343" i="10"/>
  <c r="X466" i="10"/>
  <c r="X470" i="10"/>
  <c r="X341" i="10"/>
  <c r="X11" i="10"/>
  <c r="X133" i="10"/>
  <c r="X473" i="10"/>
  <c r="X296" i="10"/>
  <c r="X451" i="10"/>
  <c r="AW7" i="10"/>
  <c r="W69" i="15"/>
  <c r="X91" i="10"/>
  <c r="X40" i="10"/>
  <c r="X13" i="10"/>
  <c r="X120" i="10"/>
  <c r="X325" i="10"/>
  <c r="X316" i="10"/>
  <c r="I260" i="21"/>
  <c r="X72" i="10"/>
  <c r="I261" i="21"/>
  <c r="X196" i="10"/>
  <c r="X378" i="10"/>
  <c r="X14" i="10"/>
  <c r="X212" i="10"/>
  <c r="X303" i="10"/>
  <c r="X115" i="10"/>
  <c r="X116" i="10"/>
  <c r="X351" i="10"/>
  <c r="X327" i="10"/>
  <c r="X346" i="10"/>
  <c r="X121" i="10"/>
  <c r="X231" i="10"/>
  <c r="X125" i="10"/>
  <c r="X295" i="10"/>
  <c r="X118" i="10"/>
  <c r="X321" i="10"/>
  <c r="X93" i="10"/>
  <c r="X117" i="10"/>
  <c r="X124" i="10"/>
  <c r="X15" i="10"/>
  <c r="X112" i="10"/>
  <c r="X185" i="10"/>
  <c r="X111" i="10"/>
  <c r="X173" i="10"/>
  <c r="X213" i="10"/>
  <c r="X309" i="10"/>
  <c r="X16" i="10"/>
  <c r="X114" i="10"/>
  <c r="X307" i="10"/>
  <c r="X232" i="10"/>
  <c r="C39" i="1"/>
  <c r="E39" i="1" s="1"/>
  <c r="H392" i="21"/>
  <c r="H389" i="21"/>
  <c r="H391" i="21"/>
  <c r="H390" i="21"/>
  <c r="H388" i="21"/>
  <c r="V41" i="11"/>
  <c r="K71" i="16"/>
  <c r="F71" i="16"/>
  <c r="J258" i="21" s="1"/>
  <c r="G282" i="21"/>
  <c r="B28" i="12"/>
  <c r="Y12" i="12"/>
  <c r="I297" i="21"/>
  <c r="I263" i="21"/>
  <c r="I262" i="21"/>
  <c r="I259" i="21"/>
  <c r="G247" i="21"/>
  <c r="I255" i="21"/>
  <c r="I257" i="21"/>
  <c r="I256" i="21"/>
  <c r="F69" i="16"/>
  <c r="J256" i="21" s="1"/>
  <c r="K68" i="16"/>
  <c r="F70" i="16"/>
  <c r="J257" i="21" s="1"/>
  <c r="J242" i="21"/>
  <c r="J238" i="21"/>
  <c r="J234" i="21"/>
  <c r="J230" i="21"/>
  <c r="J245" i="21"/>
  <c r="J241" i="21"/>
  <c r="J237" i="21"/>
  <c r="J233" i="21"/>
  <c r="J229" i="21"/>
  <c r="J244" i="21"/>
  <c r="J240" i="21"/>
  <c r="J236" i="21"/>
  <c r="J232" i="21"/>
  <c r="J228" i="21"/>
  <c r="J243" i="21"/>
  <c r="J239" i="21"/>
  <c r="J235" i="21"/>
  <c r="J231" i="21"/>
  <c r="I37" i="21"/>
  <c r="G292" i="21"/>
  <c r="G293" i="21" s="1"/>
  <c r="G294" i="21" s="1"/>
  <c r="G358" i="21"/>
  <c r="AV285" i="10"/>
  <c r="AV190" i="10"/>
  <c r="AV205" i="10"/>
  <c r="AV208" i="10"/>
  <c r="AV467" i="10"/>
  <c r="AV471" i="10"/>
  <c r="AV465" i="10"/>
  <c r="AV469" i="10"/>
  <c r="AV468" i="10"/>
  <c r="AV472" i="10"/>
  <c r="AV444" i="10"/>
  <c r="AV449" i="10"/>
  <c r="AV446" i="10"/>
  <c r="AV442" i="10"/>
  <c r="AV398" i="10"/>
  <c r="AV397" i="10"/>
  <c r="AV394" i="10"/>
  <c r="AV395" i="10"/>
  <c r="AS205" i="10"/>
  <c r="AS208" i="10"/>
  <c r="AD285" i="10"/>
  <c r="AD190" i="10"/>
  <c r="AD205" i="10"/>
  <c r="AD208" i="10"/>
  <c r="AT285" i="10"/>
  <c r="AT190" i="10"/>
  <c r="X177" i="10" s="1"/>
  <c r="AG467" i="10"/>
  <c r="AG471" i="10"/>
  <c r="AG465" i="10"/>
  <c r="AG469" i="10"/>
  <c r="AG468" i="10"/>
  <c r="AG472" i="10"/>
  <c r="AG444" i="10"/>
  <c r="AG449" i="10"/>
  <c r="AG446" i="10"/>
  <c r="AG442" i="10"/>
  <c r="AE469" i="10"/>
  <c r="AE472" i="10"/>
  <c r="AE449" i="10"/>
  <c r="AE446" i="10"/>
  <c r="AD467" i="10"/>
  <c r="AD471" i="10"/>
  <c r="AD465" i="10"/>
  <c r="AD469" i="10"/>
  <c r="AD468" i="10"/>
  <c r="AD472" i="10"/>
  <c r="AD444" i="10"/>
  <c r="AD449" i="10"/>
  <c r="AD446" i="10"/>
  <c r="AD442" i="10"/>
  <c r="AT467" i="10"/>
  <c r="AT471" i="10"/>
  <c r="AT465" i="10"/>
  <c r="AT469" i="10"/>
  <c r="AT468" i="10"/>
  <c r="AT472" i="10"/>
  <c r="AT444" i="10"/>
  <c r="AT449" i="10"/>
  <c r="AT446" i="10"/>
  <c r="AT442" i="10"/>
  <c r="AD398" i="10"/>
  <c r="AD397" i="10"/>
  <c r="AD394" i="10"/>
  <c r="AD395" i="10"/>
  <c r="AE398" i="10"/>
  <c r="AE397" i="10"/>
  <c r="AE394" i="10"/>
  <c r="AG398" i="10"/>
  <c r="AG397" i="10"/>
  <c r="AG394" i="10"/>
  <c r="AG395" i="10"/>
  <c r="AT398" i="10"/>
  <c r="AT397" i="10"/>
  <c r="AT394" i="10"/>
  <c r="AT395" i="10"/>
  <c r="AV24" i="10"/>
  <c r="AV20" i="10"/>
  <c r="AV31" i="10"/>
  <c r="AV26" i="10"/>
  <c r="AV32" i="10"/>
  <c r="AT24" i="10"/>
  <c r="AT20" i="10"/>
  <c r="AT31" i="10"/>
  <c r="X30" i="10" s="1"/>
  <c r="AT26" i="10"/>
  <c r="AT32" i="10"/>
  <c r="AD24" i="10"/>
  <c r="AD20" i="10"/>
  <c r="AD31" i="10"/>
  <c r="AD26" i="10"/>
  <c r="AD32" i="10"/>
  <c r="AE24" i="10"/>
  <c r="AE26" i="10"/>
  <c r="AE32" i="10"/>
  <c r="AG24" i="10"/>
  <c r="AG20" i="10"/>
  <c r="AG31" i="10"/>
  <c r="AG26" i="10"/>
  <c r="AG32" i="10"/>
  <c r="AV337" i="10"/>
  <c r="AV336" i="10"/>
  <c r="AV47" i="10"/>
  <c r="AV315" i="10"/>
  <c r="AV19" i="10"/>
  <c r="AV216" i="10"/>
  <c r="AV424" i="10"/>
  <c r="AV390" i="10"/>
  <c r="AV382" i="10"/>
  <c r="AV130" i="10"/>
  <c r="AV79" i="10"/>
  <c r="AV416" i="10"/>
  <c r="AV97" i="10"/>
  <c r="AV180" i="10"/>
  <c r="AV152" i="10"/>
  <c r="AV299" i="10"/>
  <c r="AV65" i="10"/>
  <c r="AV209" i="10"/>
  <c r="AV92" i="10"/>
  <c r="AV201" i="10"/>
  <c r="AV108" i="10"/>
  <c r="AV445" i="10"/>
  <c r="AV409" i="10"/>
  <c r="AV411" i="10"/>
  <c r="AV405" i="10"/>
  <c r="AV412" i="10"/>
  <c r="AV410" i="10"/>
  <c r="AV404" i="10"/>
  <c r="AV408" i="10"/>
  <c r="AV406" i="10"/>
  <c r="AV407" i="10"/>
  <c r="AV183" i="10"/>
  <c r="AV462" i="10"/>
  <c r="AV459" i="10"/>
  <c r="AV460" i="10"/>
  <c r="AV463" i="10"/>
  <c r="AV464" i="10"/>
  <c r="AV461" i="10"/>
  <c r="AV458" i="10"/>
  <c r="AV457" i="10"/>
  <c r="AV456" i="10"/>
  <c r="AV391" i="10"/>
  <c r="AV53" i="10"/>
  <c r="AV61" i="10"/>
  <c r="AV54" i="10"/>
  <c r="AV50" i="10"/>
  <c r="AV60" i="10"/>
  <c r="AV59" i="10"/>
  <c r="AV57" i="10"/>
  <c r="AV58" i="10"/>
  <c r="AV56" i="10"/>
  <c r="AV55" i="10"/>
  <c r="AV52" i="10"/>
  <c r="AV51" i="10"/>
  <c r="AV49" i="10"/>
  <c r="AV101" i="10"/>
  <c r="AV106" i="10"/>
  <c r="AV103" i="10"/>
  <c r="AV105" i="10"/>
  <c r="AV104" i="10"/>
  <c r="AV102" i="10"/>
  <c r="AV168" i="10"/>
  <c r="AV165" i="10"/>
  <c r="AV162" i="10"/>
  <c r="AV163" i="10"/>
  <c r="AV166" i="10"/>
  <c r="AV164" i="10"/>
  <c r="AV167" i="10"/>
  <c r="AV88" i="10"/>
  <c r="AV90" i="10"/>
  <c r="X90" i="10" s="1"/>
  <c r="AV85" i="10"/>
  <c r="AV89" i="10"/>
  <c r="AV86" i="10"/>
  <c r="AV84" i="10"/>
  <c r="AV87" i="10"/>
  <c r="AV113" i="10"/>
  <c r="X113" i="10" s="1"/>
  <c r="AV371" i="10"/>
  <c r="AV374" i="10"/>
  <c r="AV373" i="10"/>
  <c r="AV372" i="10"/>
  <c r="AV476" i="10"/>
  <c r="AV478" i="10"/>
  <c r="AV479" i="10"/>
  <c r="AV477" i="10"/>
  <c r="AV475" i="10"/>
  <c r="AV480" i="10"/>
  <c r="AV474" i="10"/>
  <c r="AV481" i="10"/>
  <c r="AV441" i="10"/>
  <c r="AV440" i="10"/>
  <c r="AV438" i="10"/>
  <c r="AV443" i="10"/>
  <c r="AV450" i="10"/>
  <c r="AV448" i="10"/>
  <c r="AV447" i="10"/>
  <c r="AV223" i="10"/>
  <c r="AV228" i="10"/>
  <c r="AV222" i="10"/>
  <c r="AV221" i="10"/>
  <c r="AV226" i="10"/>
  <c r="AV224" i="10"/>
  <c r="AV225" i="10"/>
  <c r="AV227" i="10"/>
  <c r="AV29" i="10"/>
  <c r="AV27" i="10"/>
  <c r="AV25" i="10"/>
  <c r="AV21" i="10"/>
  <c r="AV23" i="10"/>
  <c r="AV22" i="10"/>
  <c r="AV272" i="10"/>
  <c r="AV259" i="10"/>
  <c r="AE411" i="10"/>
  <c r="AE405" i="10"/>
  <c r="AE412" i="10"/>
  <c r="AE410" i="10"/>
  <c r="AE404" i="10"/>
  <c r="AE408" i="10"/>
  <c r="AE407" i="10"/>
  <c r="AE462" i="10"/>
  <c r="AE459" i="10"/>
  <c r="AE460" i="10"/>
  <c r="AE50" i="10"/>
  <c r="AE440" i="10"/>
  <c r="AE223" i="10"/>
  <c r="AE228" i="10"/>
  <c r="AD315" i="10"/>
  <c r="AD19" i="10"/>
  <c r="AD216" i="10"/>
  <c r="AD424" i="10"/>
  <c r="AD390" i="10"/>
  <c r="AD382" i="10"/>
  <c r="AD130" i="10"/>
  <c r="X122" i="10" s="1"/>
  <c r="AD79" i="10"/>
  <c r="AD92" i="10"/>
  <c r="AD201" i="10"/>
  <c r="AD108" i="10"/>
  <c r="AD445" i="10"/>
  <c r="AD464" i="10"/>
  <c r="AD461" i="10"/>
  <c r="AD458" i="10"/>
  <c r="AD457" i="10"/>
  <c r="AD456" i="10"/>
  <c r="AD60" i="10"/>
  <c r="AD59" i="10"/>
  <c r="AD57" i="10"/>
  <c r="AD58" i="10"/>
  <c r="AD56" i="10"/>
  <c r="AD55" i="10"/>
  <c r="AD52" i="10"/>
  <c r="AD51" i="10"/>
  <c r="AD49" i="10"/>
  <c r="AD101" i="10"/>
  <c r="AD106" i="10"/>
  <c r="AD103" i="10"/>
  <c r="AD105" i="10"/>
  <c r="AD104" i="10"/>
  <c r="AD102" i="10"/>
  <c r="AD164" i="10"/>
  <c r="AD167" i="10"/>
  <c r="AD89" i="10"/>
  <c r="AD86" i="10"/>
  <c r="AD84" i="10"/>
  <c r="AD87" i="10"/>
  <c r="AD478" i="10"/>
  <c r="AD479" i="10"/>
  <c r="AD477" i="10"/>
  <c r="AD475" i="10"/>
  <c r="AD480" i="10"/>
  <c r="AD474" i="10"/>
  <c r="AD481" i="10"/>
  <c r="AD438" i="10"/>
  <c r="AD443" i="10"/>
  <c r="AD450" i="10"/>
  <c r="AD448" i="10"/>
  <c r="AD447" i="10"/>
  <c r="AD226" i="10"/>
  <c r="AD224" i="10"/>
  <c r="AD225" i="10"/>
  <c r="AD227" i="10"/>
  <c r="AD25" i="10"/>
  <c r="AD21" i="10"/>
  <c r="AD23" i="10"/>
  <c r="AD22" i="10"/>
  <c r="AD416" i="10"/>
  <c r="AD97" i="10"/>
  <c r="AD180" i="10"/>
  <c r="AD152" i="10"/>
  <c r="AD299" i="10"/>
  <c r="AD65" i="10"/>
  <c r="AD209" i="10"/>
  <c r="AD409" i="10"/>
  <c r="AD411" i="10"/>
  <c r="AD405" i="10"/>
  <c r="AD183" i="10"/>
  <c r="AD391" i="10"/>
  <c r="AD53" i="10"/>
  <c r="AD61" i="10"/>
  <c r="AD54" i="10"/>
  <c r="AD168" i="10"/>
  <c r="AD165" i="10"/>
  <c r="AD162" i="10"/>
  <c r="AD166" i="10"/>
  <c r="AD88" i="10"/>
  <c r="AD90" i="10"/>
  <c r="AD85" i="10"/>
  <c r="AD113" i="10"/>
  <c r="AD371" i="10"/>
  <c r="AD374" i="10"/>
  <c r="AD476" i="10"/>
  <c r="AD441" i="10"/>
  <c r="AD222" i="10"/>
  <c r="AD221" i="10"/>
  <c r="AD29" i="10"/>
  <c r="AD27" i="10"/>
  <c r="AD337" i="10"/>
  <c r="AD336" i="10"/>
  <c r="AD47" i="10"/>
  <c r="AD412" i="10"/>
  <c r="AD410" i="10"/>
  <c r="AD404" i="10"/>
  <c r="AD408" i="10"/>
  <c r="AD406" i="10"/>
  <c r="AD407" i="10"/>
  <c r="AD462" i="10"/>
  <c r="AD459" i="10"/>
  <c r="AD460" i="10"/>
  <c r="AD463" i="10"/>
  <c r="AD50" i="10"/>
  <c r="AD163" i="10"/>
  <c r="AD373" i="10"/>
  <c r="AD372" i="10"/>
  <c r="AD440" i="10"/>
  <c r="AD223" i="10"/>
  <c r="AD228" i="10"/>
  <c r="AD272" i="10"/>
  <c r="AD259" i="10"/>
  <c r="AD243" i="10"/>
  <c r="AO336" i="10"/>
  <c r="AO47" i="10"/>
  <c r="AO315" i="10"/>
  <c r="AO19" i="10"/>
  <c r="AO216" i="10"/>
  <c r="AO424" i="10"/>
  <c r="AO390" i="10"/>
  <c r="AO382" i="10"/>
  <c r="AO130" i="10"/>
  <c r="AO79" i="10"/>
  <c r="AO337" i="10"/>
  <c r="AN416" i="10"/>
  <c r="AN97" i="10"/>
  <c r="AN180" i="10"/>
  <c r="AN152" i="10"/>
  <c r="AN299" i="10"/>
  <c r="AN65" i="10"/>
  <c r="AN209" i="10"/>
  <c r="AN92" i="10"/>
  <c r="AN201" i="10"/>
  <c r="AN108" i="10"/>
  <c r="AN445" i="10"/>
  <c r="AM409" i="10"/>
  <c r="AM411" i="10"/>
  <c r="AM405" i="10"/>
  <c r="AM412" i="10"/>
  <c r="AM410" i="10"/>
  <c r="AM404" i="10"/>
  <c r="AM408" i="10"/>
  <c r="AM406" i="10"/>
  <c r="AM407" i="10"/>
  <c r="AM183" i="10"/>
  <c r="AM462" i="10"/>
  <c r="AM459" i="10"/>
  <c r="AM460" i="10"/>
  <c r="AM463" i="10"/>
  <c r="AM464" i="10"/>
  <c r="AM461" i="10"/>
  <c r="AM458" i="10"/>
  <c r="AM457" i="10"/>
  <c r="AM456" i="10"/>
  <c r="AM391" i="10"/>
  <c r="AL53" i="10"/>
  <c r="AL61" i="10"/>
  <c r="AL54" i="10"/>
  <c r="AL50" i="10"/>
  <c r="AL60" i="10"/>
  <c r="AL59" i="10"/>
  <c r="AL57" i="10"/>
  <c r="AL58" i="10"/>
  <c r="AL56" i="10"/>
  <c r="AL55" i="10"/>
  <c r="AL52" i="10"/>
  <c r="AL51" i="10"/>
  <c r="AL49" i="10"/>
  <c r="AL101" i="10"/>
  <c r="AL106" i="10"/>
  <c r="AL103" i="10"/>
  <c r="AL105" i="10"/>
  <c r="AL104" i="10"/>
  <c r="AL102" i="10"/>
  <c r="AL168" i="10"/>
  <c r="AL165" i="10"/>
  <c r="AL162" i="10"/>
  <c r="AL163" i="10"/>
  <c r="AL166" i="10"/>
  <c r="AL164" i="10"/>
  <c r="AL167" i="10"/>
  <c r="AL88" i="10"/>
  <c r="AL90" i="10"/>
  <c r="AL85" i="10"/>
  <c r="AL89" i="10"/>
  <c r="AL86" i="10"/>
  <c r="AL84" i="10"/>
  <c r="AL87" i="10"/>
  <c r="AK372" i="10"/>
  <c r="AK113" i="10"/>
  <c r="AK371" i="10"/>
  <c r="AK374" i="10"/>
  <c r="AK373" i="10"/>
  <c r="AJ476" i="10"/>
  <c r="AJ478" i="10"/>
  <c r="AJ479" i="10"/>
  <c r="AJ477" i="10"/>
  <c r="AJ475" i="10"/>
  <c r="AJ480" i="10"/>
  <c r="AJ474" i="10"/>
  <c r="AJ481" i="10"/>
  <c r="AJ441" i="10"/>
  <c r="AJ440" i="10"/>
  <c r="AJ438" i="10"/>
  <c r="AJ443" i="10"/>
  <c r="AJ450" i="10"/>
  <c r="AJ448" i="10"/>
  <c r="AJ447" i="10"/>
  <c r="AJ223" i="10"/>
  <c r="AJ228" i="10"/>
  <c r="AJ222" i="10"/>
  <c r="AJ221" i="10"/>
  <c r="AJ226" i="10"/>
  <c r="AJ224" i="10"/>
  <c r="AJ225" i="10"/>
  <c r="AJ227" i="10"/>
  <c r="AJ29" i="10"/>
  <c r="AJ27" i="10"/>
  <c r="AJ25" i="10"/>
  <c r="AJ21" i="10"/>
  <c r="AJ23" i="10"/>
  <c r="AJ22" i="10"/>
  <c r="AI300" i="10"/>
  <c r="V4" i="3"/>
  <c r="AU416" i="10"/>
  <c r="AU97" i="10"/>
  <c r="AU180" i="10"/>
  <c r="AU152" i="10"/>
  <c r="AU299" i="10"/>
  <c r="AU65" i="10"/>
  <c r="AU209" i="10"/>
  <c r="AU409" i="10"/>
  <c r="AU411" i="10"/>
  <c r="AU405" i="10"/>
  <c r="AU183" i="10"/>
  <c r="AU391" i="10"/>
  <c r="AU53" i="10"/>
  <c r="AU61" i="10"/>
  <c r="AU54" i="10"/>
  <c r="AU101" i="10"/>
  <c r="AU168" i="10"/>
  <c r="AU165" i="10"/>
  <c r="AU162" i="10"/>
  <c r="AU166" i="10"/>
  <c r="AU88" i="10"/>
  <c r="AU90" i="10"/>
  <c r="AU85" i="10"/>
  <c r="AU113" i="10"/>
  <c r="AU371" i="10"/>
  <c r="X329" i="10" s="1"/>
  <c r="AU374" i="10"/>
  <c r="AU476" i="10"/>
  <c r="AU441" i="10"/>
  <c r="AU222" i="10"/>
  <c r="X222" i="10" s="1"/>
  <c r="AU221" i="10"/>
  <c r="AU29" i="10"/>
  <c r="AU27" i="10"/>
  <c r="AS315" i="10"/>
  <c r="AS19" i="10"/>
  <c r="AS216" i="10"/>
  <c r="AS424" i="10"/>
  <c r="AS390" i="10"/>
  <c r="AS382" i="10"/>
  <c r="AS130" i="10"/>
  <c r="AS79" i="10"/>
  <c r="AS92" i="10"/>
  <c r="AS201" i="10"/>
  <c r="AS108" i="10"/>
  <c r="AS445" i="10"/>
  <c r="AS464" i="10"/>
  <c r="AS461" i="10"/>
  <c r="AS458" i="10"/>
  <c r="AS457" i="10"/>
  <c r="AS456" i="10"/>
  <c r="X456" i="10" s="1"/>
  <c r="AS60" i="10"/>
  <c r="AS59" i="10"/>
  <c r="AS57" i="10"/>
  <c r="AS58" i="10"/>
  <c r="AS56" i="10"/>
  <c r="AS55" i="10"/>
  <c r="AS52" i="10"/>
  <c r="AS51" i="10"/>
  <c r="AS49" i="10"/>
  <c r="AS106" i="10"/>
  <c r="AS103" i="10"/>
  <c r="AS105" i="10"/>
  <c r="AS104" i="10"/>
  <c r="AS102" i="10"/>
  <c r="AS164" i="10"/>
  <c r="AS167" i="10"/>
  <c r="AS89" i="10"/>
  <c r="AS86" i="10"/>
  <c r="AS84" i="10"/>
  <c r="AS87" i="10"/>
  <c r="AS478" i="10"/>
  <c r="X478" i="10" s="1"/>
  <c r="AS479" i="10"/>
  <c r="X479" i="10" s="1"/>
  <c r="AS477" i="10"/>
  <c r="AS475" i="10"/>
  <c r="X475" i="10" s="1"/>
  <c r="AS480" i="10"/>
  <c r="AS474" i="10"/>
  <c r="AS481" i="10"/>
  <c r="AS438" i="10"/>
  <c r="AS443" i="10"/>
  <c r="AS450" i="10"/>
  <c r="AS448" i="10"/>
  <c r="AS447" i="10"/>
  <c r="AS226" i="10"/>
  <c r="AS224" i="10"/>
  <c r="AS225" i="10"/>
  <c r="AS227" i="10"/>
  <c r="AS25" i="10"/>
  <c r="AS21" i="10"/>
  <c r="AS23" i="10"/>
  <c r="AS22" i="10"/>
  <c r="AT337" i="10"/>
  <c r="X306" i="10" s="1"/>
  <c r="AT336" i="10"/>
  <c r="X305" i="10" s="1"/>
  <c r="AT47" i="10"/>
  <c r="AT412" i="10"/>
  <c r="AT410" i="10"/>
  <c r="AT404" i="10"/>
  <c r="AT408" i="10"/>
  <c r="AT406" i="10"/>
  <c r="AT407" i="10"/>
  <c r="AT462" i="10"/>
  <c r="AT459" i="10"/>
  <c r="AT460" i="10"/>
  <c r="AT463" i="10"/>
  <c r="AT50" i="10"/>
  <c r="AT163" i="10"/>
  <c r="AT373" i="10"/>
  <c r="X335" i="10" s="1"/>
  <c r="AT372" i="10"/>
  <c r="AT440" i="10"/>
  <c r="AT223" i="10"/>
  <c r="AT228" i="10"/>
  <c r="AT272" i="10"/>
  <c r="AT259" i="10"/>
  <c r="AI272" i="10"/>
  <c r="AI259" i="10"/>
  <c r="AV243" i="10"/>
  <c r="AT243" i="10"/>
  <c r="AG243" i="10"/>
  <c r="AV320" i="10"/>
  <c r="AT320" i="10"/>
  <c r="AG320" i="10"/>
  <c r="AD320" i="10"/>
  <c r="AV323" i="10"/>
  <c r="AT323" i="10"/>
  <c r="AG323" i="10"/>
  <c r="AD323" i="10"/>
  <c r="AV339" i="10"/>
  <c r="AT339" i="10"/>
  <c r="AG339" i="10"/>
  <c r="AD339" i="10"/>
  <c r="AV400" i="10"/>
  <c r="AT400" i="10"/>
  <c r="AG400" i="10"/>
  <c r="AD400" i="10"/>
  <c r="AV313" i="10"/>
  <c r="X313" i="10" s="1"/>
  <c r="AT313" i="10"/>
  <c r="AG313" i="10"/>
  <c r="AD313" i="10"/>
  <c r="AV69" i="10"/>
  <c r="AT69" i="10"/>
  <c r="AG69" i="10"/>
  <c r="AD69" i="10"/>
  <c r="AV43" i="10"/>
  <c r="AT43" i="10"/>
  <c r="AG43" i="10"/>
  <c r="AD43" i="10"/>
  <c r="AV388" i="10"/>
  <c r="AT388" i="10"/>
  <c r="AG388" i="10"/>
  <c r="AD388" i="10"/>
  <c r="AV349" i="10"/>
  <c r="AT349" i="10"/>
  <c r="X311" i="10" s="1"/>
  <c r="AG349" i="10"/>
  <c r="AD349" i="10"/>
  <c r="AV78" i="10"/>
  <c r="AT78" i="10"/>
  <c r="AG78" i="10"/>
  <c r="AD78" i="10"/>
  <c r="AV145" i="10"/>
  <c r="AT145" i="10"/>
  <c r="AG145" i="10"/>
  <c r="AE145" i="10"/>
  <c r="AD145" i="10"/>
  <c r="AV139" i="10"/>
  <c r="AT139" i="10"/>
  <c r="AG139" i="10"/>
  <c r="AD139" i="10"/>
  <c r="AV70" i="10"/>
  <c r="AT70" i="10"/>
  <c r="AG70" i="10"/>
  <c r="AD70" i="10"/>
  <c r="AV375" i="10"/>
  <c r="AT375" i="10"/>
  <c r="AG375" i="10"/>
  <c r="AD375" i="10"/>
  <c r="AV437" i="10"/>
  <c r="AT437" i="10"/>
  <c r="AG437" i="10"/>
  <c r="AE437" i="10"/>
  <c r="AD437" i="10"/>
  <c r="AV214" i="10"/>
  <c r="AT214" i="10"/>
  <c r="AG214" i="10"/>
  <c r="AE214" i="10"/>
  <c r="AD214" i="10"/>
  <c r="AV217" i="10"/>
  <c r="AT217" i="10"/>
  <c r="AG217" i="10"/>
  <c r="AE217" i="10"/>
  <c r="AD217" i="10"/>
  <c r="AV215" i="10"/>
  <c r="AT215" i="10"/>
  <c r="AG215" i="10"/>
  <c r="AE215" i="10"/>
  <c r="AD215" i="10"/>
  <c r="AV348" i="10"/>
  <c r="AT348" i="10"/>
  <c r="AG348" i="10"/>
  <c r="AE348" i="10"/>
  <c r="AD348" i="10"/>
  <c r="AV290" i="10"/>
  <c r="AT290" i="10"/>
  <c r="AG290" i="10"/>
  <c r="AE290" i="10"/>
  <c r="AD290" i="10"/>
  <c r="AV82" i="10"/>
  <c r="AT82" i="10"/>
  <c r="AG82" i="10"/>
  <c r="AE82" i="10"/>
  <c r="AD82" i="10"/>
  <c r="AV197" i="10"/>
  <c r="AT197" i="10"/>
  <c r="AG197" i="10"/>
  <c r="AE197" i="10"/>
  <c r="AD197" i="10"/>
  <c r="AV194" i="10"/>
  <c r="AT194" i="10"/>
  <c r="AG194" i="10"/>
  <c r="AD194" i="10"/>
  <c r="AV423" i="10"/>
  <c r="AT423" i="10"/>
  <c r="AG423" i="10"/>
  <c r="AD423" i="10"/>
  <c r="AV356" i="10"/>
  <c r="AT356" i="10"/>
  <c r="AG356" i="10"/>
  <c r="AD356" i="10"/>
  <c r="AV138" i="10"/>
  <c r="X138" i="10" s="1"/>
  <c r="AT138" i="10"/>
  <c r="AG138" i="10"/>
  <c r="AD138" i="10"/>
  <c r="AV81" i="10"/>
  <c r="AT81" i="10"/>
  <c r="AG81" i="10"/>
  <c r="AD81" i="10"/>
  <c r="AV333" i="10"/>
  <c r="AT333" i="10"/>
  <c r="AG333" i="10"/>
  <c r="AD333" i="10"/>
  <c r="AV289" i="10"/>
  <c r="AT289" i="10"/>
  <c r="AG289" i="10"/>
  <c r="AD289" i="10"/>
  <c r="AV332" i="10"/>
  <c r="AT332" i="10"/>
  <c r="AG332" i="10"/>
  <c r="AD332" i="10"/>
  <c r="AV246" i="10"/>
  <c r="AT246" i="10"/>
  <c r="AG246" i="10"/>
  <c r="AD246" i="10"/>
  <c r="AV235" i="10"/>
  <c r="AT235" i="10"/>
  <c r="AG235" i="10"/>
  <c r="AD235" i="10"/>
  <c r="AV80" i="10"/>
  <c r="AT80" i="10"/>
  <c r="AG80" i="10"/>
  <c r="AD80" i="10"/>
  <c r="AV41" i="10"/>
  <c r="AT41" i="10"/>
  <c r="AG41" i="10"/>
  <c r="AD41" i="10"/>
  <c r="AV422" i="10"/>
  <c r="AT422" i="10"/>
  <c r="AG422" i="10"/>
  <c r="AD422" i="10"/>
  <c r="AV436" i="10"/>
  <c r="AT436" i="10"/>
  <c r="AG436" i="10"/>
  <c r="AD436" i="10"/>
  <c r="AV425" i="10"/>
  <c r="AT425" i="10"/>
  <c r="AG425" i="10"/>
  <c r="AD425" i="10"/>
  <c r="AV150" i="10"/>
  <c r="AT150" i="10"/>
  <c r="AG150" i="10"/>
  <c r="AD150" i="10"/>
  <c r="AV38" i="10"/>
  <c r="AT38" i="10"/>
  <c r="AG38" i="10"/>
  <c r="AD38" i="10"/>
  <c r="AV134" i="10"/>
  <c r="AT134" i="10"/>
  <c r="AG134" i="10"/>
  <c r="AD134" i="10"/>
  <c r="AV421" i="10"/>
  <c r="AT421" i="10"/>
  <c r="AG421" i="10"/>
  <c r="AD421" i="10"/>
  <c r="AV141" i="10"/>
  <c r="AT141" i="10"/>
  <c r="AG141" i="10"/>
  <c r="AD141" i="10"/>
  <c r="AV357" i="10"/>
  <c r="AT357" i="10"/>
  <c r="AG357" i="10"/>
  <c r="AD357" i="10"/>
  <c r="AV367" i="10"/>
  <c r="AT367" i="10"/>
  <c r="AG367" i="10"/>
  <c r="AD367" i="10"/>
  <c r="AV66" i="10"/>
  <c r="AT66" i="10"/>
  <c r="AG66" i="10"/>
  <c r="AD66" i="10"/>
  <c r="AV75" i="10"/>
  <c r="AT75" i="10"/>
  <c r="AG75" i="10"/>
  <c r="AD75" i="10"/>
  <c r="AV287" i="10"/>
  <c r="AT287" i="10"/>
  <c r="AG287" i="10"/>
  <c r="AD287" i="10"/>
  <c r="AV286" i="10"/>
  <c r="AT286" i="10"/>
  <c r="AG286" i="10"/>
  <c r="AD286" i="10"/>
  <c r="AV283" i="10"/>
  <c r="X283" i="10" s="1"/>
  <c r="AT283" i="10"/>
  <c r="AG283" i="10"/>
  <c r="AD283" i="10"/>
  <c r="AV282" i="10"/>
  <c r="X282" i="10" s="1"/>
  <c r="AT282" i="10"/>
  <c r="AG282" i="10"/>
  <c r="AD282" i="10"/>
  <c r="AV281" i="10"/>
  <c r="AT281" i="10"/>
  <c r="AG281" i="10"/>
  <c r="AD281" i="10"/>
  <c r="AV280" i="10"/>
  <c r="AT280" i="10"/>
  <c r="AG280" i="10"/>
  <c r="AD280" i="10"/>
  <c r="AV277" i="10"/>
  <c r="AT277" i="10"/>
  <c r="AG277" i="10"/>
  <c r="AD277" i="10"/>
  <c r="AV278" i="10"/>
  <c r="AT278" i="10"/>
  <c r="AG278" i="10"/>
  <c r="AD278" i="10"/>
  <c r="AV276" i="10"/>
  <c r="AT276" i="10"/>
  <c r="AG276" i="10"/>
  <c r="AD276" i="10"/>
  <c r="AV274" i="10"/>
  <c r="AT274" i="10"/>
  <c r="AG274" i="10"/>
  <c r="AD274" i="10"/>
  <c r="AV273" i="10"/>
  <c r="AT273" i="10"/>
  <c r="AG273" i="10"/>
  <c r="AD273" i="10"/>
  <c r="AV271" i="10"/>
  <c r="AT271" i="10"/>
  <c r="AG271" i="10"/>
  <c r="AD271" i="10"/>
  <c r="AV269" i="10"/>
  <c r="AT269" i="10"/>
  <c r="AG269" i="10"/>
  <c r="AD269" i="10"/>
  <c r="AV266" i="10"/>
  <c r="AT266" i="10"/>
  <c r="AG266" i="10"/>
  <c r="AD266" i="10"/>
  <c r="AV265" i="10"/>
  <c r="AT265" i="10"/>
  <c r="AG265" i="10"/>
  <c r="AD265" i="10"/>
  <c r="AV262" i="10"/>
  <c r="AT262" i="10"/>
  <c r="AG262" i="10"/>
  <c r="AD262" i="10"/>
  <c r="AV261" i="10"/>
  <c r="AT261" i="10"/>
  <c r="AG261" i="10"/>
  <c r="AD261" i="10"/>
  <c r="AV257" i="10"/>
  <c r="AT257" i="10"/>
  <c r="AG257" i="10"/>
  <c r="AD257" i="10"/>
  <c r="AV184" i="10"/>
  <c r="X184" i="10" s="1"/>
  <c r="AU184" i="10"/>
  <c r="AF184" i="10"/>
  <c r="AD184" i="10"/>
  <c r="AV109" i="10"/>
  <c r="AU109" i="10"/>
  <c r="AF109" i="10"/>
  <c r="AD109" i="10"/>
  <c r="AV322" i="10"/>
  <c r="AS322" i="10"/>
  <c r="AF322" i="10"/>
  <c r="AD322" i="10"/>
  <c r="AV418" i="10"/>
  <c r="AT418" i="10"/>
  <c r="AF418" i="10"/>
  <c r="AE418" i="10"/>
  <c r="AD418" i="10"/>
  <c r="AV427" i="10"/>
  <c r="AT427" i="10"/>
  <c r="AF427" i="10"/>
  <c r="AD427" i="10"/>
  <c r="AV193" i="10"/>
  <c r="AT193" i="10"/>
  <c r="AF193" i="10"/>
  <c r="AE193" i="10"/>
  <c r="AD193" i="10"/>
  <c r="AV268" i="10"/>
  <c r="AT268" i="10"/>
  <c r="AF268" i="10"/>
  <c r="AD268" i="10"/>
  <c r="AV279" i="10"/>
  <c r="X279" i="10" s="1"/>
  <c r="AT279" i="10"/>
  <c r="AF279" i="10"/>
  <c r="AD279" i="10"/>
  <c r="AV258" i="10"/>
  <c r="AT258" i="10"/>
  <c r="AF258" i="10"/>
  <c r="AD258" i="10"/>
  <c r="AV264" i="10"/>
  <c r="AT264" i="10"/>
  <c r="AF264" i="10"/>
  <c r="AD264" i="10"/>
  <c r="AV267" i="10"/>
  <c r="AT267" i="10"/>
  <c r="AF267" i="10"/>
  <c r="AD267" i="10"/>
  <c r="AV275" i="10"/>
  <c r="AT275" i="10"/>
  <c r="AF275" i="10"/>
  <c r="AD275" i="10"/>
  <c r="AV260" i="10"/>
  <c r="AT260" i="10"/>
  <c r="AF260" i="10"/>
  <c r="AD260" i="10"/>
  <c r="AV288" i="10"/>
  <c r="AT288" i="10"/>
  <c r="AF288" i="10"/>
  <c r="AD288" i="10"/>
  <c r="AV249" i="10"/>
  <c r="AT249" i="10"/>
  <c r="AF249" i="10"/>
  <c r="AD249" i="10"/>
  <c r="AV238" i="10"/>
  <c r="AT238" i="10"/>
  <c r="X220" i="10" s="1"/>
  <c r="AF238" i="10"/>
  <c r="AE238" i="10"/>
  <c r="AD238" i="10"/>
  <c r="AV432" i="10"/>
  <c r="AT432" i="10"/>
  <c r="AF432" i="10"/>
  <c r="AE432" i="10"/>
  <c r="AD432" i="10"/>
  <c r="AV454" i="10"/>
  <c r="AS454" i="10"/>
  <c r="AH454" i="10"/>
  <c r="AD454" i="10"/>
  <c r="AV293" i="10"/>
  <c r="AS293" i="10"/>
  <c r="AH293" i="10"/>
  <c r="AD293" i="10"/>
  <c r="AV146" i="10"/>
  <c r="AS146" i="10"/>
  <c r="AH146" i="10"/>
  <c r="AD146" i="10"/>
  <c r="AV45" i="10"/>
  <c r="AS45" i="10"/>
  <c r="AH45" i="10"/>
  <c r="AD45" i="10"/>
  <c r="AV3" i="10"/>
  <c r="AS3" i="10"/>
  <c r="AH3" i="10"/>
  <c r="AD3" i="10"/>
  <c r="AV234" i="10"/>
  <c r="AS234" i="10"/>
  <c r="AH234" i="10"/>
  <c r="AD234" i="10"/>
  <c r="AV195" i="10"/>
  <c r="AS195" i="10"/>
  <c r="AH195" i="10"/>
  <c r="AD195" i="10"/>
  <c r="AV192" i="10"/>
  <c r="AS192" i="10"/>
  <c r="AH192" i="10"/>
  <c r="AD192" i="10"/>
  <c r="AV174" i="10"/>
  <c r="AS174" i="10"/>
  <c r="AH174" i="10"/>
  <c r="AD174" i="10"/>
  <c r="AV159" i="10"/>
  <c r="AS159" i="10"/>
  <c r="AH159" i="10"/>
  <c r="AD159" i="10"/>
  <c r="AV110" i="10"/>
  <c r="AS110" i="10"/>
  <c r="AH110" i="10"/>
  <c r="AD110" i="10"/>
  <c r="AV100" i="10"/>
  <c r="AS100" i="10"/>
  <c r="AH100" i="10"/>
  <c r="AD100" i="10"/>
  <c r="AV176" i="10"/>
  <c r="AS176" i="10"/>
  <c r="AH176" i="10"/>
  <c r="AD176" i="10"/>
  <c r="AV18" i="10"/>
  <c r="AS18" i="10"/>
  <c r="AH18" i="10"/>
  <c r="AD18" i="10"/>
  <c r="AV300" i="10"/>
  <c r="AT300" i="10"/>
  <c r="AD300" i="10"/>
  <c r="AV358" i="10"/>
  <c r="AT358" i="10"/>
  <c r="AI358" i="10"/>
  <c r="AD358" i="10"/>
  <c r="AV256" i="10"/>
  <c r="AT256" i="10"/>
  <c r="AI256" i="10"/>
  <c r="AD256" i="10"/>
  <c r="AV365" i="10"/>
  <c r="AT365" i="10"/>
  <c r="X328" i="10" s="1"/>
  <c r="AI365" i="10"/>
  <c r="AD365" i="10"/>
  <c r="AV312" i="10"/>
  <c r="AT312" i="10"/>
  <c r="AI312" i="10"/>
  <c r="AD312" i="10"/>
  <c r="AV363" i="10"/>
  <c r="AT363" i="10"/>
  <c r="AI363" i="10"/>
  <c r="AD363" i="10"/>
  <c r="AV353" i="10"/>
  <c r="AT353" i="10"/>
  <c r="AI353" i="10"/>
  <c r="AD353" i="10"/>
  <c r="AV233" i="10"/>
  <c r="AT233" i="10"/>
  <c r="AI233" i="10"/>
  <c r="AD233" i="10"/>
  <c r="AV169" i="10"/>
  <c r="AT169" i="10"/>
  <c r="AI169" i="10"/>
  <c r="AD169" i="10"/>
  <c r="AV237" i="10"/>
  <c r="AT237" i="10"/>
  <c r="AI237" i="10"/>
  <c r="AE237" i="10"/>
  <c r="AD237" i="10"/>
  <c r="AV399" i="10"/>
  <c r="AU399" i="10"/>
  <c r="AI399" i="10"/>
  <c r="AD399" i="10"/>
  <c r="AV429" i="10"/>
  <c r="AU429" i="10"/>
  <c r="AI429" i="10"/>
  <c r="AD429" i="10"/>
  <c r="AV156" i="10"/>
  <c r="AS156" i="10"/>
  <c r="AI156" i="10"/>
  <c r="AD156" i="10"/>
  <c r="AV181" i="10"/>
  <c r="AS181" i="10"/>
  <c r="AI181" i="10"/>
  <c r="AD181" i="10"/>
  <c r="AV161" i="10"/>
  <c r="AS161" i="10"/>
  <c r="AI161" i="10"/>
  <c r="AD161" i="10"/>
  <c r="AV158" i="10"/>
  <c r="AS158" i="10"/>
  <c r="AI158" i="10"/>
  <c r="AD158" i="10"/>
  <c r="AV154" i="10"/>
  <c r="AS154" i="10"/>
  <c r="AI154" i="10"/>
  <c r="AD154" i="10"/>
  <c r="AV64" i="10"/>
  <c r="AS64" i="10"/>
  <c r="AI64" i="10"/>
  <c r="AD64" i="10"/>
  <c r="AV46" i="10"/>
  <c r="AS46" i="10"/>
  <c r="AI46" i="10"/>
  <c r="AD46" i="10"/>
  <c r="AV35" i="10"/>
  <c r="X35" i="10" s="1"/>
  <c r="AS35" i="10"/>
  <c r="AI35" i="10"/>
  <c r="AD35" i="10"/>
  <c r="AV9" i="10"/>
  <c r="AS9" i="10"/>
  <c r="AI9" i="10"/>
  <c r="AD9" i="10"/>
  <c r="AZ31" i="10"/>
  <c r="AZ30" i="10"/>
  <c r="H189" i="21" s="1"/>
  <c r="G189" i="21" s="1"/>
  <c r="AZ29" i="10"/>
  <c r="H188" i="21" s="1"/>
  <c r="G188" i="21" s="1"/>
  <c r="AZ28" i="10"/>
  <c r="H187" i="21" s="1"/>
  <c r="G187" i="21" s="1"/>
  <c r="AZ27" i="10"/>
  <c r="H186" i="21" s="1"/>
  <c r="G186" i="21" s="1"/>
  <c r="AZ26" i="10"/>
  <c r="H185" i="21" s="1"/>
  <c r="G185" i="21" s="1"/>
  <c r="AZ25" i="10"/>
  <c r="H184" i="21" s="1"/>
  <c r="G184" i="21" s="1"/>
  <c r="AZ24" i="10"/>
  <c r="H183" i="21" s="1"/>
  <c r="G183" i="21" s="1"/>
  <c r="AZ23" i="10"/>
  <c r="H182" i="21" s="1"/>
  <c r="G182" i="21" s="1"/>
  <c r="AZ22" i="10"/>
  <c r="H181" i="21" s="1"/>
  <c r="G181" i="21" s="1"/>
  <c r="AZ21" i="10"/>
  <c r="H180" i="21" s="1"/>
  <c r="G180" i="21" s="1"/>
  <c r="AZ20" i="10"/>
  <c r="H179" i="21" s="1"/>
  <c r="G179" i="21" s="1"/>
  <c r="AZ19" i="10"/>
  <c r="H178" i="21" s="1"/>
  <c r="G178" i="21" s="1"/>
  <c r="AZ18" i="10"/>
  <c r="H177" i="21" s="1"/>
  <c r="G177" i="21" s="1"/>
  <c r="AZ17" i="10"/>
  <c r="H176" i="21" s="1"/>
  <c r="G176" i="21" s="1"/>
  <c r="AZ16" i="10"/>
  <c r="H175" i="21" s="1"/>
  <c r="G175" i="21" s="1"/>
  <c r="AZ15" i="10"/>
  <c r="H174" i="21" s="1"/>
  <c r="G174" i="21" s="1"/>
  <c r="AZ14" i="10"/>
  <c r="H173" i="21" s="1"/>
  <c r="G173" i="21" s="1"/>
  <c r="AZ13" i="10"/>
  <c r="H172" i="21" s="1"/>
  <c r="G172" i="21" s="1"/>
  <c r="AZ12" i="10"/>
  <c r="H171" i="21" s="1"/>
  <c r="G171" i="21" s="1"/>
  <c r="G88" i="21" l="1"/>
  <c r="G89" i="21" s="1"/>
  <c r="G90" i="21" s="1"/>
  <c r="G91" i="21" s="1"/>
  <c r="X481" i="10"/>
  <c r="X474" i="10"/>
  <c r="X440" i="10"/>
  <c r="X459" i="10"/>
  <c r="X60" i="10"/>
  <c r="X164" i="10"/>
  <c r="X166" i="10"/>
  <c r="G304" i="21"/>
  <c r="G301" i="21" s="1"/>
  <c r="X480" i="10"/>
  <c r="X167" i="10"/>
  <c r="X168" i="10"/>
  <c r="X272" i="10"/>
  <c r="X461" i="10"/>
  <c r="X225" i="10"/>
  <c r="X445" i="10"/>
  <c r="X448" i="10"/>
  <c r="X109" i="10"/>
  <c r="X278" i="10"/>
  <c r="X134" i="10"/>
  <c r="X436" i="10"/>
  <c r="X139" i="10"/>
  <c r="X192" i="10"/>
  <c r="X280" i="10"/>
  <c r="X469" i="10"/>
  <c r="X110" i="10"/>
  <c r="X174" i="10"/>
  <c r="X273" i="10"/>
  <c r="X277" i="10"/>
  <c r="X281" i="10"/>
  <c r="X38" i="10"/>
  <c r="X70" i="10"/>
  <c r="X32" i="10"/>
  <c r="X450" i="10"/>
  <c r="X463" i="10"/>
  <c r="X371" i="10"/>
  <c r="X443" i="10"/>
  <c r="X221" i="10"/>
  <c r="X438" i="10"/>
  <c r="X88" i="10"/>
  <c r="X337" i="10"/>
  <c r="X45" i="10"/>
  <c r="X382" i="10"/>
  <c r="X441" i="10"/>
  <c r="X287" i="10"/>
  <c r="X449" i="10"/>
  <c r="X106" i="10"/>
  <c r="X108" i="10"/>
  <c r="X476" i="10"/>
  <c r="X444" i="10"/>
  <c r="X464" i="10"/>
  <c r="X462" i="10"/>
  <c r="X233" i="10"/>
  <c r="X183" i="10"/>
  <c r="X86" i="10"/>
  <c r="X92" i="10"/>
  <c r="X472" i="10"/>
  <c r="X447" i="10"/>
  <c r="X49" i="10"/>
  <c r="X372" i="10"/>
  <c r="X468" i="10"/>
  <c r="X428" i="10"/>
  <c r="X477" i="10"/>
  <c r="X402" i="10"/>
  <c r="X457" i="10"/>
  <c r="X197" i="10"/>
  <c r="X162" i="10"/>
  <c r="X161" i="10"/>
  <c r="X276" i="10"/>
  <c r="X300" i="10"/>
  <c r="X454" i="10"/>
  <c r="X357" i="10"/>
  <c r="X437" i="10"/>
  <c r="X458" i="10"/>
  <c r="X465" i="10"/>
  <c r="X284" i="10"/>
  <c r="X312" i="10"/>
  <c r="X27" i="10"/>
  <c r="X442" i="10"/>
  <c r="X471" i="10"/>
  <c r="X234" i="10"/>
  <c r="X211" i="10"/>
  <c r="X228" i="10"/>
  <c r="X411" i="10"/>
  <c r="X460" i="10"/>
  <c r="X274" i="10"/>
  <c r="X399" i="10"/>
  <c r="X446" i="10"/>
  <c r="X418" i="10"/>
  <c r="X467" i="10"/>
  <c r="X299" i="10"/>
  <c r="AW8" i="10"/>
  <c r="X187" i="10"/>
  <c r="X398" i="10"/>
  <c r="X334" i="10"/>
  <c r="X323" i="10"/>
  <c r="X23" i="10"/>
  <c r="X19" i="10"/>
  <c r="X269" i="10"/>
  <c r="X75" i="10"/>
  <c r="X195" i="10"/>
  <c r="X142" i="10"/>
  <c r="X148" i="10"/>
  <c r="X144" i="10"/>
  <c r="X191" i="10"/>
  <c r="X18" i="10"/>
  <c r="X369" i="10"/>
  <c r="X415" i="10"/>
  <c r="X432" i="10"/>
  <c r="X17" i="10"/>
  <c r="X271" i="10"/>
  <c r="X43" i="10"/>
  <c r="X135" i="10"/>
  <c r="X41" i="10"/>
  <c r="X350" i="10"/>
  <c r="X241" i="10"/>
  <c r="X71" i="10"/>
  <c r="X131" i="10"/>
  <c r="X126" i="10"/>
  <c r="X140" i="10"/>
  <c r="X217" i="10"/>
  <c r="X128" i="10"/>
  <c r="X314" i="10"/>
  <c r="X224" i="10"/>
  <c r="X358" i="10"/>
  <c r="X74" i="10"/>
  <c r="X293" i="10"/>
  <c r="X427" i="10"/>
  <c r="X356" i="10"/>
  <c r="X425" i="10"/>
  <c r="X431" i="10"/>
  <c r="X332" i="10"/>
  <c r="X336" i="10"/>
  <c r="X230" i="10"/>
  <c r="X202" i="10"/>
  <c r="X97" i="10"/>
  <c r="X95" i="10"/>
  <c r="X9" i="10"/>
  <c r="X146" i="10"/>
  <c r="X292" i="10"/>
  <c r="X248" i="10"/>
  <c r="X262" i="10"/>
  <c r="X36" i="10"/>
  <c r="X383" i="10"/>
  <c r="X227" i="10"/>
  <c r="X67" i="10"/>
  <c r="X424" i="10"/>
  <c r="X430" i="10"/>
  <c r="X159" i="10"/>
  <c r="X315" i="10"/>
  <c r="X44" i="10"/>
  <c r="X285" i="10"/>
  <c r="X304" i="10"/>
  <c r="X308" i="10"/>
  <c r="X288" i="10"/>
  <c r="X291" i="10"/>
  <c r="X423" i="10"/>
  <c r="X429" i="10"/>
  <c r="X339" i="10"/>
  <c r="X344" i="10"/>
  <c r="X65" i="10"/>
  <c r="X63" i="10"/>
  <c r="X77" i="10"/>
  <c r="X203" i="10"/>
  <c r="X101" i="10"/>
  <c r="X57" i="10"/>
  <c r="X84" i="10"/>
  <c r="X386" i="10"/>
  <c r="X54" i="10"/>
  <c r="X214" i="10"/>
  <c r="X322" i="10"/>
  <c r="X324" i="10"/>
  <c r="X320" i="10"/>
  <c r="X76" i="10"/>
  <c r="X345" i="10"/>
  <c r="X68" i="10"/>
  <c r="X355" i="10"/>
  <c r="X290" i="10"/>
  <c r="X50" i="10"/>
  <c r="X61" i="10"/>
  <c r="X331" i="10"/>
  <c r="X364" i="10"/>
  <c r="X403" i="10"/>
  <c r="X389" i="10"/>
  <c r="X416" i="10"/>
  <c r="X408" i="10"/>
  <c r="X390" i="10"/>
  <c r="X100" i="10"/>
  <c r="X62" i="10"/>
  <c r="X209" i="10"/>
  <c r="X33" i="10"/>
  <c r="X362" i="10"/>
  <c r="X155" i="10"/>
  <c r="X394" i="10"/>
  <c r="X143" i="10"/>
  <c r="X266" i="10"/>
  <c r="X210" i="10"/>
  <c r="X409" i="10"/>
  <c r="X12" i="10"/>
  <c r="X47" i="10"/>
  <c r="X145" i="10"/>
  <c r="X151" i="10"/>
  <c r="X147" i="10"/>
  <c r="X275" i="10"/>
  <c r="X165" i="10"/>
  <c r="X105" i="10"/>
  <c r="X163" i="10"/>
  <c r="X181" i="10"/>
  <c r="X6" i="10"/>
  <c r="X137" i="10"/>
  <c r="X239" i="10"/>
  <c r="X243" i="10"/>
  <c r="X247" i="10"/>
  <c r="X251" i="10"/>
  <c r="X254" i="10"/>
  <c r="X255" i="10"/>
  <c r="X259" i="10"/>
  <c r="X261" i="10"/>
  <c r="X265" i="10"/>
  <c r="X66" i="10"/>
  <c r="X319" i="10"/>
  <c r="X373" i="10"/>
  <c r="X39" i="10"/>
  <c r="X377" i="10"/>
  <c r="X374" i="10"/>
  <c r="X78" i="10"/>
  <c r="X226" i="10"/>
  <c r="X267" i="10"/>
  <c r="X79" i="10"/>
  <c r="X318" i="10"/>
  <c r="X237" i="10"/>
  <c r="X359" i="10"/>
  <c r="X397" i="10"/>
  <c r="X98" i="10"/>
  <c r="X56" i="10"/>
  <c r="X123" i="10"/>
  <c r="X31" i="10"/>
  <c r="X82" i="10"/>
  <c r="X257" i="10"/>
  <c r="X85" i="10"/>
  <c r="X205" i="10"/>
  <c r="X404" i="10"/>
  <c r="X48" i="10"/>
  <c r="X426" i="10"/>
  <c r="X81" i="10"/>
  <c r="X99" i="10"/>
  <c r="X58" i="10"/>
  <c r="X376" i="10"/>
  <c r="X388" i="10"/>
  <c r="X156" i="10"/>
  <c r="X348" i="10"/>
  <c r="X176" i="10"/>
  <c r="X253" i="10"/>
  <c r="X407" i="10"/>
  <c r="X301" i="10"/>
  <c r="X206" i="10"/>
  <c r="X419" i="10"/>
  <c r="X83" i="10"/>
  <c r="X102" i="10"/>
  <c r="X103" i="10"/>
  <c r="X391" i="10"/>
  <c r="X263" i="10"/>
  <c r="X367" i="10"/>
  <c r="X59" i="10"/>
  <c r="X381" i="10"/>
  <c r="X182" i="10"/>
  <c r="X330" i="10"/>
  <c r="X302" i="10"/>
  <c r="X208" i="10"/>
  <c r="X186" i="10"/>
  <c r="X21" i="10"/>
  <c r="X353" i="10"/>
  <c r="X242" i="10"/>
  <c r="X405" i="10"/>
  <c r="X204" i="10"/>
  <c r="X229" i="10"/>
  <c r="X238" i="10"/>
  <c r="X245" i="10"/>
  <c r="X236" i="10"/>
  <c r="X246" i="10"/>
  <c r="X24" i="10"/>
  <c r="X420" i="10"/>
  <c r="X157" i="10"/>
  <c r="X413" i="10"/>
  <c r="X347" i="10"/>
  <c r="X153" i="10"/>
  <c r="X363" i="10"/>
  <c r="X53" i="10"/>
  <c r="X421" i="10"/>
  <c r="X152" i="10"/>
  <c r="X171" i="10"/>
  <c r="X360" i="10"/>
  <c r="X94" i="10"/>
  <c r="X199" i="10"/>
  <c r="X365" i="10"/>
  <c r="X219" i="10"/>
  <c r="X80" i="10"/>
  <c r="X387" i="10"/>
  <c r="X417" i="10"/>
  <c r="X201" i="10"/>
  <c r="X400" i="10"/>
  <c r="X366" i="10"/>
  <c r="X368" i="10"/>
  <c r="X29" i="10"/>
  <c r="X107" i="10"/>
  <c r="X354" i="10"/>
  <c r="X172" i="10"/>
  <c r="X55" i="10"/>
  <c r="X194" i="10"/>
  <c r="X218" i="10"/>
  <c r="X136" i="10"/>
  <c r="X26" i="10"/>
  <c r="X401" i="10"/>
  <c r="X89" i="10"/>
  <c r="X286" i="10"/>
  <c r="X25" i="10"/>
  <c r="X422" i="10"/>
  <c r="X154" i="10"/>
  <c r="X289" i="10"/>
  <c r="X193" i="10"/>
  <c r="X190" i="10"/>
  <c r="X37" i="10"/>
  <c r="X64" i="10"/>
  <c r="X149" i="10"/>
  <c r="X170" i="10"/>
  <c r="X380" i="10"/>
  <c r="X20" i="10"/>
  <c r="X96" i="10"/>
  <c r="X150" i="10"/>
  <c r="X178" i="10"/>
  <c r="X215" i="10"/>
  <c r="X46" i="10"/>
  <c r="X270" i="10"/>
  <c r="X370" i="10"/>
  <c r="X104" i="10"/>
  <c r="X235" i="10"/>
  <c r="X240" i="10"/>
  <c r="X244" i="10"/>
  <c r="X249" i="10"/>
  <c r="X252" i="10"/>
  <c r="X256" i="10"/>
  <c r="X258" i="10"/>
  <c r="X260" i="10"/>
  <c r="X264" i="10"/>
  <c r="X73" i="10"/>
  <c r="X326" i="10"/>
  <c r="X132" i="10"/>
  <c r="X127" i="10"/>
  <c r="X141" i="10"/>
  <c r="X384" i="10"/>
  <c r="X42" i="10"/>
  <c r="X216" i="10"/>
  <c r="X297" i="10"/>
  <c r="X298" i="10"/>
  <c r="X129" i="10"/>
  <c r="X375" i="10"/>
  <c r="X310" i="10"/>
  <c r="X333" i="10"/>
  <c r="X130" i="10"/>
  <c r="X223" i="10"/>
  <c r="X200" i="10"/>
  <c r="X169" i="10"/>
  <c r="X352" i="10"/>
  <c r="X361" i="10"/>
  <c r="X52" i="10"/>
  <c r="X158" i="10"/>
  <c r="X379" i="10"/>
  <c r="X268" i="10"/>
  <c r="X395" i="10"/>
  <c r="X414" i="10"/>
  <c r="X180" i="10"/>
  <c r="X385" i="10"/>
  <c r="X69" i="10"/>
  <c r="X51" i="10"/>
  <c r="X34" i="10"/>
  <c r="X410" i="10"/>
  <c r="X250" i="10"/>
  <c r="X406" i="10"/>
  <c r="X87" i="10"/>
  <c r="X28" i="10"/>
  <c r="X393" i="10"/>
  <c r="X412" i="10"/>
  <c r="X179" i="10"/>
  <c r="X198" i="10"/>
  <c r="X207" i="10"/>
  <c r="X392" i="10"/>
  <c r="X22" i="10"/>
  <c r="X349" i="10"/>
  <c r="X396" i="10"/>
  <c r="D40" i="1"/>
  <c r="A39" i="1"/>
  <c r="H409" i="21" s="1"/>
  <c r="G255" i="21"/>
  <c r="G256" i="21"/>
  <c r="G257" i="21" s="1"/>
  <c r="G258" i="21" s="1"/>
  <c r="AA2" i="10"/>
  <c r="AW3" i="10"/>
  <c r="E55" i="7"/>
  <c r="D55" i="7"/>
  <c r="S125" i="7"/>
  <c r="I55" i="7" s="1"/>
  <c r="F24" i="6"/>
  <c r="J48" i="21" s="1"/>
  <c r="S56" i="6"/>
  <c r="U56" i="6" s="1"/>
  <c r="S57" i="6"/>
  <c r="V50" i="6"/>
  <c r="H80" i="21"/>
  <c r="H79" i="21"/>
  <c r="H78" i="21"/>
  <c r="H77" i="21"/>
  <c r="H76" i="21"/>
  <c r="H75" i="21"/>
  <c r="H74" i="21"/>
  <c r="H70" i="21"/>
  <c r="H69" i="21"/>
  <c r="H68" i="21"/>
  <c r="H66" i="21"/>
  <c r="H65" i="21"/>
  <c r="H64" i="21"/>
  <c r="H63" i="21"/>
  <c r="H62" i="21"/>
  <c r="H61" i="21"/>
  <c r="H60" i="21"/>
  <c r="H59" i="21"/>
  <c r="H58" i="21"/>
  <c r="H57" i="21"/>
  <c r="G54" i="21"/>
  <c r="S1" i="7"/>
  <c r="G9" i="7" s="1"/>
  <c r="Y22" i="7"/>
  <c r="U51" i="6"/>
  <c r="S50" i="6"/>
  <c r="F27" i="6" s="1"/>
  <c r="J49" i="21" s="1"/>
  <c r="Q56" i="10"/>
  <c r="BA31" i="10" s="1"/>
  <c r="Q55" i="10"/>
  <c r="BA30" i="10" s="1"/>
  <c r="J189" i="21" s="1"/>
  <c r="Q54" i="10"/>
  <c r="BA29" i="10" s="1"/>
  <c r="J188" i="21" s="1"/>
  <c r="Q53" i="10"/>
  <c r="BA28" i="10" s="1"/>
  <c r="J187" i="21" s="1"/>
  <c r="Q52" i="10"/>
  <c r="BA27" i="10" s="1"/>
  <c r="J186" i="21" s="1"/>
  <c r="Q51" i="10"/>
  <c r="BA26" i="10" s="1"/>
  <c r="J185" i="21" s="1"/>
  <c r="Q50" i="10"/>
  <c r="BA25" i="10" s="1"/>
  <c r="J184" i="21" s="1"/>
  <c r="Q49" i="10"/>
  <c r="BA24" i="10" s="1"/>
  <c r="J183" i="21" s="1"/>
  <c r="Q48" i="10"/>
  <c r="BA23" i="10" s="1"/>
  <c r="J182" i="21" s="1"/>
  <c r="Q47" i="10"/>
  <c r="BA22" i="10" s="1"/>
  <c r="J181" i="21" s="1"/>
  <c r="Q46" i="10"/>
  <c r="BA21" i="10" s="1"/>
  <c r="J180" i="21" s="1"/>
  <c r="Q45" i="10"/>
  <c r="BA20" i="10" s="1"/>
  <c r="Q44" i="10"/>
  <c r="BA19" i="10" s="1"/>
  <c r="J178" i="21" s="1"/>
  <c r="Q43" i="10"/>
  <c r="BA18" i="10" s="1"/>
  <c r="J177" i="21" s="1"/>
  <c r="Q42" i="10"/>
  <c r="BA17" i="10" s="1"/>
  <c r="J176" i="21" s="1"/>
  <c r="Q41" i="10"/>
  <c r="BA16" i="10" s="1"/>
  <c r="J175" i="21" s="1"/>
  <c r="Q40" i="10"/>
  <c r="BA15" i="10" s="1"/>
  <c r="J174" i="21" s="1"/>
  <c r="Q39" i="10"/>
  <c r="BA14" i="10" s="1"/>
  <c r="J173" i="21" s="1"/>
  <c r="Q38" i="10"/>
  <c r="BA13" i="10" s="1"/>
  <c r="J172" i="21" s="1"/>
  <c r="Q37" i="10"/>
  <c r="BA12" i="10" s="1"/>
  <c r="J171" i="21" s="1"/>
  <c r="S65" i="7"/>
  <c r="S63" i="7"/>
  <c r="S121" i="7"/>
  <c r="S117" i="7"/>
  <c r="S113" i="7"/>
  <c r="S109" i="7"/>
  <c r="S106" i="7"/>
  <c r="S104" i="7"/>
  <c r="S94" i="7"/>
  <c r="S90" i="7"/>
  <c r="S88" i="7"/>
  <c r="S84" i="7"/>
  <c r="S82" i="7"/>
  <c r="S79" i="7"/>
  <c r="S75" i="7"/>
  <c r="S59" i="7"/>
  <c r="S55" i="7"/>
  <c r="S51" i="7"/>
  <c r="S49" i="7"/>
  <c r="S45" i="7"/>
  <c r="S42" i="7"/>
  <c r="S36" i="7"/>
  <c r="S33" i="7"/>
  <c r="S29" i="7"/>
  <c r="S25" i="7"/>
  <c r="H56" i="21"/>
  <c r="H55" i="21"/>
  <c r="H39" i="13"/>
  <c r="C14" i="6"/>
  <c r="AH9" i="6"/>
  <c r="H32" i="5"/>
  <c r="I39" i="21" s="1"/>
  <c r="F32" i="5"/>
  <c r="J39" i="21" s="1"/>
  <c r="H25" i="5"/>
  <c r="F25" i="5" s="1"/>
  <c r="J36" i="21" s="1"/>
  <c r="U4" i="5"/>
  <c r="H194" i="21" s="1"/>
  <c r="J33" i="21"/>
  <c r="J32" i="21"/>
  <c r="H22" i="4"/>
  <c r="H30" i="21" s="1"/>
  <c r="S16" i="3"/>
  <c r="S14" i="3"/>
  <c r="H22" i="21" s="1"/>
  <c r="H3" i="21"/>
  <c r="E3" i="21" s="1"/>
  <c r="F3" i="21" s="1"/>
  <c r="H6" i="21"/>
  <c r="H5" i="21"/>
  <c r="H4" i="21"/>
  <c r="A1" i="21"/>
  <c r="H29" i="2"/>
  <c r="V22" i="7"/>
  <c r="BU150" i="20"/>
  <c r="AZ124" i="20"/>
  <c r="X124" i="20"/>
  <c r="DL123" i="20"/>
  <c r="CL123" i="20"/>
  <c r="BZ123" i="20"/>
  <c r="CC122" i="20"/>
  <c r="AG122" i="20"/>
  <c r="A122" i="20"/>
  <c r="AZ97" i="20"/>
  <c r="X97" i="20"/>
  <c r="DL96" i="20"/>
  <c r="CL96" i="20"/>
  <c r="BZ96" i="20"/>
  <c r="CC95" i="20"/>
  <c r="AG95" i="20"/>
  <c r="A95" i="20"/>
  <c r="DL2" i="20"/>
  <c r="CL2" i="20"/>
  <c r="AZ3" i="20"/>
  <c r="X3" i="20"/>
  <c r="CC1" i="20"/>
  <c r="AG1" i="20"/>
  <c r="A1" i="20"/>
  <c r="B30" i="20"/>
  <c r="C30" i="20" s="1"/>
  <c r="D30" i="20" s="1"/>
  <c r="E30" i="20" s="1"/>
  <c r="F30" i="20" s="1"/>
  <c r="G30" i="20" s="1"/>
  <c r="H30" i="20" s="1"/>
  <c r="I30" i="20" s="1"/>
  <c r="J30" i="20" s="1"/>
  <c r="K30" i="20" s="1"/>
  <c r="L30" i="20" s="1"/>
  <c r="M30" i="20" s="1"/>
  <c r="N30" i="20" s="1"/>
  <c r="O30" i="20" s="1"/>
  <c r="P30" i="20" s="1"/>
  <c r="Q30" i="20" s="1"/>
  <c r="R30" i="20" s="1"/>
  <c r="S30" i="20" s="1"/>
  <c r="T30" i="20" s="1"/>
  <c r="U30" i="20" s="1"/>
  <c r="V30" i="20" s="1"/>
  <c r="W30" i="20" s="1"/>
  <c r="X30" i="20" s="1"/>
  <c r="Y30" i="20" s="1"/>
  <c r="Z30" i="20" s="1"/>
  <c r="AA30" i="20" s="1"/>
  <c r="AB30" i="20" s="1"/>
  <c r="AC30" i="20" s="1"/>
  <c r="AD30" i="20" s="1"/>
  <c r="AE30" i="20" s="1"/>
  <c r="AF30" i="20" s="1"/>
  <c r="AG30" i="20" s="1"/>
  <c r="AH30" i="20" s="1"/>
  <c r="AI30" i="20" s="1"/>
  <c r="AJ30" i="20" s="1"/>
  <c r="AK30" i="20" s="1"/>
  <c r="AL30" i="20" s="1"/>
  <c r="AM30" i="20" s="1"/>
  <c r="AN30" i="20" s="1"/>
  <c r="AO30" i="20" s="1"/>
  <c r="AP30" i="20" s="1"/>
  <c r="AQ30" i="20" s="1"/>
  <c r="AR30" i="20" s="1"/>
  <c r="AS30" i="20" s="1"/>
  <c r="AT30" i="20" s="1"/>
  <c r="AU30" i="20" s="1"/>
  <c r="AV30" i="20" s="1"/>
  <c r="AW30" i="20" s="1"/>
  <c r="AX30" i="20" s="1"/>
  <c r="AY30" i="20" s="1"/>
  <c r="AZ30" i="20" s="1"/>
  <c r="BA30" i="20" s="1"/>
  <c r="BB30" i="20" s="1"/>
  <c r="BC30" i="20" s="1"/>
  <c r="BD30" i="20" s="1"/>
  <c r="BE30" i="20" s="1"/>
  <c r="BF30" i="20" s="1"/>
  <c r="BG30" i="20" s="1"/>
  <c r="BH30" i="20" s="1"/>
  <c r="BI30" i="20" s="1"/>
  <c r="BJ30" i="20" s="1"/>
  <c r="BK30" i="20" s="1"/>
  <c r="BL30" i="20" s="1"/>
  <c r="BM30" i="20" s="1"/>
  <c r="BN30" i="20" s="1"/>
  <c r="BO30" i="20" s="1"/>
  <c r="BP30" i="20" s="1"/>
  <c r="BQ30" i="20" s="1"/>
  <c r="BR30" i="20" s="1"/>
  <c r="BS30" i="20" s="1"/>
  <c r="BT30" i="20" s="1"/>
  <c r="BU30" i="20" s="1"/>
  <c r="BV30" i="20" s="1"/>
  <c r="BW30" i="20" s="1"/>
  <c r="BX30" i="20" s="1"/>
  <c r="BY30" i="20" s="1"/>
  <c r="BZ30" i="20" s="1"/>
  <c r="CA30" i="20" s="1"/>
  <c r="CB30" i="20" s="1"/>
  <c r="CC30" i="20" s="1"/>
  <c r="CD30" i="20" s="1"/>
  <c r="CE30" i="20" s="1"/>
  <c r="CF30" i="20" s="1"/>
  <c r="CG30" i="20" s="1"/>
  <c r="CH30" i="20" s="1"/>
  <c r="CI30" i="20" s="1"/>
  <c r="CJ30" i="20" s="1"/>
  <c r="CK30" i="20" s="1"/>
  <c r="CL30" i="20" s="1"/>
  <c r="CM30" i="20" s="1"/>
  <c r="CN30" i="20" s="1"/>
  <c r="CO30" i="20" s="1"/>
  <c r="CP30" i="20" s="1"/>
  <c r="CQ30" i="20" s="1"/>
  <c r="CR30" i="20" s="1"/>
  <c r="CS30" i="20" s="1"/>
  <c r="CT30" i="20" s="1"/>
  <c r="CU30" i="20" s="1"/>
  <c r="CV30" i="20" s="1"/>
  <c r="CW30" i="20" s="1"/>
  <c r="CX30" i="20" s="1"/>
  <c r="CY30" i="20" s="1"/>
  <c r="CZ30" i="20" s="1"/>
  <c r="DA30" i="20" s="1"/>
  <c r="DB30" i="20" s="1"/>
  <c r="DC30" i="20" s="1"/>
  <c r="DD30" i="20" s="1"/>
  <c r="DE30" i="20" s="1"/>
  <c r="DF30" i="20" s="1"/>
  <c r="DG30" i="20" s="1"/>
  <c r="DH30" i="20" s="1"/>
  <c r="DI30" i="20" s="1"/>
  <c r="DJ30" i="20" s="1"/>
  <c r="DK30" i="20" s="1"/>
  <c r="DL30" i="20" s="1"/>
  <c r="DM30" i="20" s="1"/>
  <c r="DN30" i="20" s="1"/>
  <c r="DO30" i="20" s="1"/>
  <c r="DP30" i="20" s="1"/>
  <c r="A31" i="20" s="1"/>
  <c r="B31" i="20" s="1"/>
  <c r="C31" i="20" s="1"/>
  <c r="D31" i="20" s="1"/>
  <c r="E31" i="20" s="1"/>
  <c r="F31" i="20" s="1"/>
  <c r="G31" i="20" s="1"/>
  <c r="H31" i="20" s="1"/>
  <c r="I31" i="20" s="1"/>
  <c r="J31" i="20" s="1"/>
  <c r="K31" i="20" s="1"/>
  <c r="L31" i="20" s="1"/>
  <c r="M31" i="20" s="1"/>
  <c r="N31" i="20" s="1"/>
  <c r="O31" i="20" s="1"/>
  <c r="P31" i="20" s="1"/>
  <c r="Q31" i="20" s="1"/>
  <c r="R31" i="20" s="1"/>
  <c r="S31" i="20" s="1"/>
  <c r="T31" i="20" s="1"/>
  <c r="U31" i="20" s="1"/>
  <c r="V31" i="20" s="1"/>
  <c r="W31" i="20" s="1"/>
  <c r="X31" i="20" s="1"/>
  <c r="Y31" i="20" s="1"/>
  <c r="Z31" i="20" s="1"/>
  <c r="AA31" i="20" s="1"/>
  <c r="AB31" i="20" s="1"/>
  <c r="AC31" i="20" s="1"/>
  <c r="AD31" i="20" s="1"/>
  <c r="AE31" i="20" s="1"/>
  <c r="AF31" i="20" s="1"/>
  <c r="AG31" i="20" s="1"/>
  <c r="AH31" i="20" s="1"/>
  <c r="AI31" i="20" s="1"/>
  <c r="AJ31" i="20" s="1"/>
  <c r="AK31" i="20" s="1"/>
  <c r="AL31" i="20" s="1"/>
  <c r="AM31" i="20" s="1"/>
  <c r="AN31" i="20" s="1"/>
  <c r="AO31" i="20" s="1"/>
  <c r="AP31" i="20" s="1"/>
  <c r="AQ31" i="20" s="1"/>
  <c r="AR31" i="20" s="1"/>
  <c r="AS31" i="20" s="1"/>
  <c r="AT31" i="20" s="1"/>
  <c r="AU31" i="20" s="1"/>
  <c r="AV31" i="20" s="1"/>
  <c r="AW31" i="20" s="1"/>
  <c r="AX31" i="20" s="1"/>
  <c r="AY31" i="20" s="1"/>
  <c r="AZ31" i="20" s="1"/>
  <c r="BA31" i="20" s="1"/>
  <c r="BB31" i="20" s="1"/>
  <c r="BC31" i="20" s="1"/>
  <c r="BD31" i="20" s="1"/>
  <c r="BE31" i="20" s="1"/>
  <c r="BF31" i="20" s="1"/>
  <c r="BG31" i="20" s="1"/>
  <c r="BH31" i="20" s="1"/>
  <c r="BI31" i="20" s="1"/>
  <c r="BJ31" i="20" s="1"/>
  <c r="BK31" i="20" s="1"/>
  <c r="BL31" i="20" s="1"/>
  <c r="BM31" i="20" s="1"/>
  <c r="BN31" i="20" s="1"/>
  <c r="BO31" i="20" s="1"/>
  <c r="BP31" i="20" s="1"/>
  <c r="BQ31" i="20" s="1"/>
  <c r="BR31" i="20" s="1"/>
  <c r="BS31" i="20" s="1"/>
  <c r="BT31" i="20" s="1"/>
  <c r="BU31" i="20" s="1"/>
  <c r="BV31" i="20" s="1"/>
  <c r="BW31" i="20" s="1"/>
  <c r="BX31" i="20" s="1"/>
  <c r="BY31" i="20" s="1"/>
  <c r="BZ31" i="20" s="1"/>
  <c r="CA31" i="20" s="1"/>
  <c r="CB31" i="20" s="1"/>
  <c r="CC31" i="20" s="1"/>
  <c r="CD31" i="20" s="1"/>
  <c r="CE31" i="20" s="1"/>
  <c r="CF31" i="20" s="1"/>
  <c r="CG31" i="20" s="1"/>
  <c r="CH31" i="20" s="1"/>
  <c r="CI31" i="20" s="1"/>
  <c r="CJ31" i="20" s="1"/>
  <c r="CK31" i="20" s="1"/>
  <c r="CL31" i="20" s="1"/>
  <c r="CM31" i="20" s="1"/>
  <c r="CN31" i="20" s="1"/>
  <c r="CO31" i="20" s="1"/>
  <c r="CP31" i="20" s="1"/>
  <c r="CQ31" i="20" s="1"/>
  <c r="CR31" i="20" s="1"/>
  <c r="CS31" i="20" s="1"/>
  <c r="CT31" i="20" s="1"/>
  <c r="CU31" i="20" s="1"/>
  <c r="CV31" i="20" s="1"/>
  <c r="CW31" i="20" s="1"/>
  <c r="CX31" i="20" s="1"/>
  <c r="CY31" i="20" s="1"/>
  <c r="CZ31" i="20" s="1"/>
  <c r="DA31" i="20" s="1"/>
  <c r="DB31" i="20" s="1"/>
  <c r="DC31" i="20" s="1"/>
  <c r="DD31" i="20" s="1"/>
  <c r="DE31" i="20" s="1"/>
  <c r="DF31" i="20" s="1"/>
  <c r="DG31" i="20" s="1"/>
  <c r="DH31" i="20" s="1"/>
  <c r="DI31" i="20" s="1"/>
  <c r="DJ31" i="20" s="1"/>
  <c r="DK31" i="20" s="1"/>
  <c r="DL31" i="20" s="1"/>
  <c r="DM31" i="20" s="1"/>
  <c r="DN31" i="20" s="1"/>
  <c r="DO31" i="20" s="1"/>
  <c r="DP31" i="20" s="1"/>
  <c r="A32" i="20" s="1"/>
  <c r="B32" i="20" s="1"/>
  <c r="C32" i="20" s="1"/>
  <c r="D32" i="20" s="1"/>
  <c r="E32" i="20" s="1"/>
  <c r="F32" i="20" s="1"/>
  <c r="G32" i="20" s="1"/>
  <c r="H32" i="20" s="1"/>
  <c r="I32" i="20" s="1"/>
  <c r="J32" i="20" s="1"/>
  <c r="K32" i="20" s="1"/>
  <c r="L32" i="20" s="1"/>
  <c r="M32" i="20" s="1"/>
  <c r="N32" i="20" s="1"/>
  <c r="O32" i="20" s="1"/>
  <c r="P32" i="20" s="1"/>
  <c r="Q32" i="20" s="1"/>
  <c r="R32" i="20" s="1"/>
  <c r="S32" i="20" s="1"/>
  <c r="T32" i="20" s="1"/>
  <c r="U32" i="20" s="1"/>
  <c r="V32" i="20" s="1"/>
  <c r="W32" i="20" s="1"/>
  <c r="X32" i="20" s="1"/>
  <c r="Y32" i="20" s="1"/>
  <c r="Z32" i="20" s="1"/>
  <c r="AA32" i="20" s="1"/>
  <c r="AB32" i="20" s="1"/>
  <c r="AC32" i="20" s="1"/>
  <c r="AD32" i="20" s="1"/>
  <c r="AE32" i="20" s="1"/>
  <c r="AF32" i="20" s="1"/>
  <c r="AG32" i="20" s="1"/>
  <c r="AH32" i="20" s="1"/>
  <c r="AI32" i="20" s="1"/>
  <c r="AJ32" i="20" s="1"/>
  <c r="AK32" i="20" s="1"/>
  <c r="AL32" i="20" s="1"/>
  <c r="AM32" i="20" s="1"/>
  <c r="AN32" i="20" s="1"/>
  <c r="AO32" i="20" s="1"/>
  <c r="AP32" i="20" s="1"/>
  <c r="AQ32" i="20" s="1"/>
  <c r="AR32" i="20" s="1"/>
  <c r="AS32" i="20" s="1"/>
  <c r="AT32" i="20" s="1"/>
  <c r="AU32" i="20" s="1"/>
  <c r="AV32" i="20" s="1"/>
  <c r="AW32" i="20" s="1"/>
  <c r="AX32" i="20" s="1"/>
  <c r="AY32" i="20" s="1"/>
  <c r="AZ32" i="20" s="1"/>
  <c r="BA32" i="20" s="1"/>
  <c r="BB32" i="20" s="1"/>
  <c r="BC32" i="20" s="1"/>
  <c r="BD32" i="20" s="1"/>
  <c r="BE32" i="20" s="1"/>
  <c r="BF32" i="20" s="1"/>
  <c r="BG32" i="20" s="1"/>
  <c r="BH32" i="20" s="1"/>
  <c r="BI32" i="20" s="1"/>
  <c r="BJ32" i="20" s="1"/>
  <c r="BK32" i="20" s="1"/>
  <c r="BL32" i="20" s="1"/>
  <c r="BM32" i="20" s="1"/>
  <c r="BN32" i="20" s="1"/>
  <c r="BO32" i="20" s="1"/>
  <c r="BP32" i="20" s="1"/>
  <c r="BQ32" i="20" s="1"/>
  <c r="BR32" i="20" s="1"/>
  <c r="BS32" i="20" s="1"/>
  <c r="BT32" i="20" s="1"/>
  <c r="BU32" i="20" s="1"/>
  <c r="BV32" i="20" s="1"/>
  <c r="BW32" i="20" s="1"/>
  <c r="BX32" i="20" s="1"/>
  <c r="BY32" i="20" s="1"/>
  <c r="BZ32" i="20" s="1"/>
  <c r="CA32" i="20" s="1"/>
  <c r="CB32" i="20" s="1"/>
  <c r="CC32" i="20" s="1"/>
  <c r="CD32" i="20" s="1"/>
  <c r="CE32" i="20" s="1"/>
  <c r="CF32" i="20" s="1"/>
  <c r="CG32" i="20" s="1"/>
  <c r="CH32" i="20" s="1"/>
  <c r="CI32" i="20" s="1"/>
  <c r="CJ32" i="20" s="1"/>
  <c r="CK32" i="20" s="1"/>
  <c r="CL32" i="20" s="1"/>
  <c r="CM32" i="20" s="1"/>
  <c r="CN32" i="20" s="1"/>
  <c r="CO32" i="20" s="1"/>
  <c r="CP32" i="20" s="1"/>
  <c r="CQ32" i="20" s="1"/>
  <c r="CR32" i="20" s="1"/>
  <c r="CS32" i="20" s="1"/>
  <c r="CT32" i="20" s="1"/>
  <c r="CU32" i="20" s="1"/>
  <c r="CV32" i="20" s="1"/>
  <c r="CW32" i="20" s="1"/>
  <c r="CX32" i="20" s="1"/>
  <c r="CY32" i="20" s="1"/>
  <c r="CZ32" i="20" s="1"/>
  <c r="DA32" i="20" s="1"/>
  <c r="DB32" i="20" s="1"/>
  <c r="DC32" i="20" s="1"/>
  <c r="DD32" i="20" s="1"/>
  <c r="DE32" i="20" s="1"/>
  <c r="DF32" i="20" s="1"/>
  <c r="DG32" i="20" s="1"/>
  <c r="DH32" i="20" s="1"/>
  <c r="DI32" i="20" s="1"/>
  <c r="DJ32" i="20" s="1"/>
  <c r="DK32" i="20" s="1"/>
  <c r="DL32" i="20" s="1"/>
  <c r="DM32" i="20" s="1"/>
  <c r="DN32" i="20" s="1"/>
  <c r="DO32" i="20" s="1"/>
  <c r="DP32" i="20" s="1"/>
  <c r="A33" i="20" s="1"/>
  <c r="B33" i="20" s="1"/>
  <c r="C33" i="20" s="1"/>
  <c r="D33" i="20" s="1"/>
  <c r="E33" i="20" s="1"/>
  <c r="F33" i="20" s="1"/>
  <c r="G33" i="20" s="1"/>
  <c r="H33" i="20" s="1"/>
  <c r="I33" i="20" s="1"/>
  <c r="J33" i="20" s="1"/>
  <c r="K33" i="20" s="1"/>
  <c r="L33" i="20" s="1"/>
  <c r="M33" i="20" s="1"/>
  <c r="N33" i="20" s="1"/>
  <c r="O33" i="20" s="1"/>
  <c r="P33" i="20" s="1"/>
  <c r="Q33" i="20" s="1"/>
  <c r="R33" i="20" s="1"/>
  <c r="S33" i="20" s="1"/>
  <c r="T33" i="20" s="1"/>
  <c r="U33" i="20" s="1"/>
  <c r="V33" i="20" s="1"/>
  <c r="W33" i="20" s="1"/>
  <c r="X33" i="20" s="1"/>
  <c r="Y33" i="20" s="1"/>
  <c r="Z33" i="20" s="1"/>
  <c r="AA33" i="20" s="1"/>
  <c r="AB33" i="20" s="1"/>
  <c r="AC33" i="20" s="1"/>
  <c r="AD33" i="20" s="1"/>
  <c r="AE33" i="20" s="1"/>
  <c r="AF33" i="20" s="1"/>
  <c r="AG33" i="20" s="1"/>
  <c r="AH33" i="20" s="1"/>
  <c r="AI33" i="20" s="1"/>
  <c r="AJ33" i="20" s="1"/>
  <c r="AK33" i="20" s="1"/>
  <c r="AL33" i="20" s="1"/>
  <c r="AM33" i="20" s="1"/>
  <c r="AN33" i="20" s="1"/>
  <c r="AO33" i="20" s="1"/>
  <c r="AP33" i="20" s="1"/>
  <c r="AQ33" i="20" s="1"/>
  <c r="AR33" i="20" s="1"/>
  <c r="AS33" i="20" s="1"/>
  <c r="AT33" i="20" s="1"/>
  <c r="AU33" i="20" s="1"/>
  <c r="AV33" i="20" s="1"/>
  <c r="AW33" i="20" s="1"/>
  <c r="AX33" i="20" s="1"/>
  <c r="AY33" i="20" s="1"/>
  <c r="AZ33" i="20" s="1"/>
  <c r="BA33" i="20" s="1"/>
  <c r="BB33" i="20" s="1"/>
  <c r="BC33" i="20" s="1"/>
  <c r="BD33" i="20" s="1"/>
  <c r="BE33" i="20" s="1"/>
  <c r="BF33" i="20" s="1"/>
  <c r="BG33" i="20" s="1"/>
  <c r="BH33" i="20" s="1"/>
  <c r="BI33" i="20" s="1"/>
  <c r="BJ33" i="20" s="1"/>
  <c r="BK33" i="20" s="1"/>
  <c r="BL33" i="20" s="1"/>
  <c r="BM33" i="20" s="1"/>
  <c r="BN33" i="20" s="1"/>
  <c r="BO33" i="20" s="1"/>
  <c r="BP33" i="20" s="1"/>
  <c r="BQ33" i="20" s="1"/>
  <c r="BR33" i="20" s="1"/>
  <c r="BS33" i="20" s="1"/>
  <c r="BT33" i="20" s="1"/>
  <c r="BU33" i="20" s="1"/>
  <c r="BV33" i="20" s="1"/>
  <c r="BW33" i="20" s="1"/>
  <c r="BX33" i="20" s="1"/>
  <c r="BY33" i="20" s="1"/>
  <c r="BZ33" i="20" s="1"/>
  <c r="CA33" i="20" s="1"/>
  <c r="CB33" i="20" s="1"/>
  <c r="CC33" i="20" s="1"/>
  <c r="CD33" i="20" s="1"/>
  <c r="CE33" i="20" s="1"/>
  <c r="CF33" i="20" s="1"/>
  <c r="CG33" i="20" s="1"/>
  <c r="CH33" i="20" s="1"/>
  <c r="CI33" i="20" s="1"/>
  <c r="CJ33" i="20" s="1"/>
  <c r="CK33" i="20" s="1"/>
  <c r="CL33" i="20" s="1"/>
  <c r="CM33" i="20" s="1"/>
  <c r="CN33" i="20" s="1"/>
  <c r="CO33" i="20" s="1"/>
  <c r="CP33" i="20" s="1"/>
  <c r="CQ33" i="20" s="1"/>
  <c r="CR33" i="20" s="1"/>
  <c r="CS33" i="20" s="1"/>
  <c r="CT33" i="20" s="1"/>
  <c r="CU33" i="20" s="1"/>
  <c r="CV33" i="20" s="1"/>
  <c r="CW33" i="20" s="1"/>
  <c r="CX33" i="20" s="1"/>
  <c r="CY33" i="20" s="1"/>
  <c r="CZ33" i="20" s="1"/>
  <c r="DA33" i="20" s="1"/>
  <c r="DB33" i="20" s="1"/>
  <c r="DC33" i="20" s="1"/>
  <c r="DD33" i="20" s="1"/>
  <c r="DE33" i="20" s="1"/>
  <c r="DF33" i="20" s="1"/>
  <c r="DG33" i="20" s="1"/>
  <c r="DH33" i="20" s="1"/>
  <c r="DI33" i="20" s="1"/>
  <c r="DJ33" i="20" s="1"/>
  <c r="DK33" i="20" s="1"/>
  <c r="DL33" i="20" s="1"/>
  <c r="DM33" i="20" s="1"/>
  <c r="DN33" i="20" s="1"/>
  <c r="DO33" i="20" s="1"/>
  <c r="DP33" i="20" s="1"/>
  <c r="A34" i="20" s="1"/>
  <c r="B34" i="20" s="1"/>
  <c r="C34" i="20" s="1"/>
  <c r="D34" i="20" s="1"/>
  <c r="E34" i="20" s="1"/>
  <c r="F34" i="20" s="1"/>
  <c r="G34" i="20" s="1"/>
  <c r="H34" i="20" s="1"/>
  <c r="I34" i="20" s="1"/>
  <c r="J34" i="20" s="1"/>
  <c r="K34" i="20" s="1"/>
  <c r="L34" i="20" s="1"/>
  <c r="M34" i="20" s="1"/>
  <c r="N34" i="20" s="1"/>
  <c r="O34" i="20" s="1"/>
  <c r="P34" i="20" s="1"/>
  <c r="Q34" i="20" s="1"/>
  <c r="R34" i="20" s="1"/>
  <c r="S34" i="20" s="1"/>
  <c r="T34" i="20" s="1"/>
  <c r="U34" i="20" s="1"/>
  <c r="V34" i="20" s="1"/>
  <c r="W34" i="20" s="1"/>
  <c r="X34" i="20" s="1"/>
  <c r="Y34" i="20" s="1"/>
  <c r="Z34" i="20" s="1"/>
  <c r="AA34" i="20" s="1"/>
  <c r="AB34" i="20" s="1"/>
  <c r="AC34" i="20" s="1"/>
  <c r="AD34" i="20" s="1"/>
  <c r="AE34" i="20" s="1"/>
  <c r="AF34" i="20" s="1"/>
  <c r="AG34" i="20" s="1"/>
  <c r="AH34" i="20" s="1"/>
  <c r="AI34" i="20" s="1"/>
  <c r="AJ34" i="20" s="1"/>
  <c r="AK34" i="20" s="1"/>
  <c r="AL34" i="20" s="1"/>
  <c r="AM34" i="20" s="1"/>
  <c r="AN34" i="20" s="1"/>
  <c r="AO34" i="20" s="1"/>
  <c r="AP34" i="20" s="1"/>
  <c r="AQ34" i="20" s="1"/>
  <c r="AR34" i="20" s="1"/>
  <c r="AS34" i="20" s="1"/>
  <c r="AT34" i="20" s="1"/>
  <c r="AU34" i="20" s="1"/>
  <c r="AV34" i="20" s="1"/>
  <c r="AW34" i="20" s="1"/>
  <c r="AX34" i="20" s="1"/>
  <c r="AY34" i="20" s="1"/>
  <c r="AZ34" i="20" s="1"/>
  <c r="BA34" i="20" s="1"/>
  <c r="BB34" i="20" s="1"/>
  <c r="BC34" i="20" s="1"/>
  <c r="BD34" i="20" s="1"/>
  <c r="BE34" i="20" s="1"/>
  <c r="BF34" i="20" s="1"/>
  <c r="BG34" i="20" s="1"/>
  <c r="BH34" i="20" s="1"/>
  <c r="BI34" i="20" s="1"/>
  <c r="BJ34" i="20" s="1"/>
  <c r="BK34" i="20" s="1"/>
  <c r="BL34" i="20" s="1"/>
  <c r="BM34" i="20" s="1"/>
  <c r="BN34" i="20" s="1"/>
  <c r="BO34" i="20" s="1"/>
  <c r="BP34" i="20" s="1"/>
  <c r="BQ34" i="20" s="1"/>
  <c r="BR34" i="20" s="1"/>
  <c r="BS34" i="20" s="1"/>
  <c r="BT34" i="20" s="1"/>
  <c r="BU34" i="20" s="1"/>
  <c r="BV34" i="20" s="1"/>
  <c r="BW34" i="20" s="1"/>
  <c r="BX34" i="20" s="1"/>
  <c r="BY34" i="20" s="1"/>
  <c r="BZ34" i="20" s="1"/>
  <c r="CA34" i="20" s="1"/>
  <c r="CB34" i="20" s="1"/>
  <c r="CC34" i="20" s="1"/>
  <c r="CD34" i="20" s="1"/>
  <c r="CE34" i="20" s="1"/>
  <c r="CF34" i="20" s="1"/>
  <c r="CG34" i="20" s="1"/>
  <c r="CH34" i="20" s="1"/>
  <c r="CI34" i="20" s="1"/>
  <c r="CJ34" i="20" s="1"/>
  <c r="CK34" i="20" s="1"/>
  <c r="CL34" i="20" s="1"/>
  <c r="CM34" i="20" s="1"/>
  <c r="CN34" i="20" s="1"/>
  <c r="CO34" i="20" s="1"/>
  <c r="CP34" i="20" s="1"/>
  <c r="CQ34" i="20" s="1"/>
  <c r="CR34" i="20" s="1"/>
  <c r="CS34" i="20" s="1"/>
  <c r="CT34" i="20" s="1"/>
  <c r="CU34" i="20" s="1"/>
  <c r="CV34" i="20" s="1"/>
  <c r="CW34" i="20" s="1"/>
  <c r="CX34" i="20" s="1"/>
  <c r="CY34" i="20" s="1"/>
  <c r="CZ34" i="20" s="1"/>
  <c r="DA34" i="20" s="1"/>
  <c r="DB34" i="20" s="1"/>
  <c r="DC34" i="20" s="1"/>
  <c r="DD34" i="20" s="1"/>
  <c r="DE34" i="20" s="1"/>
  <c r="DF34" i="20" s="1"/>
  <c r="DG34" i="20" s="1"/>
  <c r="DH34" i="20" s="1"/>
  <c r="DI34" i="20" s="1"/>
  <c r="DJ34" i="20" s="1"/>
  <c r="DK34" i="20" s="1"/>
  <c r="DL34" i="20" s="1"/>
  <c r="DM34" i="20" s="1"/>
  <c r="DN34" i="20" s="1"/>
  <c r="DO34" i="20" s="1"/>
  <c r="DP34" i="20" s="1"/>
  <c r="A35" i="20" s="1"/>
  <c r="B35" i="20" s="1"/>
  <c r="C35" i="20" s="1"/>
  <c r="D35" i="20" s="1"/>
  <c r="E35" i="20" s="1"/>
  <c r="F35" i="20" s="1"/>
  <c r="G35" i="20" s="1"/>
  <c r="H35" i="20" s="1"/>
  <c r="I35" i="20" s="1"/>
  <c r="J35" i="20" s="1"/>
  <c r="K35" i="20" s="1"/>
  <c r="L35" i="20" s="1"/>
  <c r="M35" i="20" s="1"/>
  <c r="N35" i="20" s="1"/>
  <c r="O35" i="20" s="1"/>
  <c r="P35" i="20" s="1"/>
  <c r="Q35" i="20" s="1"/>
  <c r="R35" i="20" s="1"/>
  <c r="S35" i="20" s="1"/>
  <c r="T35" i="20" s="1"/>
  <c r="U35" i="20" s="1"/>
  <c r="V35" i="20" s="1"/>
  <c r="W35" i="20" s="1"/>
  <c r="X35" i="20" s="1"/>
  <c r="Y35" i="20" s="1"/>
  <c r="Z35" i="20" s="1"/>
  <c r="AA35" i="20" s="1"/>
  <c r="AB35" i="20" s="1"/>
  <c r="AC35" i="20" s="1"/>
  <c r="AD35" i="20" s="1"/>
  <c r="AE35" i="20" s="1"/>
  <c r="AF35" i="20" s="1"/>
  <c r="AG35" i="20" s="1"/>
  <c r="AH35" i="20" s="1"/>
  <c r="AI35" i="20" s="1"/>
  <c r="AJ35" i="20" s="1"/>
  <c r="AK35" i="20" s="1"/>
  <c r="AL35" i="20" s="1"/>
  <c r="AM35" i="20" s="1"/>
  <c r="AN35" i="20" s="1"/>
  <c r="AO35" i="20" s="1"/>
  <c r="AP35" i="20" s="1"/>
  <c r="AQ35" i="20" s="1"/>
  <c r="AR35" i="20" s="1"/>
  <c r="AS35" i="20" s="1"/>
  <c r="AT35" i="20" s="1"/>
  <c r="AU35" i="20" s="1"/>
  <c r="AV35" i="20" s="1"/>
  <c r="AW35" i="20" s="1"/>
  <c r="AX35" i="20" s="1"/>
  <c r="AY35" i="20" s="1"/>
  <c r="AZ35" i="20" s="1"/>
  <c r="BA35" i="20" s="1"/>
  <c r="BB35" i="20" s="1"/>
  <c r="BC35" i="20" s="1"/>
  <c r="BD35" i="20" s="1"/>
  <c r="BE35" i="20" s="1"/>
  <c r="BF35" i="20" s="1"/>
  <c r="BG35" i="20" s="1"/>
  <c r="BH35" i="20" s="1"/>
  <c r="BI35" i="20" s="1"/>
  <c r="BJ35" i="20" s="1"/>
  <c r="BK35" i="20" s="1"/>
  <c r="BL35" i="20" s="1"/>
  <c r="BM35" i="20" s="1"/>
  <c r="BN35" i="20" s="1"/>
  <c r="BO35" i="20" s="1"/>
  <c r="BP35" i="20" s="1"/>
  <c r="BQ35" i="20" s="1"/>
  <c r="BR35" i="20" s="1"/>
  <c r="BS35" i="20" s="1"/>
  <c r="BT35" i="20" s="1"/>
  <c r="BU35" i="20" s="1"/>
  <c r="BV35" i="20" s="1"/>
  <c r="BW35" i="20" s="1"/>
  <c r="BX35" i="20" s="1"/>
  <c r="BY35" i="20" s="1"/>
  <c r="BZ35" i="20" s="1"/>
  <c r="CA35" i="20" s="1"/>
  <c r="CB35" i="20" s="1"/>
  <c r="CC35" i="20" s="1"/>
  <c r="CD35" i="20" s="1"/>
  <c r="CE35" i="20" s="1"/>
  <c r="CF35" i="20" s="1"/>
  <c r="CG35" i="20" s="1"/>
  <c r="CH35" i="20" s="1"/>
  <c r="CI35" i="20" s="1"/>
  <c r="CJ35" i="20" s="1"/>
  <c r="CK35" i="20" s="1"/>
  <c r="CL35" i="20" s="1"/>
  <c r="CM35" i="20" s="1"/>
  <c r="CN35" i="20" s="1"/>
  <c r="CO35" i="20" s="1"/>
  <c r="CP35" i="20" s="1"/>
  <c r="CQ35" i="20" s="1"/>
  <c r="CR35" i="20" s="1"/>
  <c r="CS35" i="20" s="1"/>
  <c r="CT35" i="20" s="1"/>
  <c r="CU35" i="20" s="1"/>
  <c r="CV35" i="20" s="1"/>
  <c r="CW35" i="20" s="1"/>
  <c r="CX35" i="20" s="1"/>
  <c r="CY35" i="20" s="1"/>
  <c r="CZ35" i="20" s="1"/>
  <c r="DA35" i="20" s="1"/>
  <c r="DB35" i="20" s="1"/>
  <c r="DC35" i="20" s="1"/>
  <c r="DD35" i="20" s="1"/>
  <c r="DE35" i="20" s="1"/>
  <c r="DF35" i="20" s="1"/>
  <c r="DG35" i="20" s="1"/>
  <c r="DH35" i="20" s="1"/>
  <c r="DI35" i="20" s="1"/>
  <c r="DJ35" i="20" s="1"/>
  <c r="DK35" i="20" s="1"/>
  <c r="DL35" i="20" s="1"/>
  <c r="DM35" i="20" s="1"/>
  <c r="DN35" i="20" s="1"/>
  <c r="DO35" i="20" s="1"/>
  <c r="DP35" i="20" s="1"/>
  <c r="A36" i="20" s="1"/>
  <c r="B36" i="20" s="1"/>
  <c r="C36" i="20" s="1"/>
  <c r="D36" i="20" s="1"/>
  <c r="E36" i="20" s="1"/>
  <c r="F36" i="20" s="1"/>
  <c r="G36" i="20" s="1"/>
  <c r="H36" i="20" s="1"/>
  <c r="I36" i="20" s="1"/>
  <c r="J36" i="20" s="1"/>
  <c r="K36" i="20" s="1"/>
  <c r="L36" i="20" s="1"/>
  <c r="M36" i="20" s="1"/>
  <c r="N36" i="20" s="1"/>
  <c r="O36" i="20" s="1"/>
  <c r="P36" i="20" s="1"/>
  <c r="Q36" i="20" s="1"/>
  <c r="R36" i="20" s="1"/>
  <c r="S36" i="20" s="1"/>
  <c r="T36" i="20" s="1"/>
  <c r="U36" i="20" s="1"/>
  <c r="V36" i="20" s="1"/>
  <c r="W36" i="20" s="1"/>
  <c r="X36" i="20" s="1"/>
  <c r="Y36" i="20" s="1"/>
  <c r="Z36" i="20" s="1"/>
  <c r="AA36" i="20" s="1"/>
  <c r="AB36" i="20" s="1"/>
  <c r="AC36" i="20" s="1"/>
  <c r="AD36" i="20" s="1"/>
  <c r="AE36" i="20" s="1"/>
  <c r="AF36" i="20" s="1"/>
  <c r="AG36" i="20" s="1"/>
  <c r="AH36" i="20" s="1"/>
  <c r="AI36" i="20" s="1"/>
  <c r="AJ36" i="20" s="1"/>
  <c r="AK36" i="20" s="1"/>
  <c r="AL36" i="20" s="1"/>
  <c r="AM36" i="20" s="1"/>
  <c r="AN36" i="20" s="1"/>
  <c r="AO36" i="20" s="1"/>
  <c r="AP36" i="20" s="1"/>
  <c r="AQ36" i="20" s="1"/>
  <c r="AR36" i="20" s="1"/>
  <c r="AS36" i="20" s="1"/>
  <c r="AT36" i="20" s="1"/>
  <c r="AU36" i="20" s="1"/>
  <c r="AV36" i="20" s="1"/>
  <c r="AW36" i="20" s="1"/>
  <c r="AX36" i="20" s="1"/>
  <c r="AY36" i="20" s="1"/>
  <c r="AZ36" i="20" s="1"/>
  <c r="BA36" i="20" s="1"/>
  <c r="BB36" i="20" s="1"/>
  <c r="BC36" i="20" s="1"/>
  <c r="BD36" i="20" s="1"/>
  <c r="BE36" i="20" s="1"/>
  <c r="BF36" i="20" s="1"/>
  <c r="BG36" i="20" s="1"/>
  <c r="BH36" i="20" s="1"/>
  <c r="BI36" i="20" s="1"/>
  <c r="BJ36" i="20" s="1"/>
  <c r="BK36" i="20" s="1"/>
  <c r="BL36" i="20" s="1"/>
  <c r="BM36" i="20" s="1"/>
  <c r="BN36" i="20" s="1"/>
  <c r="BO36" i="20" s="1"/>
  <c r="BP36" i="20" s="1"/>
  <c r="BQ36" i="20" s="1"/>
  <c r="BR36" i="20" s="1"/>
  <c r="BS36" i="20" s="1"/>
  <c r="BT36" i="20" s="1"/>
  <c r="BU36" i="20" s="1"/>
  <c r="BV36" i="20" s="1"/>
  <c r="BW36" i="20" s="1"/>
  <c r="BX36" i="20" s="1"/>
  <c r="BY36" i="20" s="1"/>
  <c r="BZ36" i="20" s="1"/>
  <c r="CA36" i="20" s="1"/>
  <c r="CB36" i="20" s="1"/>
  <c r="CC36" i="20" s="1"/>
  <c r="CD36" i="20" s="1"/>
  <c r="CE36" i="20" s="1"/>
  <c r="CF36" i="20" s="1"/>
  <c r="CG36" i="20" s="1"/>
  <c r="CH36" i="20" s="1"/>
  <c r="CI36" i="20" s="1"/>
  <c r="CJ36" i="20" s="1"/>
  <c r="CK36" i="20" s="1"/>
  <c r="CL36" i="20" s="1"/>
  <c r="CM36" i="20" s="1"/>
  <c r="CN36" i="20" s="1"/>
  <c r="CO36" i="20" s="1"/>
  <c r="CP36" i="20" s="1"/>
  <c r="CQ36" i="20" s="1"/>
  <c r="CR36" i="20" s="1"/>
  <c r="CS36" i="20" s="1"/>
  <c r="CT36" i="20" s="1"/>
  <c r="CU36" i="20" s="1"/>
  <c r="CV36" i="20" s="1"/>
  <c r="CW36" i="20" s="1"/>
  <c r="CX36" i="20" s="1"/>
  <c r="CY36" i="20" s="1"/>
  <c r="CZ36" i="20" s="1"/>
  <c r="DA36" i="20" s="1"/>
  <c r="DB36" i="20" s="1"/>
  <c r="DC36" i="20" s="1"/>
  <c r="DD36" i="20" s="1"/>
  <c r="DE36" i="20" s="1"/>
  <c r="DF36" i="20" s="1"/>
  <c r="DG36" i="20" s="1"/>
  <c r="DH36" i="20" s="1"/>
  <c r="DI36" i="20" s="1"/>
  <c r="DJ36" i="20" s="1"/>
  <c r="DK36" i="20" s="1"/>
  <c r="DL36" i="20" s="1"/>
  <c r="DM36" i="20" s="1"/>
  <c r="DN36" i="20" s="1"/>
  <c r="DO36" i="20" s="1"/>
  <c r="DP36" i="20" s="1"/>
  <c r="A37" i="20" s="1"/>
  <c r="B37" i="20" s="1"/>
  <c r="C37" i="20" s="1"/>
  <c r="D37" i="20" s="1"/>
  <c r="E37" i="20" s="1"/>
  <c r="F37" i="20" s="1"/>
  <c r="G37" i="20" s="1"/>
  <c r="H37" i="20" s="1"/>
  <c r="I37" i="20" s="1"/>
  <c r="J37" i="20" s="1"/>
  <c r="K37" i="20" s="1"/>
  <c r="L37" i="20" s="1"/>
  <c r="M37" i="20" s="1"/>
  <c r="N37" i="20" s="1"/>
  <c r="O37" i="20" s="1"/>
  <c r="P37" i="20" s="1"/>
  <c r="Q37" i="20" s="1"/>
  <c r="R37" i="20" s="1"/>
  <c r="S37" i="20" s="1"/>
  <c r="T37" i="20" s="1"/>
  <c r="U37" i="20" s="1"/>
  <c r="V37" i="20" s="1"/>
  <c r="W37" i="20" s="1"/>
  <c r="X37" i="20" s="1"/>
  <c r="Y37" i="20" s="1"/>
  <c r="Z37" i="20" s="1"/>
  <c r="AA37" i="20" s="1"/>
  <c r="AB37" i="20" s="1"/>
  <c r="AC37" i="20" s="1"/>
  <c r="AD37" i="20" s="1"/>
  <c r="AE37" i="20" s="1"/>
  <c r="AF37" i="20" s="1"/>
  <c r="AG37" i="20" s="1"/>
  <c r="AH37" i="20" s="1"/>
  <c r="AI37" i="20" s="1"/>
  <c r="AJ37" i="20" s="1"/>
  <c r="AK37" i="20" s="1"/>
  <c r="AL37" i="20" s="1"/>
  <c r="AM37" i="20" s="1"/>
  <c r="AN37" i="20" s="1"/>
  <c r="AO37" i="20" s="1"/>
  <c r="AP37" i="20" s="1"/>
  <c r="AQ37" i="20" s="1"/>
  <c r="AR37" i="20" s="1"/>
  <c r="AS37" i="20" s="1"/>
  <c r="AT37" i="20" s="1"/>
  <c r="AU37" i="20" s="1"/>
  <c r="AV37" i="20" s="1"/>
  <c r="AW37" i="20" s="1"/>
  <c r="AX37" i="20" s="1"/>
  <c r="AY37" i="20" s="1"/>
  <c r="AZ37" i="20" s="1"/>
  <c r="BA37" i="20" s="1"/>
  <c r="BB37" i="20" s="1"/>
  <c r="BC37" i="20" s="1"/>
  <c r="BD37" i="20" s="1"/>
  <c r="BE37" i="20" s="1"/>
  <c r="BF37" i="20" s="1"/>
  <c r="BG37" i="20" s="1"/>
  <c r="BH37" i="20" s="1"/>
  <c r="BI37" i="20" s="1"/>
  <c r="BJ37" i="20" s="1"/>
  <c r="BK37" i="20" s="1"/>
  <c r="BL37" i="20" s="1"/>
  <c r="BM37" i="20" s="1"/>
  <c r="BN37" i="20" s="1"/>
  <c r="BO37" i="20" s="1"/>
  <c r="BP37" i="20" s="1"/>
  <c r="BQ37" i="20" s="1"/>
  <c r="BR37" i="20" s="1"/>
  <c r="BS37" i="20" s="1"/>
  <c r="BT37" i="20" s="1"/>
  <c r="BU37" i="20" s="1"/>
  <c r="BV37" i="20" s="1"/>
  <c r="BW37" i="20" s="1"/>
  <c r="BX37" i="20" s="1"/>
  <c r="BY37" i="20" s="1"/>
  <c r="BZ37" i="20" s="1"/>
  <c r="CA37" i="20" s="1"/>
  <c r="CB37" i="20" s="1"/>
  <c r="CC37" i="20" s="1"/>
  <c r="CD37" i="20" s="1"/>
  <c r="CE37" i="20" s="1"/>
  <c r="CF37" i="20" s="1"/>
  <c r="CG37" i="20" s="1"/>
  <c r="CH37" i="20" s="1"/>
  <c r="CI37" i="20" s="1"/>
  <c r="CJ37" i="20" s="1"/>
  <c r="CK37" i="20" s="1"/>
  <c r="CL37" i="20" s="1"/>
  <c r="CM37" i="20" s="1"/>
  <c r="CN37" i="20" s="1"/>
  <c r="CO37" i="20" s="1"/>
  <c r="CP37" i="20" s="1"/>
  <c r="CQ37" i="20" s="1"/>
  <c r="CR37" i="20" s="1"/>
  <c r="CS37" i="20" s="1"/>
  <c r="CT37" i="20" s="1"/>
  <c r="CU37" i="20" s="1"/>
  <c r="CV37" i="20" s="1"/>
  <c r="CW37" i="20" s="1"/>
  <c r="CX37" i="20" s="1"/>
  <c r="CY37" i="20" s="1"/>
  <c r="CZ37" i="20" s="1"/>
  <c r="DA37" i="20" s="1"/>
  <c r="DB37" i="20" s="1"/>
  <c r="DC37" i="20" s="1"/>
  <c r="DD37" i="20" s="1"/>
  <c r="DE37" i="20" s="1"/>
  <c r="DF37" i="20" s="1"/>
  <c r="DG37" i="20" s="1"/>
  <c r="DH37" i="20" s="1"/>
  <c r="DI37" i="20" s="1"/>
  <c r="DJ37" i="20" s="1"/>
  <c r="DK37" i="20" s="1"/>
  <c r="DL37" i="20" s="1"/>
  <c r="DM37" i="20" s="1"/>
  <c r="DN37" i="20" s="1"/>
  <c r="DO37" i="20" s="1"/>
  <c r="DP37" i="20" s="1"/>
  <c r="A38" i="20" s="1"/>
  <c r="B38" i="20" s="1"/>
  <c r="C38" i="20" s="1"/>
  <c r="D38" i="20" s="1"/>
  <c r="E38" i="20" s="1"/>
  <c r="F38" i="20" s="1"/>
  <c r="G38" i="20" s="1"/>
  <c r="H38" i="20" s="1"/>
  <c r="I38" i="20" s="1"/>
  <c r="J38" i="20" s="1"/>
  <c r="K38" i="20" s="1"/>
  <c r="L38" i="20" s="1"/>
  <c r="M38" i="20" s="1"/>
  <c r="N38" i="20" s="1"/>
  <c r="O38" i="20" s="1"/>
  <c r="P38" i="20" s="1"/>
  <c r="Q38" i="20" s="1"/>
  <c r="R38" i="20" s="1"/>
  <c r="S38" i="20" s="1"/>
  <c r="T38" i="20" s="1"/>
  <c r="U38" i="20" s="1"/>
  <c r="V38" i="20" s="1"/>
  <c r="W38" i="20" s="1"/>
  <c r="X38" i="20" s="1"/>
  <c r="Y38" i="20" s="1"/>
  <c r="Z38" i="20" s="1"/>
  <c r="AA38" i="20" s="1"/>
  <c r="AB38" i="20" s="1"/>
  <c r="AC38" i="20" s="1"/>
  <c r="AD38" i="20" s="1"/>
  <c r="AE38" i="20" s="1"/>
  <c r="AF38" i="20" s="1"/>
  <c r="AG38" i="20" s="1"/>
  <c r="AH38" i="20" s="1"/>
  <c r="AI38" i="20" s="1"/>
  <c r="AJ38" i="20" s="1"/>
  <c r="AK38" i="20" s="1"/>
  <c r="AL38" i="20" s="1"/>
  <c r="AM38" i="20" s="1"/>
  <c r="AN38" i="20" s="1"/>
  <c r="AO38" i="20" s="1"/>
  <c r="AP38" i="20" s="1"/>
  <c r="AQ38" i="20" s="1"/>
  <c r="AR38" i="20" s="1"/>
  <c r="AS38" i="20" s="1"/>
  <c r="AT38" i="20" s="1"/>
  <c r="AU38" i="20" s="1"/>
  <c r="AV38" i="20" s="1"/>
  <c r="AW38" i="20" s="1"/>
  <c r="AX38" i="20" s="1"/>
  <c r="AY38" i="20" s="1"/>
  <c r="AZ38" i="20" s="1"/>
  <c r="BA38" i="20" s="1"/>
  <c r="BB38" i="20" s="1"/>
  <c r="BC38" i="20" s="1"/>
  <c r="BD38" i="20" s="1"/>
  <c r="BE38" i="20" s="1"/>
  <c r="BF38" i="20" s="1"/>
  <c r="BG38" i="20" s="1"/>
  <c r="BH38" i="20" s="1"/>
  <c r="BI38" i="20" s="1"/>
  <c r="BJ38" i="20" s="1"/>
  <c r="BK38" i="20" s="1"/>
  <c r="BL38" i="20" s="1"/>
  <c r="BM38" i="20" s="1"/>
  <c r="BN38" i="20" s="1"/>
  <c r="BO38" i="20" s="1"/>
  <c r="BP38" i="20" s="1"/>
  <c r="BQ38" i="20" s="1"/>
  <c r="BR38" i="20" s="1"/>
  <c r="BS38" i="20" s="1"/>
  <c r="BT38" i="20" s="1"/>
  <c r="BU38" i="20" s="1"/>
  <c r="BV38" i="20" s="1"/>
  <c r="BW38" i="20" s="1"/>
  <c r="BX38" i="20" s="1"/>
  <c r="BY38" i="20" s="1"/>
  <c r="BZ38" i="20" s="1"/>
  <c r="CA38" i="20" s="1"/>
  <c r="CB38" i="20" s="1"/>
  <c r="CC38" i="20" s="1"/>
  <c r="CD38" i="20" s="1"/>
  <c r="CE38" i="20" s="1"/>
  <c r="CF38" i="20" s="1"/>
  <c r="CG38" i="20" s="1"/>
  <c r="CH38" i="20" s="1"/>
  <c r="CI38" i="20" s="1"/>
  <c r="CJ38" i="20" s="1"/>
  <c r="CK38" i="20" s="1"/>
  <c r="CL38" i="20" s="1"/>
  <c r="CM38" i="20" s="1"/>
  <c r="CN38" i="20" s="1"/>
  <c r="CO38" i="20" s="1"/>
  <c r="CP38" i="20" s="1"/>
  <c r="CQ38" i="20" s="1"/>
  <c r="CR38" i="20" s="1"/>
  <c r="CS38" i="20" s="1"/>
  <c r="CT38" i="20" s="1"/>
  <c r="CU38" i="20" s="1"/>
  <c r="CV38" i="20" s="1"/>
  <c r="CW38" i="20" s="1"/>
  <c r="CX38" i="20" s="1"/>
  <c r="CY38" i="20" s="1"/>
  <c r="CZ38" i="20" s="1"/>
  <c r="DA38" i="20" s="1"/>
  <c r="DB38" i="20" s="1"/>
  <c r="DC38" i="20" s="1"/>
  <c r="DD38" i="20" s="1"/>
  <c r="DE38" i="20" s="1"/>
  <c r="DF38" i="20" s="1"/>
  <c r="DG38" i="20" s="1"/>
  <c r="DH38" i="20" s="1"/>
  <c r="DI38" i="20" s="1"/>
  <c r="DJ38" i="20" s="1"/>
  <c r="DK38" i="20" s="1"/>
  <c r="DL38" i="20" s="1"/>
  <c r="DM38" i="20" s="1"/>
  <c r="DN38" i="20" s="1"/>
  <c r="DO38" i="20" s="1"/>
  <c r="DP38" i="20" s="1"/>
  <c r="A39" i="20" s="1"/>
  <c r="B39" i="20" s="1"/>
  <c r="C39" i="20" s="1"/>
  <c r="D39" i="20" s="1"/>
  <c r="E39" i="20" s="1"/>
  <c r="F39" i="20" s="1"/>
  <c r="G39" i="20" s="1"/>
  <c r="H39" i="20" s="1"/>
  <c r="I39" i="20" s="1"/>
  <c r="J39" i="20" s="1"/>
  <c r="K39" i="20" s="1"/>
  <c r="L39" i="20" s="1"/>
  <c r="M39" i="20" s="1"/>
  <c r="N39" i="20" s="1"/>
  <c r="O39" i="20" s="1"/>
  <c r="P39" i="20" s="1"/>
  <c r="Q39" i="20" s="1"/>
  <c r="R39" i="20" s="1"/>
  <c r="S39" i="20" s="1"/>
  <c r="T39" i="20" s="1"/>
  <c r="U39" i="20" s="1"/>
  <c r="V39" i="20" s="1"/>
  <c r="W39" i="20" s="1"/>
  <c r="X39" i="20" s="1"/>
  <c r="Y39" i="20" s="1"/>
  <c r="Z39" i="20" s="1"/>
  <c r="AA39" i="20" s="1"/>
  <c r="AB39" i="20" s="1"/>
  <c r="AC39" i="20" s="1"/>
  <c r="AD39" i="20" s="1"/>
  <c r="AE39" i="20" s="1"/>
  <c r="AF39" i="20" s="1"/>
  <c r="AG39" i="20" s="1"/>
  <c r="AH39" i="20" s="1"/>
  <c r="AI39" i="20" s="1"/>
  <c r="AJ39" i="20" s="1"/>
  <c r="AK39" i="20" s="1"/>
  <c r="AL39" i="20" s="1"/>
  <c r="AM39" i="20" s="1"/>
  <c r="AN39" i="20" s="1"/>
  <c r="AO39" i="20" s="1"/>
  <c r="AP39" i="20" s="1"/>
  <c r="AQ39" i="20" s="1"/>
  <c r="AR39" i="20" s="1"/>
  <c r="AS39" i="20" s="1"/>
  <c r="AT39" i="20" s="1"/>
  <c r="AU39" i="20" s="1"/>
  <c r="AV39" i="20" s="1"/>
  <c r="AW39" i="20" s="1"/>
  <c r="AX39" i="20" s="1"/>
  <c r="AY39" i="20" s="1"/>
  <c r="AZ39" i="20" s="1"/>
  <c r="BA39" i="20" s="1"/>
  <c r="BB39" i="20" s="1"/>
  <c r="BC39" i="20" s="1"/>
  <c r="BD39" i="20" s="1"/>
  <c r="BE39" i="20" s="1"/>
  <c r="BF39" i="20" s="1"/>
  <c r="BG39" i="20" s="1"/>
  <c r="BH39" i="20" s="1"/>
  <c r="BI39" i="20" s="1"/>
  <c r="BJ39" i="20" s="1"/>
  <c r="BK39" i="20" s="1"/>
  <c r="BL39" i="20" s="1"/>
  <c r="BM39" i="20" s="1"/>
  <c r="BN39" i="20" s="1"/>
  <c r="BO39" i="20" s="1"/>
  <c r="BP39" i="20" s="1"/>
  <c r="BQ39" i="20" s="1"/>
  <c r="BR39" i="20" s="1"/>
  <c r="BS39" i="20" s="1"/>
  <c r="BT39" i="20" s="1"/>
  <c r="BU39" i="20" s="1"/>
  <c r="BV39" i="20" s="1"/>
  <c r="BW39" i="20" s="1"/>
  <c r="BX39" i="20" s="1"/>
  <c r="BY39" i="20" s="1"/>
  <c r="BZ39" i="20" s="1"/>
  <c r="CA39" i="20" s="1"/>
  <c r="CB39" i="20" s="1"/>
  <c r="CC39" i="20" s="1"/>
  <c r="CD39" i="20" s="1"/>
  <c r="CE39" i="20" s="1"/>
  <c r="CF39" i="20" s="1"/>
  <c r="CG39" i="20" s="1"/>
  <c r="CH39" i="20" s="1"/>
  <c r="CI39" i="20" s="1"/>
  <c r="CJ39" i="20" s="1"/>
  <c r="CK39" i="20" s="1"/>
  <c r="CL39" i="20" s="1"/>
  <c r="CM39" i="20" s="1"/>
  <c r="CN39" i="20" s="1"/>
  <c r="CO39" i="20" s="1"/>
  <c r="CP39" i="20" s="1"/>
  <c r="CQ39" i="20" s="1"/>
  <c r="CR39" i="20" s="1"/>
  <c r="CS39" i="20" s="1"/>
  <c r="CT39" i="20" s="1"/>
  <c r="CU39" i="20" s="1"/>
  <c r="CV39" i="20" s="1"/>
  <c r="CW39" i="20" s="1"/>
  <c r="CX39" i="20" s="1"/>
  <c r="CY39" i="20" s="1"/>
  <c r="CZ39" i="20" s="1"/>
  <c r="DA39" i="20" s="1"/>
  <c r="DB39" i="20" s="1"/>
  <c r="DC39" i="20" s="1"/>
  <c r="DD39" i="20" s="1"/>
  <c r="DE39" i="20" s="1"/>
  <c r="DF39" i="20" s="1"/>
  <c r="DG39" i="20" s="1"/>
  <c r="DH39" i="20" s="1"/>
  <c r="DI39" i="20" s="1"/>
  <c r="DJ39" i="20" s="1"/>
  <c r="DK39" i="20" s="1"/>
  <c r="DL39" i="20" s="1"/>
  <c r="DM39" i="20" s="1"/>
  <c r="DN39" i="20" s="1"/>
  <c r="DO39" i="20" s="1"/>
  <c r="DP39" i="20" s="1"/>
  <c r="A40" i="20" s="1"/>
  <c r="B40" i="20" s="1"/>
  <c r="C40" i="20" s="1"/>
  <c r="D40" i="20" s="1"/>
  <c r="E40" i="20" s="1"/>
  <c r="F40" i="20" s="1"/>
  <c r="G40" i="20" s="1"/>
  <c r="H40" i="20" s="1"/>
  <c r="I40" i="20" s="1"/>
  <c r="J40" i="20" s="1"/>
  <c r="K40" i="20" s="1"/>
  <c r="L40" i="20" s="1"/>
  <c r="M40" i="20" s="1"/>
  <c r="N40" i="20" s="1"/>
  <c r="O40" i="20" s="1"/>
  <c r="P40" i="20" s="1"/>
  <c r="Q40" i="20" s="1"/>
  <c r="R40" i="20" s="1"/>
  <c r="S40" i="20" s="1"/>
  <c r="T40" i="20" s="1"/>
  <c r="U40" i="20" s="1"/>
  <c r="V40" i="20" s="1"/>
  <c r="W40" i="20" s="1"/>
  <c r="X40" i="20" s="1"/>
  <c r="Y40" i="20" s="1"/>
  <c r="Z40" i="20" s="1"/>
  <c r="AA40" i="20" s="1"/>
  <c r="AB40" i="20" s="1"/>
  <c r="AC40" i="20" s="1"/>
  <c r="AD40" i="20" s="1"/>
  <c r="AE40" i="20" s="1"/>
  <c r="AF40" i="20" s="1"/>
  <c r="AG40" i="20" s="1"/>
  <c r="AH40" i="20" s="1"/>
  <c r="AI40" i="20" s="1"/>
  <c r="AJ40" i="20" s="1"/>
  <c r="AK40" i="20" s="1"/>
  <c r="AL40" i="20" s="1"/>
  <c r="AM40" i="20" s="1"/>
  <c r="AN40" i="20" s="1"/>
  <c r="AO40" i="20" s="1"/>
  <c r="AP40" i="20" s="1"/>
  <c r="AQ40" i="20" s="1"/>
  <c r="AR40" i="20" s="1"/>
  <c r="AS40" i="20" s="1"/>
  <c r="AT40" i="20" s="1"/>
  <c r="AU40" i="20" s="1"/>
  <c r="AV40" i="20" s="1"/>
  <c r="AW40" i="20" s="1"/>
  <c r="AX40" i="20" s="1"/>
  <c r="AY40" i="20" s="1"/>
  <c r="AZ40" i="20" s="1"/>
  <c r="BA40" i="20" s="1"/>
  <c r="BB40" i="20" s="1"/>
  <c r="BC40" i="20" s="1"/>
  <c r="BD40" i="20" s="1"/>
  <c r="BE40" i="20" s="1"/>
  <c r="BF40" i="20" s="1"/>
  <c r="BG40" i="20" s="1"/>
  <c r="BH40" i="20" s="1"/>
  <c r="BI40" i="20" s="1"/>
  <c r="BJ40" i="20" s="1"/>
  <c r="BK40" i="20" s="1"/>
  <c r="BL40" i="20" s="1"/>
  <c r="BM40" i="20" s="1"/>
  <c r="BN40" i="20" s="1"/>
  <c r="BO40" i="20" s="1"/>
  <c r="BP40" i="20" s="1"/>
  <c r="BQ40" i="20" s="1"/>
  <c r="BR40" i="20" s="1"/>
  <c r="BS40" i="20" s="1"/>
  <c r="BT40" i="20" s="1"/>
  <c r="BU40" i="20" s="1"/>
  <c r="BV40" i="20" s="1"/>
  <c r="BW40" i="20" s="1"/>
  <c r="BX40" i="20" s="1"/>
  <c r="BY40" i="20" s="1"/>
  <c r="BZ40" i="20" s="1"/>
  <c r="CA40" i="20" s="1"/>
  <c r="CB40" i="20" s="1"/>
  <c r="CC40" i="20" s="1"/>
  <c r="CD40" i="20" s="1"/>
  <c r="CE40" i="20" s="1"/>
  <c r="CF40" i="20" s="1"/>
  <c r="CG40" i="20" s="1"/>
  <c r="CH40" i="20" s="1"/>
  <c r="CI40" i="20" s="1"/>
  <c r="CJ40" i="20" s="1"/>
  <c r="CK40" i="20" s="1"/>
  <c r="CL40" i="20" s="1"/>
  <c r="CM40" i="20" s="1"/>
  <c r="CN40" i="20" s="1"/>
  <c r="CO40" i="20" s="1"/>
  <c r="CP40" i="20" s="1"/>
  <c r="CQ40" i="20" s="1"/>
  <c r="CR40" i="20" s="1"/>
  <c r="CS40" i="20" s="1"/>
  <c r="CT40" i="20" s="1"/>
  <c r="CU40" i="20" s="1"/>
  <c r="CV40" i="20" s="1"/>
  <c r="CW40" i="20" s="1"/>
  <c r="CX40" i="20" s="1"/>
  <c r="CY40" i="20" s="1"/>
  <c r="CZ40" i="20" s="1"/>
  <c r="DA40" i="20" s="1"/>
  <c r="DB40" i="20" s="1"/>
  <c r="DC40" i="20" s="1"/>
  <c r="DD40" i="20" s="1"/>
  <c r="DE40" i="20" s="1"/>
  <c r="DF40" i="20" s="1"/>
  <c r="DG40" i="20" s="1"/>
  <c r="DH40" i="20" s="1"/>
  <c r="DI40" i="20" s="1"/>
  <c r="DJ40" i="20" s="1"/>
  <c r="DK40" i="20" s="1"/>
  <c r="DL40" i="20" s="1"/>
  <c r="DM40" i="20" s="1"/>
  <c r="DN40" i="20" s="1"/>
  <c r="DO40" i="20" s="1"/>
  <c r="DP40" i="20" s="1"/>
  <c r="A41" i="20" s="1"/>
  <c r="B41" i="20" s="1"/>
  <c r="C41" i="20" s="1"/>
  <c r="D41" i="20" s="1"/>
  <c r="E41" i="20" s="1"/>
  <c r="F41" i="20" s="1"/>
  <c r="G41" i="20" s="1"/>
  <c r="H41" i="20" s="1"/>
  <c r="I41" i="20" s="1"/>
  <c r="J41" i="20" s="1"/>
  <c r="K41" i="20" s="1"/>
  <c r="L41" i="20" s="1"/>
  <c r="M41" i="20" s="1"/>
  <c r="N41" i="20" s="1"/>
  <c r="O41" i="20" s="1"/>
  <c r="P41" i="20" s="1"/>
  <c r="Q41" i="20" s="1"/>
  <c r="R41" i="20" s="1"/>
  <c r="S41" i="20" s="1"/>
  <c r="T41" i="20" s="1"/>
  <c r="U41" i="20" s="1"/>
  <c r="V41" i="20" s="1"/>
  <c r="W41" i="20" s="1"/>
  <c r="X41" i="20" s="1"/>
  <c r="Y41" i="20" s="1"/>
  <c r="Z41" i="20" s="1"/>
  <c r="AA41" i="20" s="1"/>
  <c r="AB41" i="20" s="1"/>
  <c r="AC41" i="20" s="1"/>
  <c r="AD41" i="20" s="1"/>
  <c r="AE41" i="20" s="1"/>
  <c r="AF41" i="20" s="1"/>
  <c r="AG41" i="20" s="1"/>
  <c r="AH41" i="20" s="1"/>
  <c r="AI41" i="20" s="1"/>
  <c r="AJ41" i="20" s="1"/>
  <c r="AK41" i="20" s="1"/>
  <c r="AL41" i="20" s="1"/>
  <c r="AM41" i="20" s="1"/>
  <c r="AN41" i="20" s="1"/>
  <c r="AO41" i="20" s="1"/>
  <c r="AP41" i="20" s="1"/>
  <c r="AQ41" i="20" s="1"/>
  <c r="AR41" i="20" s="1"/>
  <c r="AS41" i="20" s="1"/>
  <c r="AT41" i="20" s="1"/>
  <c r="AU41" i="20" s="1"/>
  <c r="AV41" i="20" s="1"/>
  <c r="AW41" i="20" s="1"/>
  <c r="AX41" i="20" s="1"/>
  <c r="AY41" i="20" s="1"/>
  <c r="AZ41" i="20" s="1"/>
  <c r="BA41" i="20" s="1"/>
  <c r="BB41" i="20" s="1"/>
  <c r="BC41" i="20" s="1"/>
  <c r="BD41" i="20" s="1"/>
  <c r="BE41" i="20" s="1"/>
  <c r="BF41" i="20" s="1"/>
  <c r="BG41" i="20" s="1"/>
  <c r="BH41" i="20" s="1"/>
  <c r="BI41" i="20" s="1"/>
  <c r="BJ41" i="20" s="1"/>
  <c r="BK41" i="20" s="1"/>
  <c r="BL41" i="20" s="1"/>
  <c r="BM41" i="20" s="1"/>
  <c r="BN41" i="20" s="1"/>
  <c r="BO41" i="20" s="1"/>
  <c r="BP41" i="20" s="1"/>
  <c r="BQ41" i="20" s="1"/>
  <c r="BR41" i="20" s="1"/>
  <c r="BS41" i="20" s="1"/>
  <c r="BT41" i="20" s="1"/>
  <c r="BU41" i="20" s="1"/>
  <c r="BV41" i="20" s="1"/>
  <c r="BW41" i="20" s="1"/>
  <c r="BX41" i="20" s="1"/>
  <c r="BY41" i="20" s="1"/>
  <c r="BZ41" i="20" s="1"/>
  <c r="CA41" i="20" s="1"/>
  <c r="CB41" i="20" s="1"/>
  <c r="CC41" i="20" s="1"/>
  <c r="CD41" i="20" s="1"/>
  <c r="CE41" i="20" s="1"/>
  <c r="CF41" i="20" s="1"/>
  <c r="CG41" i="20" s="1"/>
  <c r="CH41" i="20" s="1"/>
  <c r="CI41" i="20" s="1"/>
  <c r="CJ41" i="20" s="1"/>
  <c r="CK41" i="20" s="1"/>
  <c r="CL41" i="20" s="1"/>
  <c r="CM41" i="20" s="1"/>
  <c r="CN41" i="20" s="1"/>
  <c r="CO41" i="20" s="1"/>
  <c r="CP41" i="20" s="1"/>
  <c r="CQ41" i="20" s="1"/>
  <c r="CR41" i="20" s="1"/>
  <c r="CS41" i="20" s="1"/>
  <c r="CT41" i="20" s="1"/>
  <c r="CU41" i="20" s="1"/>
  <c r="CV41" i="20" s="1"/>
  <c r="CW41" i="20" s="1"/>
  <c r="CX41" i="20" s="1"/>
  <c r="CY41" i="20" s="1"/>
  <c r="CZ41" i="20" s="1"/>
  <c r="DA41" i="20" s="1"/>
  <c r="DB41" i="20" s="1"/>
  <c r="DC41" i="20" s="1"/>
  <c r="DD41" i="20" s="1"/>
  <c r="DE41" i="20" s="1"/>
  <c r="DF41" i="20" s="1"/>
  <c r="DG41" i="20" s="1"/>
  <c r="DH41" i="20" s="1"/>
  <c r="DI41" i="20" s="1"/>
  <c r="DJ41" i="20" s="1"/>
  <c r="DK41" i="20" s="1"/>
  <c r="DL41" i="20" s="1"/>
  <c r="DM41" i="20" s="1"/>
  <c r="DN41" i="20" s="1"/>
  <c r="DO41" i="20" s="1"/>
  <c r="DP41" i="20" s="1"/>
  <c r="A42" i="20" s="1"/>
  <c r="B42" i="20" s="1"/>
  <c r="C42" i="20" s="1"/>
  <c r="D42" i="20" s="1"/>
  <c r="E42" i="20" s="1"/>
  <c r="F42" i="20" s="1"/>
  <c r="G42" i="20" s="1"/>
  <c r="H42" i="20" s="1"/>
  <c r="I42" i="20" s="1"/>
  <c r="J42" i="20" s="1"/>
  <c r="K42" i="20" s="1"/>
  <c r="L42" i="20" s="1"/>
  <c r="M42" i="20" s="1"/>
  <c r="N42" i="20" s="1"/>
  <c r="O42" i="20" s="1"/>
  <c r="P42" i="20" s="1"/>
  <c r="Q42" i="20" s="1"/>
  <c r="R42" i="20" s="1"/>
  <c r="S42" i="20" s="1"/>
  <c r="T42" i="20" s="1"/>
  <c r="U42" i="20" s="1"/>
  <c r="V42" i="20" s="1"/>
  <c r="W42" i="20" s="1"/>
  <c r="X42" i="20" s="1"/>
  <c r="Y42" i="20" s="1"/>
  <c r="Z42" i="20" s="1"/>
  <c r="AA42" i="20" s="1"/>
  <c r="AB42" i="20" s="1"/>
  <c r="AC42" i="20" s="1"/>
  <c r="AD42" i="20" s="1"/>
  <c r="AE42" i="20" s="1"/>
  <c r="AF42" i="20" s="1"/>
  <c r="AG42" i="20" s="1"/>
  <c r="AH42" i="20" s="1"/>
  <c r="AI42" i="20" s="1"/>
  <c r="AJ42" i="20" s="1"/>
  <c r="AK42" i="20" s="1"/>
  <c r="AL42" i="20" s="1"/>
  <c r="AM42" i="20" s="1"/>
  <c r="AN42" i="20" s="1"/>
  <c r="AO42" i="20" s="1"/>
  <c r="AP42" i="20" s="1"/>
  <c r="AQ42" i="20" s="1"/>
  <c r="AR42" i="20" s="1"/>
  <c r="AS42" i="20" s="1"/>
  <c r="AT42" i="20" s="1"/>
  <c r="AU42" i="20" s="1"/>
  <c r="AV42" i="20" s="1"/>
  <c r="AW42" i="20" s="1"/>
  <c r="AX42" i="20" s="1"/>
  <c r="AY42" i="20" s="1"/>
  <c r="AZ42" i="20" s="1"/>
  <c r="BA42" i="20" s="1"/>
  <c r="BB42" i="20" s="1"/>
  <c r="BC42" i="20" s="1"/>
  <c r="BD42" i="20" s="1"/>
  <c r="BE42" i="20" s="1"/>
  <c r="BF42" i="20" s="1"/>
  <c r="BG42" i="20" s="1"/>
  <c r="BH42" i="20" s="1"/>
  <c r="BI42" i="20" s="1"/>
  <c r="BJ42" i="20" s="1"/>
  <c r="BK42" i="20" s="1"/>
  <c r="BL42" i="20" s="1"/>
  <c r="BM42" i="20" s="1"/>
  <c r="BN42" i="20" s="1"/>
  <c r="BO42" i="20" s="1"/>
  <c r="BP42" i="20" s="1"/>
  <c r="BQ42" i="20" s="1"/>
  <c r="BR42" i="20" s="1"/>
  <c r="BS42" i="20" s="1"/>
  <c r="BT42" i="20" s="1"/>
  <c r="BU42" i="20" s="1"/>
  <c r="BV42" i="20" s="1"/>
  <c r="BW42" i="20" s="1"/>
  <c r="BX42" i="20" s="1"/>
  <c r="BY42" i="20" s="1"/>
  <c r="BZ42" i="20" s="1"/>
  <c r="CA42" i="20" s="1"/>
  <c r="CB42" i="20" s="1"/>
  <c r="CC42" i="20" s="1"/>
  <c r="CD42" i="20" s="1"/>
  <c r="CE42" i="20" s="1"/>
  <c r="CF42" i="20" s="1"/>
  <c r="CG42" i="20" s="1"/>
  <c r="CH42" i="20" s="1"/>
  <c r="CI42" i="20" s="1"/>
  <c r="CJ42" i="20" s="1"/>
  <c r="CK42" i="20" s="1"/>
  <c r="CL42" i="20" s="1"/>
  <c r="CM42" i="20" s="1"/>
  <c r="CN42" i="20" s="1"/>
  <c r="CO42" i="20" s="1"/>
  <c r="CP42" i="20" s="1"/>
  <c r="CQ42" i="20" s="1"/>
  <c r="CR42" i="20" s="1"/>
  <c r="CS42" i="20" s="1"/>
  <c r="CT42" i="20" s="1"/>
  <c r="CU42" i="20" s="1"/>
  <c r="CV42" i="20" s="1"/>
  <c r="CW42" i="20" s="1"/>
  <c r="CX42" i="20" s="1"/>
  <c r="CY42" i="20" s="1"/>
  <c r="CZ42" i="20" s="1"/>
  <c r="DA42" i="20" s="1"/>
  <c r="DB42" i="20" s="1"/>
  <c r="DC42" i="20" s="1"/>
  <c r="DD42" i="20" s="1"/>
  <c r="DE42" i="20" s="1"/>
  <c r="DF42" i="20" s="1"/>
  <c r="DG42" i="20" s="1"/>
  <c r="DH42" i="20" s="1"/>
  <c r="DI42" i="20" s="1"/>
  <c r="DJ42" i="20" s="1"/>
  <c r="DK42" i="20" s="1"/>
  <c r="DL42" i="20" s="1"/>
  <c r="DM42" i="20" s="1"/>
  <c r="DN42" i="20" s="1"/>
  <c r="DO42" i="20" s="1"/>
  <c r="DP42" i="20" s="1"/>
  <c r="A43" i="20" s="1"/>
  <c r="B43" i="20" s="1"/>
  <c r="C43" i="20" s="1"/>
  <c r="D43" i="20" s="1"/>
  <c r="E43" i="20" s="1"/>
  <c r="F43" i="20" s="1"/>
  <c r="G43" i="20" s="1"/>
  <c r="H43" i="20" s="1"/>
  <c r="I43" i="20" s="1"/>
  <c r="J43" i="20" s="1"/>
  <c r="K43" i="20" s="1"/>
  <c r="L43" i="20" s="1"/>
  <c r="M43" i="20" s="1"/>
  <c r="N43" i="20" s="1"/>
  <c r="O43" i="20" s="1"/>
  <c r="P43" i="20" s="1"/>
  <c r="Q43" i="20" s="1"/>
  <c r="R43" i="20" s="1"/>
  <c r="S43" i="20" s="1"/>
  <c r="T43" i="20" s="1"/>
  <c r="U43" i="20" s="1"/>
  <c r="V43" i="20" s="1"/>
  <c r="W43" i="20" s="1"/>
  <c r="X43" i="20" s="1"/>
  <c r="Y43" i="20" s="1"/>
  <c r="Z43" i="20" s="1"/>
  <c r="AA43" i="20" s="1"/>
  <c r="AB43" i="20" s="1"/>
  <c r="AC43" i="20" s="1"/>
  <c r="AD43" i="20" s="1"/>
  <c r="AE43" i="20" s="1"/>
  <c r="AF43" i="20" s="1"/>
  <c r="AG43" i="20" s="1"/>
  <c r="AH43" i="20" s="1"/>
  <c r="AI43" i="20" s="1"/>
  <c r="AJ43" i="20" s="1"/>
  <c r="AK43" i="20" s="1"/>
  <c r="AL43" i="20" s="1"/>
  <c r="AM43" i="20" s="1"/>
  <c r="AN43" i="20" s="1"/>
  <c r="AO43" i="20" s="1"/>
  <c r="AP43" i="20" s="1"/>
  <c r="AQ43" i="20" s="1"/>
  <c r="AR43" i="20" s="1"/>
  <c r="AS43" i="20" s="1"/>
  <c r="AT43" i="20" s="1"/>
  <c r="AU43" i="20" s="1"/>
  <c r="AV43" i="20" s="1"/>
  <c r="AW43" i="20" s="1"/>
  <c r="AX43" i="20" s="1"/>
  <c r="AY43" i="20" s="1"/>
  <c r="AZ43" i="20" s="1"/>
  <c r="BA43" i="20" s="1"/>
  <c r="BB43" i="20" s="1"/>
  <c r="BC43" i="20" s="1"/>
  <c r="BD43" i="20" s="1"/>
  <c r="BE43" i="20" s="1"/>
  <c r="BF43" i="20" s="1"/>
  <c r="BG43" i="20" s="1"/>
  <c r="BH43" i="20" s="1"/>
  <c r="BI43" i="20" s="1"/>
  <c r="BJ43" i="20" s="1"/>
  <c r="BK43" i="20" s="1"/>
  <c r="BL43" i="20" s="1"/>
  <c r="BM43" i="20" s="1"/>
  <c r="BN43" i="20" s="1"/>
  <c r="BO43" i="20" s="1"/>
  <c r="BP43" i="20" s="1"/>
  <c r="BQ43" i="20" s="1"/>
  <c r="BR43" i="20" s="1"/>
  <c r="BS43" i="20" s="1"/>
  <c r="BT43" i="20" s="1"/>
  <c r="BU43" i="20" s="1"/>
  <c r="BV43" i="20" s="1"/>
  <c r="BW43" i="20" s="1"/>
  <c r="BX43" i="20" s="1"/>
  <c r="BY43" i="20" s="1"/>
  <c r="BZ43" i="20" s="1"/>
  <c r="CA43" i="20" s="1"/>
  <c r="CB43" i="20" s="1"/>
  <c r="CC43" i="20" s="1"/>
  <c r="CD43" i="20" s="1"/>
  <c r="CE43" i="20" s="1"/>
  <c r="CF43" i="20" s="1"/>
  <c r="CG43" i="20" s="1"/>
  <c r="CH43" i="20" s="1"/>
  <c r="CI43" i="20" s="1"/>
  <c r="CJ43" i="20" s="1"/>
  <c r="CK43" i="20" s="1"/>
  <c r="CL43" i="20" s="1"/>
  <c r="CM43" i="20" s="1"/>
  <c r="CN43" i="20" s="1"/>
  <c r="CO43" i="20" s="1"/>
  <c r="CP43" i="20" s="1"/>
  <c r="CQ43" i="20" s="1"/>
  <c r="CR43" i="20" s="1"/>
  <c r="CS43" i="20" s="1"/>
  <c r="CT43" i="20" s="1"/>
  <c r="CU43" i="20" s="1"/>
  <c r="CV43" i="20" s="1"/>
  <c r="CW43" i="20" s="1"/>
  <c r="CX43" i="20" s="1"/>
  <c r="CY43" i="20" s="1"/>
  <c r="CZ43" i="20" s="1"/>
  <c r="DA43" i="20" s="1"/>
  <c r="DB43" i="20" s="1"/>
  <c r="DC43" i="20" s="1"/>
  <c r="DD43" i="20" s="1"/>
  <c r="DE43" i="20" s="1"/>
  <c r="DF43" i="20" s="1"/>
  <c r="DG43" i="20" s="1"/>
  <c r="DH43" i="20" s="1"/>
  <c r="DI43" i="20" s="1"/>
  <c r="DJ43" i="20" s="1"/>
  <c r="DK43" i="20" s="1"/>
  <c r="DL43" i="20" s="1"/>
  <c r="DM43" i="20" s="1"/>
  <c r="DN43" i="20" s="1"/>
  <c r="DO43" i="20" s="1"/>
  <c r="DP43" i="20" s="1"/>
  <c r="A44" i="20" s="1"/>
  <c r="B44" i="20" s="1"/>
  <c r="C44" i="20" s="1"/>
  <c r="D44" i="20" s="1"/>
  <c r="E44" i="20" s="1"/>
  <c r="F44" i="20" s="1"/>
  <c r="G44" i="20" s="1"/>
  <c r="H44" i="20" s="1"/>
  <c r="I44" i="20" s="1"/>
  <c r="J44" i="20" s="1"/>
  <c r="K44" i="20" s="1"/>
  <c r="L44" i="20" s="1"/>
  <c r="M44" i="20" s="1"/>
  <c r="N44" i="20" s="1"/>
  <c r="O44" i="20" s="1"/>
  <c r="P44" i="20" s="1"/>
  <c r="Q44" i="20" s="1"/>
  <c r="R44" i="20" s="1"/>
  <c r="S44" i="20" s="1"/>
  <c r="T44" i="20" s="1"/>
  <c r="U44" i="20" s="1"/>
  <c r="V44" i="20" s="1"/>
  <c r="W44" i="20" s="1"/>
  <c r="X44" i="20" s="1"/>
  <c r="Y44" i="20" s="1"/>
  <c r="Z44" i="20" s="1"/>
  <c r="AA44" i="20" s="1"/>
  <c r="AB44" i="20" s="1"/>
  <c r="AC44" i="20" s="1"/>
  <c r="AD44" i="20" s="1"/>
  <c r="AE44" i="20" s="1"/>
  <c r="AF44" i="20" s="1"/>
  <c r="AG44" i="20" s="1"/>
  <c r="AH44" i="20" s="1"/>
  <c r="AI44" i="20" s="1"/>
  <c r="AJ44" i="20" s="1"/>
  <c r="AK44" i="20" s="1"/>
  <c r="AL44" i="20" s="1"/>
  <c r="AM44" i="20" s="1"/>
  <c r="AN44" i="20" s="1"/>
  <c r="AO44" i="20" s="1"/>
  <c r="AP44" i="20" s="1"/>
  <c r="AQ44" i="20" s="1"/>
  <c r="AR44" i="20" s="1"/>
  <c r="AS44" i="20" s="1"/>
  <c r="AT44" i="20" s="1"/>
  <c r="AU44" i="20" s="1"/>
  <c r="AV44" i="20" s="1"/>
  <c r="AW44" i="20" s="1"/>
  <c r="AX44" i="20" s="1"/>
  <c r="AY44" i="20" s="1"/>
  <c r="AZ44" i="20" s="1"/>
  <c r="BA44" i="20" s="1"/>
  <c r="BB44" i="20" s="1"/>
  <c r="BC44" i="20" s="1"/>
  <c r="BD44" i="20" s="1"/>
  <c r="BE44" i="20" s="1"/>
  <c r="BF44" i="20" s="1"/>
  <c r="BG44" i="20" s="1"/>
  <c r="BH44" i="20" s="1"/>
  <c r="BI44" i="20" s="1"/>
  <c r="BJ44" i="20" s="1"/>
  <c r="BK44" i="20" s="1"/>
  <c r="BL44" i="20" s="1"/>
  <c r="BM44" i="20" s="1"/>
  <c r="BN44" i="20" s="1"/>
  <c r="BO44" i="20" s="1"/>
  <c r="BP44" i="20" s="1"/>
  <c r="BQ44" i="20" s="1"/>
  <c r="BR44" i="20" s="1"/>
  <c r="BS44" i="20" s="1"/>
  <c r="BT44" i="20" s="1"/>
  <c r="BU44" i="20" s="1"/>
  <c r="BV44" i="20" s="1"/>
  <c r="BW44" i="20" s="1"/>
  <c r="BX44" i="20" s="1"/>
  <c r="BY44" i="20" s="1"/>
  <c r="BZ44" i="20" s="1"/>
  <c r="CA44" i="20" s="1"/>
  <c r="CB44" i="20" s="1"/>
  <c r="CC44" i="20" s="1"/>
  <c r="CD44" i="20" s="1"/>
  <c r="CE44" i="20" s="1"/>
  <c r="CF44" i="20" s="1"/>
  <c r="CG44" i="20" s="1"/>
  <c r="CH44" i="20" s="1"/>
  <c r="CI44" i="20" s="1"/>
  <c r="CJ44" i="20" s="1"/>
  <c r="CK44" i="20" s="1"/>
  <c r="CL44" i="20" s="1"/>
  <c r="CM44" i="20" s="1"/>
  <c r="CN44" i="20" s="1"/>
  <c r="CO44" i="20" s="1"/>
  <c r="CP44" i="20" s="1"/>
  <c r="CQ44" i="20" s="1"/>
  <c r="CR44" i="20" s="1"/>
  <c r="CS44" i="20" s="1"/>
  <c r="CT44" i="20" s="1"/>
  <c r="CU44" i="20" s="1"/>
  <c r="CV44" i="20" s="1"/>
  <c r="CW44" i="20" s="1"/>
  <c r="CX44" i="20" s="1"/>
  <c r="CY44" i="20" s="1"/>
  <c r="CZ44" i="20" s="1"/>
  <c r="DA44" i="20" s="1"/>
  <c r="DB44" i="20" s="1"/>
  <c r="DC44" i="20" s="1"/>
  <c r="DD44" i="20" s="1"/>
  <c r="DE44" i="20" s="1"/>
  <c r="DF44" i="20" s="1"/>
  <c r="DG44" i="20" s="1"/>
  <c r="DH44" i="20" s="1"/>
  <c r="DI44" i="20" s="1"/>
  <c r="DJ44" i="20" s="1"/>
  <c r="DK44" i="20" s="1"/>
  <c r="DL44" i="20" s="1"/>
  <c r="DM44" i="20" s="1"/>
  <c r="DN44" i="20" s="1"/>
  <c r="DO44" i="20" s="1"/>
  <c r="DP44" i="20" s="1"/>
  <c r="A45" i="20" s="1"/>
  <c r="B45" i="20" s="1"/>
  <c r="C45" i="20" s="1"/>
  <c r="D45" i="20" s="1"/>
  <c r="E45" i="20" s="1"/>
  <c r="F45" i="20" s="1"/>
  <c r="G45" i="20" s="1"/>
  <c r="H45" i="20" s="1"/>
  <c r="I45" i="20" s="1"/>
  <c r="J45" i="20" s="1"/>
  <c r="K45" i="20" s="1"/>
  <c r="L45" i="20" s="1"/>
  <c r="M45" i="20" s="1"/>
  <c r="N45" i="20" s="1"/>
  <c r="O45" i="20" s="1"/>
  <c r="P45" i="20" s="1"/>
  <c r="Q45" i="20" s="1"/>
  <c r="R45" i="20" s="1"/>
  <c r="S45" i="20" s="1"/>
  <c r="T45" i="20" s="1"/>
  <c r="U45" i="20" s="1"/>
  <c r="V45" i="20" s="1"/>
  <c r="W45" i="20" s="1"/>
  <c r="X45" i="20" s="1"/>
  <c r="Y45" i="20" s="1"/>
  <c r="Z45" i="20" s="1"/>
  <c r="AA45" i="20" s="1"/>
  <c r="AB45" i="20" s="1"/>
  <c r="AC45" i="20" s="1"/>
  <c r="AD45" i="20" s="1"/>
  <c r="AE45" i="20" s="1"/>
  <c r="AF45" i="20" s="1"/>
  <c r="AG45" i="20" s="1"/>
  <c r="AH45" i="20" s="1"/>
  <c r="AI45" i="20" s="1"/>
  <c r="AJ45" i="20" s="1"/>
  <c r="AK45" i="20" s="1"/>
  <c r="AL45" i="20" s="1"/>
  <c r="AM45" i="20" s="1"/>
  <c r="AN45" i="20" s="1"/>
  <c r="AO45" i="20" s="1"/>
  <c r="AP45" i="20" s="1"/>
  <c r="AQ45" i="20" s="1"/>
  <c r="AR45" i="20" s="1"/>
  <c r="AS45" i="20" s="1"/>
  <c r="AT45" i="20" s="1"/>
  <c r="AU45" i="20" s="1"/>
  <c r="AV45" i="20" s="1"/>
  <c r="AW45" i="20" s="1"/>
  <c r="AX45" i="20" s="1"/>
  <c r="AY45" i="20" s="1"/>
  <c r="AZ45" i="20" s="1"/>
  <c r="BA45" i="20" s="1"/>
  <c r="BB45" i="20" s="1"/>
  <c r="BC45" i="20" s="1"/>
  <c r="BD45" i="20" s="1"/>
  <c r="BE45" i="20" s="1"/>
  <c r="BF45" i="20" s="1"/>
  <c r="BG45" i="20" s="1"/>
  <c r="BH45" i="20" s="1"/>
  <c r="BI45" i="20" s="1"/>
  <c r="BJ45" i="20" s="1"/>
  <c r="BK45" i="20" s="1"/>
  <c r="BL45" i="20" s="1"/>
  <c r="BM45" i="20" s="1"/>
  <c r="BN45" i="20" s="1"/>
  <c r="BO45" i="20" s="1"/>
  <c r="BP45" i="20" s="1"/>
  <c r="BQ45" i="20" s="1"/>
  <c r="BR45" i="20" s="1"/>
  <c r="BS45" i="20" s="1"/>
  <c r="BT45" i="20" s="1"/>
  <c r="BU45" i="20" s="1"/>
  <c r="BV45" i="20" s="1"/>
  <c r="BW45" i="20" s="1"/>
  <c r="BX45" i="20" s="1"/>
  <c r="BY45" i="20" s="1"/>
  <c r="BZ45" i="20" s="1"/>
  <c r="CA45" i="20" s="1"/>
  <c r="CB45" i="20" s="1"/>
  <c r="CC45" i="20" s="1"/>
  <c r="CD45" i="20" s="1"/>
  <c r="CE45" i="20" s="1"/>
  <c r="CF45" i="20" s="1"/>
  <c r="CG45" i="20" s="1"/>
  <c r="CH45" i="20" s="1"/>
  <c r="CI45" i="20" s="1"/>
  <c r="CJ45" i="20" s="1"/>
  <c r="CK45" i="20" s="1"/>
  <c r="CL45" i="20" s="1"/>
  <c r="CM45" i="20" s="1"/>
  <c r="CN45" i="20" s="1"/>
  <c r="CO45" i="20" s="1"/>
  <c r="CP45" i="20" s="1"/>
  <c r="CQ45" i="20" s="1"/>
  <c r="CR45" i="20" s="1"/>
  <c r="CS45" i="20" s="1"/>
  <c r="CT45" i="20" s="1"/>
  <c r="CU45" i="20" s="1"/>
  <c r="CV45" i="20" s="1"/>
  <c r="CW45" i="20" s="1"/>
  <c r="CX45" i="20" s="1"/>
  <c r="CY45" i="20" s="1"/>
  <c r="CZ45" i="20" s="1"/>
  <c r="DA45" i="20" s="1"/>
  <c r="DB45" i="20" s="1"/>
  <c r="DC45" i="20" s="1"/>
  <c r="DD45" i="20" s="1"/>
  <c r="DE45" i="20" s="1"/>
  <c r="DF45" i="20" s="1"/>
  <c r="DG45" i="20" s="1"/>
  <c r="DH45" i="20" s="1"/>
  <c r="DI45" i="20" s="1"/>
  <c r="DJ45" i="20" s="1"/>
  <c r="DK45" i="20" s="1"/>
  <c r="DL45" i="20" s="1"/>
  <c r="DM45" i="20" s="1"/>
  <c r="DN45" i="20" s="1"/>
  <c r="DO45" i="20" s="1"/>
  <c r="DP45" i="20" s="1"/>
  <c r="A46" i="20" s="1"/>
  <c r="B46" i="20" s="1"/>
  <c r="C46" i="20" s="1"/>
  <c r="D46" i="20" s="1"/>
  <c r="E46" i="20" s="1"/>
  <c r="F46" i="20" s="1"/>
  <c r="G46" i="20" s="1"/>
  <c r="H46" i="20" s="1"/>
  <c r="I46" i="20" s="1"/>
  <c r="J46" i="20" s="1"/>
  <c r="K46" i="20" s="1"/>
  <c r="L46" i="20" s="1"/>
  <c r="M46" i="20" s="1"/>
  <c r="N46" i="20" s="1"/>
  <c r="O46" i="20" s="1"/>
  <c r="P46" i="20" s="1"/>
  <c r="Q46" i="20" s="1"/>
  <c r="R46" i="20" s="1"/>
  <c r="S46" i="20" s="1"/>
  <c r="T46" i="20" s="1"/>
  <c r="U46" i="20" s="1"/>
  <c r="V46" i="20" s="1"/>
  <c r="W46" i="20" s="1"/>
  <c r="X46" i="20" s="1"/>
  <c r="Y46" i="20" s="1"/>
  <c r="Z46" i="20" s="1"/>
  <c r="AA46" i="20" s="1"/>
  <c r="AB46" i="20" s="1"/>
  <c r="AC46" i="20" s="1"/>
  <c r="AD46" i="20" s="1"/>
  <c r="AE46" i="20" s="1"/>
  <c r="AF46" i="20" s="1"/>
  <c r="AG46" i="20" s="1"/>
  <c r="AH46" i="20" s="1"/>
  <c r="AI46" i="20" s="1"/>
  <c r="AJ46" i="20" s="1"/>
  <c r="AK46" i="20" s="1"/>
  <c r="AL46" i="20" s="1"/>
  <c r="AM46" i="20" s="1"/>
  <c r="AN46" i="20" s="1"/>
  <c r="AO46" i="20" s="1"/>
  <c r="AP46" i="20" s="1"/>
  <c r="AQ46" i="20" s="1"/>
  <c r="AR46" i="20" s="1"/>
  <c r="AS46" i="20" s="1"/>
  <c r="AT46" i="20" s="1"/>
  <c r="AU46" i="20" s="1"/>
  <c r="AV46" i="20" s="1"/>
  <c r="AW46" i="20" s="1"/>
  <c r="AX46" i="20" s="1"/>
  <c r="AY46" i="20" s="1"/>
  <c r="AZ46" i="20" s="1"/>
  <c r="BA46" i="20" s="1"/>
  <c r="BB46" i="20" s="1"/>
  <c r="BC46" i="20" s="1"/>
  <c r="BD46" i="20" s="1"/>
  <c r="BE46" i="20" s="1"/>
  <c r="BF46" i="20" s="1"/>
  <c r="BG46" i="20" s="1"/>
  <c r="BH46" i="20" s="1"/>
  <c r="BI46" i="20" s="1"/>
  <c r="BJ46" i="20" s="1"/>
  <c r="BK46" i="20" s="1"/>
  <c r="BL46" i="20" s="1"/>
  <c r="BM46" i="20" s="1"/>
  <c r="BN46" i="20" s="1"/>
  <c r="BO46" i="20" s="1"/>
  <c r="BP46" i="20" s="1"/>
  <c r="BQ46" i="20" s="1"/>
  <c r="BR46" i="20" s="1"/>
  <c r="BS46" i="20" s="1"/>
  <c r="BT46" i="20" s="1"/>
  <c r="BU46" i="20" s="1"/>
  <c r="BV46" i="20" s="1"/>
  <c r="BW46" i="20" s="1"/>
  <c r="BX46" i="20" s="1"/>
  <c r="BY46" i="20" s="1"/>
  <c r="BZ46" i="20" s="1"/>
  <c r="CA46" i="20" s="1"/>
  <c r="CB46" i="20" s="1"/>
  <c r="CC46" i="20" s="1"/>
  <c r="CD46" i="20" s="1"/>
  <c r="CE46" i="20" s="1"/>
  <c r="CF46" i="20" s="1"/>
  <c r="CG46" i="20" s="1"/>
  <c r="CH46" i="20" s="1"/>
  <c r="CI46" i="20" s="1"/>
  <c r="CJ46" i="20" s="1"/>
  <c r="CK46" i="20" s="1"/>
  <c r="CL46" i="20" s="1"/>
  <c r="CM46" i="20" s="1"/>
  <c r="CN46" i="20" s="1"/>
  <c r="CO46" i="20" s="1"/>
  <c r="CP46" i="20" s="1"/>
  <c r="CQ46" i="20" s="1"/>
  <c r="CR46" i="20" s="1"/>
  <c r="CS46" i="20" s="1"/>
  <c r="CT46" i="20" s="1"/>
  <c r="CU46" i="20" s="1"/>
  <c r="CV46" i="20" s="1"/>
  <c r="CW46" i="20" s="1"/>
  <c r="CX46" i="20" s="1"/>
  <c r="CY46" i="20" s="1"/>
  <c r="CZ46" i="20" s="1"/>
  <c r="DA46" i="20" s="1"/>
  <c r="DB46" i="20" s="1"/>
  <c r="DC46" i="20" s="1"/>
  <c r="DD46" i="20" s="1"/>
  <c r="DE46" i="20" s="1"/>
  <c r="DF46" i="20" s="1"/>
  <c r="DG46" i="20" s="1"/>
  <c r="DH46" i="20" s="1"/>
  <c r="DI46" i="20" s="1"/>
  <c r="DJ46" i="20" s="1"/>
  <c r="DK46" i="20" s="1"/>
  <c r="DL46" i="20" s="1"/>
  <c r="DM46" i="20" s="1"/>
  <c r="DN46" i="20" s="1"/>
  <c r="DO46" i="20" s="1"/>
  <c r="DP46" i="20" s="1"/>
  <c r="A47" i="20" s="1"/>
  <c r="B47" i="20" s="1"/>
  <c r="C47" i="20" s="1"/>
  <c r="D47" i="20" s="1"/>
  <c r="E47" i="20" s="1"/>
  <c r="F47" i="20" s="1"/>
  <c r="G47" i="20" s="1"/>
  <c r="H47" i="20" s="1"/>
  <c r="I47" i="20" s="1"/>
  <c r="J47" i="20" s="1"/>
  <c r="K47" i="20" s="1"/>
  <c r="L47" i="20" s="1"/>
  <c r="M47" i="20" s="1"/>
  <c r="N47" i="20" s="1"/>
  <c r="O47" i="20" s="1"/>
  <c r="P47" i="20" s="1"/>
  <c r="Q47" i="20" s="1"/>
  <c r="R47" i="20" s="1"/>
  <c r="S47" i="20" s="1"/>
  <c r="T47" i="20" s="1"/>
  <c r="U47" i="20" s="1"/>
  <c r="V47" i="20" s="1"/>
  <c r="W47" i="20" s="1"/>
  <c r="X47" i="20" s="1"/>
  <c r="Y47" i="20" s="1"/>
  <c r="Z47" i="20" s="1"/>
  <c r="AA47" i="20" s="1"/>
  <c r="AB47" i="20" s="1"/>
  <c r="AC47" i="20" s="1"/>
  <c r="AD47" i="20" s="1"/>
  <c r="AE47" i="20" s="1"/>
  <c r="AF47" i="20" s="1"/>
  <c r="AG47" i="20" s="1"/>
  <c r="AH47" i="20" s="1"/>
  <c r="AI47" i="20" s="1"/>
  <c r="AJ47" i="20" s="1"/>
  <c r="AK47" i="20" s="1"/>
  <c r="AL47" i="20" s="1"/>
  <c r="AM47" i="20" s="1"/>
  <c r="AN47" i="20" s="1"/>
  <c r="AO47" i="20" s="1"/>
  <c r="AP47" i="20" s="1"/>
  <c r="AQ47" i="20" s="1"/>
  <c r="AR47" i="20" s="1"/>
  <c r="AS47" i="20" s="1"/>
  <c r="AT47" i="20" s="1"/>
  <c r="AU47" i="20" s="1"/>
  <c r="AV47" i="20" s="1"/>
  <c r="AW47" i="20" s="1"/>
  <c r="AX47" i="20" s="1"/>
  <c r="AY47" i="20" s="1"/>
  <c r="AZ47" i="20" s="1"/>
  <c r="BA47" i="20" s="1"/>
  <c r="BB47" i="20" s="1"/>
  <c r="BC47" i="20" s="1"/>
  <c r="BD47" i="20" s="1"/>
  <c r="BE47" i="20" s="1"/>
  <c r="BF47" i="20" s="1"/>
  <c r="BG47" i="20" s="1"/>
  <c r="BH47" i="20" s="1"/>
  <c r="BI47" i="20" s="1"/>
  <c r="BJ47" i="20" s="1"/>
  <c r="BK47" i="20" s="1"/>
  <c r="BL47" i="20" s="1"/>
  <c r="BM47" i="20" s="1"/>
  <c r="BN47" i="20" s="1"/>
  <c r="BO47" i="20" s="1"/>
  <c r="BP47" i="20" s="1"/>
  <c r="BQ47" i="20" s="1"/>
  <c r="BR47" i="20" s="1"/>
  <c r="BS47" i="20" s="1"/>
  <c r="BT47" i="20" s="1"/>
  <c r="BU47" i="20" s="1"/>
  <c r="BV47" i="20" s="1"/>
  <c r="BW47" i="20" s="1"/>
  <c r="BX47" i="20" s="1"/>
  <c r="BY47" i="20" s="1"/>
  <c r="BZ47" i="20" s="1"/>
  <c r="CA47" i="20" s="1"/>
  <c r="CB47" i="20" s="1"/>
  <c r="CC47" i="20" s="1"/>
  <c r="CD47" i="20" s="1"/>
  <c r="CE47" i="20" s="1"/>
  <c r="CF47" i="20" s="1"/>
  <c r="CG47" i="20" s="1"/>
  <c r="CH47" i="20" s="1"/>
  <c r="CI47" i="20" s="1"/>
  <c r="CJ47" i="20" s="1"/>
  <c r="CK47" i="20" s="1"/>
  <c r="CL47" i="20" s="1"/>
  <c r="CM47" i="20" s="1"/>
  <c r="CN47" i="20" s="1"/>
  <c r="CO47" i="20" s="1"/>
  <c r="CP47" i="20" s="1"/>
  <c r="CQ47" i="20" s="1"/>
  <c r="CR47" i="20" s="1"/>
  <c r="CS47" i="20" s="1"/>
  <c r="CT47" i="20" s="1"/>
  <c r="CU47" i="20" s="1"/>
  <c r="CV47" i="20" s="1"/>
  <c r="CW47" i="20" s="1"/>
  <c r="CX47" i="20" s="1"/>
  <c r="CY47" i="20" s="1"/>
  <c r="CZ47" i="20" s="1"/>
  <c r="DA47" i="20" s="1"/>
  <c r="DB47" i="20" s="1"/>
  <c r="DC47" i="20" s="1"/>
  <c r="DD47" i="20" s="1"/>
  <c r="DE47" i="20" s="1"/>
  <c r="DF47" i="20" s="1"/>
  <c r="DG47" i="20" s="1"/>
  <c r="DH47" i="20" s="1"/>
  <c r="DI47" i="20" s="1"/>
  <c r="DJ47" i="20" s="1"/>
  <c r="DK47" i="20" s="1"/>
  <c r="DL47" i="20" s="1"/>
  <c r="DM47" i="20" s="1"/>
  <c r="DN47" i="20" s="1"/>
  <c r="DO47" i="20" s="1"/>
  <c r="DP47" i="20" s="1"/>
  <c r="A48" i="20" s="1"/>
  <c r="B48" i="20" s="1"/>
  <c r="C48" i="20" s="1"/>
  <c r="D48" i="20" s="1"/>
  <c r="E48" i="20" s="1"/>
  <c r="F48" i="20" s="1"/>
  <c r="G48" i="20" s="1"/>
  <c r="H48" i="20" s="1"/>
  <c r="I48" i="20" s="1"/>
  <c r="J48" i="20" s="1"/>
  <c r="K48" i="20" s="1"/>
  <c r="L48" i="20" s="1"/>
  <c r="M48" i="20" s="1"/>
  <c r="N48" i="20" s="1"/>
  <c r="O48" i="20" s="1"/>
  <c r="P48" i="20" s="1"/>
  <c r="Q48" i="20" s="1"/>
  <c r="R48" i="20" s="1"/>
  <c r="S48" i="20" s="1"/>
  <c r="T48" i="20" s="1"/>
  <c r="U48" i="20" s="1"/>
  <c r="V48" i="20" s="1"/>
  <c r="W48" i="20" s="1"/>
  <c r="X48" i="20" s="1"/>
  <c r="Y48" i="20" s="1"/>
  <c r="Z48" i="20" s="1"/>
  <c r="AA48" i="20" s="1"/>
  <c r="AB48" i="20" s="1"/>
  <c r="AC48" i="20" s="1"/>
  <c r="AD48" i="20" s="1"/>
  <c r="AE48" i="20" s="1"/>
  <c r="AF48" i="20" s="1"/>
  <c r="AG48" i="20" s="1"/>
  <c r="AH48" i="20" s="1"/>
  <c r="AI48" i="20" s="1"/>
  <c r="AJ48" i="20" s="1"/>
  <c r="AK48" i="20" s="1"/>
  <c r="AL48" i="20" s="1"/>
  <c r="AM48" i="20" s="1"/>
  <c r="AN48" i="20" s="1"/>
  <c r="AO48" i="20" s="1"/>
  <c r="AP48" i="20" s="1"/>
  <c r="AQ48" i="20" s="1"/>
  <c r="AR48" i="20" s="1"/>
  <c r="AS48" i="20" s="1"/>
  <c r="AT48" i="20" s="1"/>
  <c r="AU48" i="20" s="1"/>
  <c r="AV48" i="20" s="1"/>
  <c r="AW48" i="20" s="1"/>
  <c r="AX48" i="20" s="1"/>
  <c r="AY48" i="20" s="1"/>
  <c r="AZ48" i="20" s="1"/>
  <c r="BA48" i="20" s="1"/>
  <c r="BB48" i="20" s="1"/>
  <c r="BC48" i="20" s="1"/>
  <c r="BD48" i="20" s="1"/>
  <c r="BE48" i="20" s="1"/>
  <c r="BF48" i="20" s="1"/>
  <c r="BG48" i="20" s="1"/>
  <c r="BH48" i="20" s="1"/>
  <c r="BI48" i="20" s="1"/>
  <c r="BJ48" i="20" s="1"/>
  <c r="BK48" i="20" s="1"/>
  <c r="BL48" i="20" s="1"/>
  <c r="BM48" i="20" s="1"/>
  <c r="BN48" i="20" s="1"/>
  <c r="BO48" i="20" s="1"/>
  <c r="BP48" i="20" s="1"/>
  <c r="BQ48" i="20" s="1"/>
  <c r="BR48" i="20" s="1"/>
  <c r="BS48" i="20" s="1"/>
  <c r="BT48" i="20" s="1"/>
  <c r="BU48" i="20" s="1"/>
  <c r="BV48" i="20" s="1"/>
  <c r="BW48" i="20" s="1"/>
  <c r="BX48" i="20" s="1"/>
  <c r="BY48" i="20" s="1"/>
  <c r="BZ48" i="20" s="1"/>
  <c r="CA48" i="20" s="1"/>
  <c r="CB48" i="20" s="1"/>
  <c r="CC48" i="20" s="1"/>
  <c r="CD48" i="20" s="1"/>
  <c r="CE48" i="20" s="1"/>
  <c r="CF48" i="20" s="1"/>
  <c r="CG48" i="20" s="1"/>
  <c r="CH48" i="20" s="1"/>
  <c r="CI48" i="20" s="1"/>
  <c r="CJ48" i="20" s="1"/>
  <c r="CK48" i="20" s="1"/>
  <c r="CL48" i="20" s="1"/>
  <c r="CM48" i="20" s="1"/>
  <c r="CN48" i="20" s="1"/>
  <c r="CO48" i="20" s="1"/>
  <c r="CP48" i="20" s="1"/>
  <c r="CQ48" i="20" s="1"/>
  <c r="CR48" i="20" s="1"/>
  <c r="CS48" i="20" s="1"/>
  <c r="CT48" i="20" s="1"/>
  <c r="CU48" i="20" s="1"/>
  <c r="CV48" i="20" s="1"/>
  <c r="CW48" i="20" s="1"/>
  <c r="CX48" i="20" s="1"/>
  <c r="CY48" i="20" s="1"/>
  <c r="CZ48" i="20" s="1"/>
  <c r="DA48" i="20" s="1"/>
  <c r="DB48" i="20" s="1"/>
  <c r="DC48" i="20" s="1"/>
  <c r="DD48" i="20" s="1"/>
  <c r="DE48" i="20" s="1"/>
  <c r="DF48" i="20" s="1"/>
  <c r="DG48" i="20" s="1"/>
  <c r="DH48" i="20" s="1"/>
  <c r="DI48" i="20" s="1"/>
  <c r="DJ48" i="20" s="1"/>
  <c r="DK48" i="20" s="1"/>
  <c r="DL48" i="20" s="1"/>
  <c r="DM48" i="20" s="1"/>
  <c r="DN48" i="20" s="1"/>
  <c r="DO48" i="20" s="1"/>
  <c r="DP48" i="20" s="1"/>
  <c r="A49" i="20" s="1"/>
  <c r="B49" i="20" s="1"/>
  <c r="C49" i="20" s="1"/>
  <c r="D49" i="20" s="1"/>
  <c r="E49" i="20" s="1"/>
  <c r="F49" i="20" s="1"/>
  <c r="G49" i="20" s="1"/>
  <c r="H49" i="20" s="1"/>
  <c r="I49" i="20" s="1"/>
  <c r="J49" i="20" s="1"/>
  <c r="K49" i="20" s="1"/>
  <c r="L49" i="20" s="1"/>
  <c r="M49" i="20" s="1"/>
  <c r="N49" i="20" s="1"/>
  <c r="O49" i="20" s="1"/>
  <c r="P49" i="20" s="1"/>
  <c r="Q49" i="20" s="1"/>
  <c r="R49" i="20" s="1"/>
  <c r="S49" i="20" s="1"/>
  <c r="T49" i="20" s="1"/>
  <c r="U49" i="20" s="1"/>
  <c r="V49" i="20" s="1"/>
  <c r="W49" i="20" s="1"/>
  <c r="X49" i="20" s="1"/>
  <c r="Y49" i="20" s="1"/>
  <c r="Z49" i="20" s="1"/>
  <c r="AA49" i="20" s="1"/>
  <c r="AB49" i="20" s="1"/>
  <c r="AC49" i="20" s="1"/>
  <c r="AD49" i="20" s="1"/>
  <c r="AE49" i="20" s="1"/>
  <c r="AF49" i="20" s="1"/>
  <c r="AG49" i="20" s="1"/>
  <c r="AH49" i="20" s="1"/>
  <c r="AI49" i="20" s="1"/>
  <c r="AJ49" i="20" s="1"/>
  <c r="AK49" i="20" s="1"/>
  <c r="AL49" i="20" s="1"/>
  <c r="AM49" i="20" s="1"/>
  <c r="AN49" i="20" s="1"/>
  <c r="AO49" i="20" s="1"/>
  <c r="AP49" i="20" s="1"/>
  <c r="AQ49" i="20" s="1"/>
  <c r="AR49" i="20" s="1"/>
  <c r="AS49" i="20" s="1"/>
  <c r="AT49" i="20" s="1"/>
  <c r="AU49" i="20" s="1"/>
  <c r="AV49" i="20" s="1"/>
  <c r="AW49" i="20" s="1"/>
  <c r="AX49" i="20" s="1"/>
  <c r="AY49" i="20" s="1"/>
  <c r="AZ49" i="20" s="1"/>
  <c r="BA49" i="20" s="1"/>
  <c r="BB49" i="20" s="1"/>
  <c r="BC49" i="20" s="1"/>
  <c r="BD49" i="20" s="1"/>
  <c r="BE49" i="20" s="1"/>
  <c r="BF49" i="20" s="1"/>
  <c r="BG49" i="20" s="1"/>
  <c r="BH49" i="20" s="1"/>
  <c r="BI49" i="20" s="1"/>
  <c r="BJ49" i="20" s="1"/>
  <c r="BK49" i="20" s="1"/>
  <c r="BL49" i="20" s="1"/>
  <c r="BM49" i="20" s="1"/>
  <c r="BN49" i="20" s="1"/>
  <c r="BO49" i="20" s="1"/>
  <c r="BP49" i="20" s="1"/>
  <c r="BQ49" i="20" s="1"/>
  <c r="BR49" i="20" s="1"/>
  <c r="BS49" i="20" s="1"/>
  <c r="BT49" i="20" s="1"/>
  <c r="BU49" i="20" s="1"/>
  <c r="BV49" i="20" s="1"/>
  <c r="BW49" i="20" s="1"/>
  <c r="BX49" i="20" s="1"/>
  <c r="BY49" i="20" s="1"/>
  <c r="BZ49" i="20" s="1"/>
  <c r="CA49" i="20" s="1"/>
  <c r="CB49" i="20" s="1"/>
  <c r="CC49" i="20" s="1"/>
  <c r="CD49" i="20" s="1"/>
  <c r="CE49" i="20" s="1"/>
  <c r="CF49" i="20" s="1"/>
  <c r="CG49" i="20" s="1"/>
  <c r="CH49" i="20" s="1"/>
  <c r="CI49" i="20" s="1"/>
  <c r="CJ49" i="20" s="1"/>
  <c r="CK49" i="20" s="1"/>
  <c r="CL49" i="20" s="1"/>
  <c r="CM49" i="20" s="1"/>
  <c r="CN49" i="20" s="1"/>
  <c r="CO49" i="20" s="1"/>
  <c r="CP49" i="20" s="1"/>
  <c r="CQ49" i="20" s="1"/>
  <c r="CR49" i="20" s="1"/>
  <c r="CS49" i="20" s="1"/>
  <c r="CT49" i="20" s="1"/>
  <c r="CU49" i="20" s="1"/>
  <c r="CV49" i="20" s="1"/>
  <c r="CW49" i="20" s="1"/>
  <c r="CX49" i="20" s="1"/>
  <c r="CY49" i="20" s="1"/>
  <c r="CZ49" i="20" s="1"/>
  <c r="DA49" i="20" s="1"/>
  <c r="DB49" i="20" s="1"/>
  <c r="DC49" i="20" s="1"/>
  <c r="DD49" i="20" s="1"/>
  <c r="DE49" i="20" s="1"/>
  <c r="DF49" i="20" s="1"/>
  <c r="DG49" i="20" s="1"/>
  <c r="DH49" i="20" s="1"/>
  <c r="DI49" i="20" s="1"/>
  <c r="DJ49" i="20" s="1"/>
  <c r="DK49" i="20" s="1"/>
  <c r="DL49" i="20" s="1"/>
  <c r="DM49" i="20" s="1"/>
  <c r="DN49" i="20" s="1"/>
  <c r="DO49" i="20" s="1"/>
  <c r="DP49" i="20" s="1"/>
  <c r="A50" i="20" s="1"/>
  <c r="B50" i="20" s="1"/>
  <c r="C50" i="20" s="1"/>
  <c r="D50" i="20" s="1"/>
  <c r="E50" i="20" s="1"/>
  <c r="F50" i="20" s="1"/>
  <c r="G50" i="20" s="1"/>
  <c r="H50" i="20" s="1"/>
  <c r="I50" i="20" s="1"/>
  <c r="J50" i="20" s="1"/>
  <c r="K50" i="20" s="1"/>
  <c r="L50" i="20" s="1"/>
  <c r="M50" i="20" s="1"/>
  <c r="N50" i="20" s="1"/>
  <c r="O50" i="20" s="1"/>
  <c r="P50" i="20" s="1"/>
  <c r="Q50" i="20" s="1"/>
  <c r="R50" i="20" s="1"/>
  <c r="S50" i="20" s="1"/>
  <c r="T50" i="20" s="1"/>
  <c r="U50" i="20" s="1"/>
  <c r="V50" i="20" s="1"/>
  <c r="W50" i="20" s="1"/>
  <c r="X50" i="20" s="1"/>
  <c r="Y50" i="20" s="1"/>
  <c r="Z50" i="20" s="1"/>
  <c r="AA50" i="20" s="1"/>
  <c r="AB50" i="20" s="1"/>
  <c r="AC50" i="20" s="1"/>
  <c r="AD50" i="20" s="1"/>
  <c r="AE50" i="20" s="1"/>
  <c r="AF50" i="20" s="1"/>
  <c r="AG50" i="20" s="1"/>
  <c r="AH50" i="20" s="1"/>
  <c r="AI50" i="20" s="1"/>
  <c r="AJ50" i="20" s="1"/>
  <c r="AK50" i="20" s="1"/>
  <c r="AL50" i="20" s="1"/>
  <c r="AM50" i="20" s="1"/>
  <c r="AN50" i="20" s="1"/>
  <c r="AO50" i="20" s="1"/>
  <c r="AP50" i="20" s="1"/>
  <c r="AQ50" i="20" s="1"/>
  <c r="AR50" i="20" s="1"/>
  <c r="AS50" i="20" s="1"/>
  <c r="AT50" i="20" s="1"/>
  <c r="AU50" i="20" s="1"/>
  <c r="AV50" i="20" s="1"/>
  <c r="AW50" i="20" s="1"/>
  <c r="AX50" i="20" s="1"/>
  <c r="AY50" i="20" s="1"/>
  <c r="AZ50" i="20" s="1"/>
  <c r="BA50" i="20" s="1"/>
  <c r="BB50" i="20" s="1"/>
  <c r="BC50" i="20" s="1"/>
  <c r="BD50" i="20" s="1"/>
  <c r="BE50" i="20" s="1"/>
  <c r="BF50" i="20" s="1"/>
  <c r="BG50" i="20" s="1"/>
  <c r="BH50" i="20" s="1"/>
  <c r="BI50" i="20" s="1"/>
  <c r="BJ50" i="20" s="1"/>
  <c r="BK50" i="20" s="1"/>
  <c r="BL50" i="20" s="1"/>
  <c r="BM50" i="20" s="1"/>
  <c r="BN50" i="20" s="1"/>
  <c r="BO50" i="20" s="1"/>
  <c r="BP50" i="20" s="1"/>
  <c r="BQ50" i="20" s="1"/>
  <c r="BR50" i="20" s="1"/>
  <c r="BS50" i="20" s="1"/>
  <c r="BT50" i="20" s="1"/>
  <c r="BU50" i="20" s="1"/>
  <c r="BV50" i="20" s="1"/>
  <c r="BW50" i="20" s="1"/>
  <c r="BX50" i="20" s="1"/>
  <c r="BY50" i="20" s="1"/>
  <c r="BZ50" i="20" s="1"/>
  <c r="CA50" i="20" s="1"/>
  <c r="CB50" i="20" s="1"/>
  <c r="CC50" i="20" s="1"/>
  <c r="CD50" i="20" s="1"/>
  <c r="CE50" i="20" s="1"/>
  <c r="CF50" i="20" s="1"/>
  <c r="CG50" i="20" s="1"/>
  <c r="CH50" i="20" s="1"/>
  <c r="CI50" i="20" s="1"/>
  <c r="CJ50" i="20" s="1"/>
  <c r="CK50" i="20" s="1"/>
  <c r="CL50" i="20" s="1"/>
  <c r="CM50" i="20" s="1"/>
  <c r="CN50" i="20" s="1"/>
  <c r="CO50" i="20" s="1"/>
  <c r="CP50" i="20" s="1"/>
  <c r="CQ50" i="20" s="1"/>
  <c r="CR50" i="20" s="1"/>
  <c r="CS50" i="20" s="1"/>
  <c r="CT50" i="20" s="1"/>
  <c r="CU50" i="20" s="1"/>
  <c r="CV50" i="20" s="1"/>
  <c r="CW50" i="20" s="1"/>
  <c r="CX50" i="20" s="1"/>
  <c r="CY50" i="20" s="1"/>
  <c r="CZ50" i="20" s="1"/>
  <c r="DA50" i="20" s="1"/>
  <c r="DB50" i="20" s="1"/>
  <c r="DC50" i="20" s="1"/>
  <c r="DD50" i="20" s="1"/>
  <c r="DE50" i="20" s="1"/>
  <c r="DF50" i="20" s="1"/>
  <c r="DG50" i="20" s="1"/>
  <c r="DH50" i="20" s="1"/>
  <c r="DI50" i="20" s="1"/>
  <c r="DJ50" i="20" s="1"/>
  <c r="DK50" i="20" s="1"/>
  <c r="DL50" i="20" s="1"/>
  <c r="DM50" i="20" s="1"/>
  <c r="DN50" i="20" s="1"/>
  <c r="DO50" i="20" s="1"/>
  <c r="DP50" i="20" s="1"/>
  <c r="A51" i="20" s="1"/>
  <c r="B51" i="20" s="1"/>
  <c r="C51" i="20" s="1"/>
  <c r="D51" i="20" s="1"/>
  <c r="E51" i="20" s="1"/>
  <c r="F51" i="20" s="1"/>
  <c r="G51" i="20" s="1"/>
  <c r="H51" i="20" s="1"/>
  <c r="I51" i="20" s="1"/>
  <c r="J51" i="20" s="1"/>
  <c r="K51" i="20" s="1"/>
  <c r="L51" i="20" s="1"/>
  <c r="M51" i="20" s="1"/>
  <c r="N51" i="20" s="1"/>
  <c r="O51" i="20" s="1"/>
  <c r="P51" i="20" s="1"/>
  <c r="Q51" i="20" s="1"/>
  <c r="R51" i="20" s="1"/>
  <c r="S51" i="20" s="1"/>
  <c r="T51" i="20" s="1"/>
  <c r="U51" i="20" s="1"/>
  <c r="V51" i="20" s="1"/>
  <c r="W51" i="20" s="1"/>
  <c r="X51" i="20" s="1"/>
  <c r="Y51" i="20" s="1"/>
  <c r="Z51" i="20" s="1"/>
  <c r="AA51" i="20" s="1"/>
  <c r="AB51" i="20" s="1"/>
  <c r="AC51" i="20" s="1"/>
  <c r="AD51" i="20" s="1"/>
  <c r="AE51" i="20" s="1"/>
  <c r="AF51" i="20" s="1"/>
  <c r="AG51" i="20" s="1"/>
  <c r="AH51" i="20" s="1"/>
  <c r="AI51" i="20" s="1"/>
  <c r="AJ51" i="20" s="1"/>
  <c r="AK51" i="20" s="1"/>
  <c r="AL51" i="20" s="1"/>
  <c r="AM51" i="20" s="1"/>
  <c r="AN51" i="20" s="1"/>
  <c r="AO51" i="20" s="1"/>
  <c r="AP51" i="20" s="1"/>
  <c r="AQ51" i="20" s="1"/>
  <c r="AR51" i="20" s="1"/>
  <c r="AS51" i="20" s="1"/>
  <c r="AT51" i="20" s="1"/>
  <c r="AU51" i="20" s="1"/>
  <c r="AV51" i="20" s="1"/>
  <c r="AW51" i="20" s="1"/>
  <c r="AX51" i="20" s="1"/>
  <c r="AY51" i="20" s="1"/>
  <c r="AZ51" i="20" s="1"/>
  <c r="BA51" i="20" s="1"/>
  <c r="BB51" i="20" s="1"/>
  <c r="BC51" i="20" s="1"/>
  <c r="BD51" i="20" s="1"/>
  <c r="BE51" i="20" s="1"/>
  <c r="BF51" i="20" s="1"/>
  <c r="BG51" i="20" s="1"/>
  <c r="BH51" i="20" s="1"/>
  <c r="BI51" i="20" s="1"/>
  <c r="BJ51" i="20" s="1"/>
  <c r="BK51" i="20" s="1"/>
  <c r="BL51" i="20" s="1"/>
  <c r="BM51" i="20" s="1"/>
  <c r="BN51" i="20" s="1"/>
  <c r="BO51" i="20" s="1"/>
  <c r="BP51" i="20" s="1"/>
  <c r="BQ51" i="20" s="1"/>
  <c r="BR51" i="20" s="1"/>
  <c r="BS51" i="20" s="1"/>
  <c r="BT51" i="20" s="1"/>
  <c r="BU51" i="20" s="1"/>
  <c r="BV51" i="20" s="1"/>
  <c r="BW51" i="20" s="1"/>
  <c r="BX51" i="20" s="1"/>
  <c r="BY51" i="20" s="1"/>
  <c r="BZ51" i="20" s="1"/>
  <c r="CA51" i="20" s="1"/>
  <c r="CB51" i="20" s="1"/>
  <c r="CC51" i="20" s="1"/>
  <c r="CD51" i="20" s="1"/>
  <c r="CE51" i="20" s="1"/>
  <c r="CF51" i="20" s="1"/>
  <c r="CG51" i="20" s="1"/>
  <c r="CH51" i="20" s="1"/>
  <c r="CI51" i="20" s="1"/>
  <c r="CJ51" i="20" s="1"/>
  <c r="CK51" i="20" s="1"/>
  <c r="CL51" i="20" s="1"/>
  <c r="CM51" i="20" s="1"/>
  <c r="CN51" i="20" s="1"/>
  <c r="CO51" i="20" s="1"/>
  <c r="CP51" i="20" s="1"/>
  <c r="CQ51" i="20" s="1"/>
  <c r="CR51" i="20" s="1"/>
  <c r="CS51" i="20" s="1"/>
  <c r="CT51" i="20" s="1"/>
  <c r="CU51" i="20" s="1"/>
  <c r="CV51" i="20" s="1"/>
  <c r="CW51" i="20" s="1"/>
  <c r="CX51" i="20" s="1"/>
  <c r="CY51" i="20" s="1"/>
  <c r="CZ51" i="20" s="1"/>
  <c r="DA51" i="20" s="1"/>
  <c r="DB51" i="20" s="1"/>
  <c r="DC51" i="20" s="1"/>
  <c r="DD51" i="20" s="1"/>
  <c r="DE51" i="20" s="1"/>
  <c r="DF51" i="20" s="1"/>
  <c r="DG51" i="20" s="1"/>
  <c r="DH51" i="20" s="1"/>
  <c r="DI51" i="20" s="1"/>
  <c r="DJ51" i="20" s="1"/>
  <c r="DK51" i="20" s="1"/>
  <c r="DL51" i="20" s="1"/>
  <c r="DM51" i="20" s="1"/>
  <c r="DN51" i="20" s="1"/>
  <c r="DO51" i="20" s="1"/>
  <c r="DP51" i="20" s="1"/>
  <c r="A52" i="20" s="1"/>
  <c r="B52" i="20" s="1"/>
  <c r="C52" i="20" s="1"/>
  <c r="D52" i="20" s="1"/>
  <c r="E52" i="20" s="1"/>
  <c r="F52" i="20" s="1"/>
  <c r="G52" i="20" s="1"/>
  <c r="H52" i="20" s="1"/>
  <c r="I52" i="20" s="1"/>
  <c r="J52" i="20" s="1"/>
  <c r="K52" i="20" s="1"/>
  <c r="L52" i="20" s="1"/>
  <c r="M52" i="20" s="1"/>
  <c r="N52" i="20" s="1"/>
  <c r="O52" i="20" s="1"/>
  <c r="P52" i="20" s="1"/>
  <c r="Q52" i="20" s="1"/>
  <c r="R52" i="20" s="1"/>
  <c r="S52" i="20" s="1"/>
  <c r="T52" i="20" s="1"/>
  <c r="U52" i="20" s="1"/>
  <c r="V52" i="20" s="1"/>
  <c r="W52" i="20" s="1"/>
  <c r="X52" i="20" s="1"/>
  <c r="Y52" i="20" s="1"/>
  <c r="Z52" i="20" s="1"/>
  <c r="AA52" i="20" s="1"/>
  <c r="AB52" i="20" s="1"/>
  <c r="AC52" i="20" s="1"/>
  <c r="AD52" i="20" s="1"/>
  <c r="AE52" i="20" s="1"/>
  <c r="AF52" i="20" s="1"/>
  <c r="AG52" i="20" s="1"/>
  <c r="AH52" i="20" s="1"/>
  <c r="AI52" i="20" s="1"/>
  <c r="AJ52" i="20" s="1"/>
  <c r="AK52" i="20" s="1"/>
  <c r="AL52" i="20" s="1"/>
  <c r="AM52" i="20" s="1"/>
  <c r="AN52" i="20" s="1"/>
  <c r="AO52" i="20" s="1"/>
  <c r="AP52" i="20" s="1"/>
  <c r="AQ52" i="20" s="1"/>
  <c r="AR52" i="20" s="1"/>
  <c r="AS52" i="20" s="1"/>
  <c r="AT52" i="20" s="1"/>
  <c r="AU52" i="20" s="1"/>
  <c r="AV52" i="20" s="1"/>
  <c r="AW52" i="20" s="1"/>
  <c r="AX52" i="20" s="1"/>
  <c r="AY52" i="20" s="1"/>
  <c r="AZ52" i="20" s="1"/>
  <c r="BA52" i="20" s="1"/>
  <c r="BB52" i="20" s="1"/>
  <c r="BC52" i="20" s="1"/>
  <c r="BD52" i="20" s="1"/>
  <c r="BE52" i="20" s="1"/>
  <c r="BF52" i="20" s="1"/>
  <c r="BG52" i="20" s="1"/>
  <c r="BH52" i="20" s="1"/>
  <c r="BI52" i="20" s="1"/>
  <c r="BJ52" i="20" s="1"/>
  <c r="BK52" i="20" s="1"/>
  <c r="BL52" i="20" s="1"/>
  <c r="BM52" i="20" s="1"/>
  <c r="BN52" i="20" s="1"/>
  <c r="BO52" i="20" s="1"/>
  <c r="BP52" i="20" s="1"/>
  <c r="BQ52" i="20" s="1"/>
  <c r="BR52" i="20" s="1"/>
  <c r="BS52" i="20" s="1"/>
  <c r="BT52" i="20" s="1"/>
  <c r="BU52" i="20" s="1"/>
  <c r="BV52" i="20" s="1"/>
  <c r="BW52" i="20" s="1"/>
  <c r="BX52" i="20" s="1"/>
  <c r="BY52" i="20" s="1"/>
  <c r="BZ52" i="20" s="1"/>
  <c r="CA52" i="20" s="1"/>
  <c r="CB52" i="20" s="1"/>
  <c r="CC52" i="20" s="1"/>
  <c r="CD52" i="20" s="1"/>
  <c r="CE52" i="20" s="1"/>
  <c r="CF52" i="20" s="1"/>
  <c r="CG52" i="20" s="1"/>
  <c r="CH52" i="20" s="1"/>
  <c r="CI52" i="20" s="1"/>
  <c r="CJ52" i="20" s="1"/>
  <c r="CK52" i="20" s="1"/>
  <c r="CL52" i="20" s="1"/>
  <c r="CM52" i="20" s="1"/>
  <c r="CN52" i="20" s="1"/>
  <c r="CO52" i="20" s="1"/>
  <c r="CP52" i="20" s="1"/>
  <c r="CQ52" i="20" s="1"/>
  <c r="CR52" i="20" s="1"/>
  <c r="CS52" i="20" s="1"/>
  <c r="CT52" i="20" s="1"/>
  <c r="CU52" i="20" s="1"/>
  <c r="CV52" i="20" s="1"/>
  <c r="CW52" i="20" s="1"/>
  <c r="CX52" i="20" s="1"/>
  <c r="CY52" i="20" s="1"/>
  <c r="CZ52" i="20" s="1"/>
  <c r="DA52" i="20" s="1"/>
  <c r="DB52" i="20" s="1"/>
  <c r="DC52" i="20" s="1"/>
  <c r="DD52" i="20" s="1"/>
  <c r="DE52" i="20" s="1"/>
  <c r="DF52" i="20" s="1"/>
  <c r="DG52" i="20" s="1"/>
  <c r="DH52" i="20" s="1"/>
  <c r="DI52" i="20" s="1"/>
  <c r="DJ52" i="20" s="1"/>
  <c r="DK52" i="20" s="1"/>
  <c r="DL52" i="20" s="1"/>
  <c r="DM52" i="20" s="1"/>
  <c r="DN52" i="20" s="1"/>
  <c r="DO52" i="20" s="1"/>
  <c r="DP52" i="20" s="1"/>
  <c r="A53" i="20" s="1"/>
  <c r="B53" i="20" s="1"/>
  <c r="C53" i="20" s="1"/>
  <c r="D53" i="20" s="1"/>
  <c r="E53" i="20" s="1"/>
  <c r="F53" i="20" s="1"/>
  <c r="G53" i="20" s="1"/>
  <c r="H53" i="20" s="1"/>
  <c r="I53" i="20" s="1"/>
  <c r="J53" i="20" s="1"/>
  <c r="K53" i="20" s="1"/>
  <c r="L53" i="20" s="1"/>
  <c r="M53" i="20" s="1"/>
  <c r="N53" i="20" s="1"/>
  <c r="O53" i="20" s="1"/>
  <c r="P53" i="20" s="1"/>
  <c r="Q53" i="20" s="1"/>
  <c r="R53" i="20" s="1"/>
  <c r="S53" i="20" s="1"/>
  <c r="T53" i="20" s="1"/>
  <c r="U53" i="20" s="1"/>
  <c r="V53" i="20" s="1"/>
  <c r="W53" i="20" s="1"/>
  <c r="X53" i="20" s="1"/>
  <c r="Y53" i="20" s="1"/>
  <c r="Z53" i="20" s="1"/>
  <c r="AA53" i="20" s="1"/>
  <c r="AB53" i="20" s="1"/>
  <c r="AC53" i="20" s="1"/>
  <c r="AD53" i="20" s="1"/>
  <c r="AE53" i="20" s="1"/>
  <c r="AF53" i="20" s="1"/>
  <c r="AG53" i="20" s="1"/>
  <c r="AH53" i="20" s="1"/>
  <c r="AI53" i="20" s="1"/>
  <c r="AJ53" i="20" s="1"/>
  <c r="AK53" i="20" s="1"/>
  <c r="AL53" i="20" s="1"/>
  <c r="AM53" i="20" s="1"/>
  <c r="AN53" i="20" s="1"/>
  <c r="AO53" i="20" s="1"/>
  <c r="AP53" i="20" s="1"/>
  <c r="AQ53" i="20" s="1"/>
  <c r="AR53" i="20" s="1"/>
  <c r="AS53" i="20" s="1"/>
  <c r="AT53" i="20" s="1"/>
  <c r="AU53" i="20" s="1"/>
  <c r="AV53" i="20" s="1"/>
  <c r="AW53" i="20" s="1"/>
  <c r="AX53" i="20" s="1"/>
  <c r="AY53" i="20" s="1"/>
  <c r="AZ53" i="20" s="1"/>
  <c r="BA53" i="20" s="1"/>
  <c r="BB53" i="20" s="1"/>
  <c r="BC53" i="20" s="1"/>
  <c r="BD53" i="20" s="1"/>
  <c r="BE53" i="20" s="1"/>
  <c r="BF53" i="20" s="1"/>
  <c r="BG53" i="20" s="1"/>
  <c r="BH53" i="20" s="1"/>
  <c r="BI53" i="20" s="1"/>
  <c r="BJ53" i="20" s="1"/>
  <c r="BK53" i="20" s="1"/>
  <c r="BL53" i="20" s="1"/>
  <c r="BM53" i="20" s="1"/>
  <c r="BN53" i="20" s="1"/>
  <c r="BO53" i="20" s="1"/>
  <c r="BP53" i="20" s="1"/>
  <c r="BQ53" i="20" s="1"/>
  <c r="BR53" i="20" s="1"/>
  <c r="BS53" i="20" s="1"/>
  <c r="BT53" i="20" s="1"/>
  <c r="BU53" i="20" s="1"/>
  <c r="BV53" i="20" s="1"/>
  <c r="BW53" i="20" s="1"/>
  <c r="BX53" i="20" s="1"/>
  <c r="BY53" i="20" s="1"/>
  <c r="BZ53" i="20" s="1"/>
  <c r="CA53" i="20" s="1"/>
  <c r="CB53" i="20" s="1"/>
  <c r="CC53" i="20" s="1"/>
  <c r="CD53" i="20" s="1"/>
  <c r="CE53" i="20" s="1"/>
  <c r="CF53" i="20" s="1"/>
  <c r="CG53" i="20" s="1"/>
  <c r="CH53" i="20" s="1"/>
  <c r="CI53" i="20" s="1"/>
  <c r="CJ53" i="20" s="1"/>
  <c r="CK53" i="20" s="1"/>
  <c r="CL53" i="20" s="1"/>
  <c r="CM53" i="20" s="1"/>
  <c r="CN53" i="20" s="1"/>
  <c r="CO53" i="20" s="1"/>
  <c r="CP53" i="20" s="1"/>
  <c r="CQ53" i="20" s="1"/>
  <c r="CR53" i="20" s="1"/>
  <c r="CS53" i="20" s="1"/>
  <c r="CT53" i="20" s="1"/>
  <c r="CU53" i="20" s="1"/>
  <c r="CV53" i="20" s="1"/>
  <c r="CW53" i="20" s="1"/>
  <c r="CX53" i="20" s="1"/>
  <c r="CY53" i="20" s="1"/>
  <c r="CZ53" i="20" s="1"/>
  <c r="DA53" i="20" s="1"/>
  <c r="DB53" i="20" s="1"/>
  <c r="DC53" i="20" s="1"/>
  <c r="DD53" i="20" s="1"/>
  <c r="DE53" i="20" s="1"/>
  <c r="DF53" i="20" s="1"/>
  <c r="DG53" i="20" s="1"/>
  <c r="DH53" i="20" s="1"/>
  <c r="DI53" i="20" s="1"/>
  <c r="DJ53" i="20" s="1"/>
  <c r="DK53" i="20" s="1"/>
  <c r="DL53" i="20" s="1"/>
  <c r="DM53" i="20" s="1"/>
  <c r="DN53" i="20" s="1"/>
  <c r="DO53" i="20" s="1"/>
  <c r="DP53" i="20" s="1"/>
  <c r="A54" i="20" s="1"/>
  <c r="B54" i="20" s="1"/>
  <c r="C54" i="20" s="1"/>
  <c r="D54" i="20" s="1"/>
  <c r="E54" i="20" s="1"/>
  <c r="F54" i="20" s="1"/>
  <c r="G54" i="20" s="1"/>
  <c r="H54" i="20" s="1"/>
  <c r="I54" i="20" s="1"/>
  <c r="J54" i="20" s="1"/>
  <c r="K54" i="20" s="1"/>
  <c r="L54" i="20" s="1"/>
  <c r="M54" i="20" s="1"/>
  <c r="N54" i="20" s="1"/>
  <c r="O54" i="20" s="1"/>
  <c r="P54" i="20" s="1"/>
  <c r="Q54" i="20" s="1"/>
  <c r="R54" i="20" s="1"/>
  <c r="S54" i="20" s="1"/>
  <c r="T54" i="20" s="1"/>
  <c r="U54" i="20" s="1"/>
  <c r="V54" i="20" s="1"/>
  <c r="W54" i="20" s="1"/>
  <c r="X54" i="20" s="1"/>
  <c r="Y54" i="20" s="1"/>
  <c r="Z54" i="20" s="1"/>
  <c r="AA54" i="20" s="1"/>
  <c r="AB54" i="20" s="1"/>
  <c r="AC54" i="20" s="1"/>
  <c r="AD54" i="20" s="1"/>
  <c r="AE54" i="20" s="1"/>
  <c r="AF54" i="20" s="1"/>
  <c r="AG54" i="20" s="1"/>
  <c r="AH54" i="20" s="1"/>
  <c r="AI54" i="20" s="1"/>
  <c r="AJ54" i="20" s="1"/>
  <c r="AK54" i="20" s="1"/>
  <c r="AL54" i="20" s="1"/>
  <c r="AM54" i="20" s="1"/>
  <c r="AN54" i="20" s="1"/>
  <c r="AO54" i="20" s="1"/>
  <c r="AP54" i="20" s="1"/>
  <c r="AQ54" i="20" s="1"/>
  <c r="AR54" i="20" s="1"/>
  <c r="AS54" i="20" s="1"/>
  <c r="AT54" i="20" s="1"/>
  <c r="AU54" i="20" s="1"/>
  <c r="AV54" i="20" s="1"/>
  <c r="AW54" i="20" s="1"/>
  <c r="AX54" i="20" s="1"/>
  <c r="AY54" i="20" s="1"/>
  <c r="AZ54" i="20" s="1"/>
  <c r="BA54" i="20" s="1"/>
  <c r="BB54" i="20" s="1"/>
  <c r="BC54" i="20" s="1"/>
  <c r="BD54" i="20" s="1"/>
  <c r="BE54" i="20" s="1"/>
  <c r="BF54" i="20" s="1"/>
  <c r="BG54" i="20" s="1"/>
  <c r="BH54" i="20" s="1"/>
  <c r="BI54" i="20" s="1"/>
  <c r="BJ54" i="20" s="1"/>
  <c r="BK54" i="20" s="1"/>
  <c r="BL54" i="20" s="1"/>
  <c r="BM54" i="20" s="1"/>
  <c r="BN54" i="20" s="1"/>
  <c r="BO54" i="20" s="1"/>
  <c r="BP54" i="20" s="1"/>
  <c r="BQ54" i="20" s="1"/>
  <c r="BR54" i="20" s="1"/>
  <c r="BS54" i="20" s="1"/>
  <c r="BT54" i="20" s="1"/>
  <c r="BU54" i="20" s="1"/>
  <c r="BV54" i="20" s="1"/>
  <c r="BW54" i="20" s="1"/>
  <c r="BX54" i="20" s="1"/>
  <c r="BY54" i="20" s="1"/>
  <c r="BZ54" i="20" s="1"/>
  <c r="CA54" i="20" s="1"/>
  <c r="CB54" i="20" s="1"/>
  <c r="CC54" i="20" s="1"/>
  <c r="CD54" i="20" s="1"/>
  <c r="CE54" i="20" s="1"/>
  <c r="CF54" i="20" s="1"/>
  <c r="CG54" i="20" s="1"/>
  <c r="CH54" i="20" s="1"/>
  <c r="CI54" i="20" s="1"/>
  <c r="CJ54" i="20" s="1"/>
  <c r="CK54" i="20" s="1"/>
  <c r="CL54" i="20" s="1"/>
  <c r="CM54" i="20" s="1"/>
  <c r="CN54" i="20" s="1"/>
  <c r="CO54" i="20" s="1"/>
  <c r="CP54" i="20" s="1"/>
  <c r="CQ54" i="20" s="1"/>
  <c r="CR54" i="20" s="1"/>
  <c r="CS54" i="20" s="1"/>
  <c r="CT54" i="20" s="1"/>
  <c r="CU54" i="20" s="1"/>
  <c r="CV54" i="20" s="1"/>
  <c r="CW54" i="20" s="1"/>
  <c r="CX54" i="20" s="1"/>
  <c r="CY54" i="20" s="1"/>
  <c r="CZ54" i="20" s="1"/>
  <c r="DA54" i="20" s="1"/>
  <c r="DB54" i="20" s="1"/>
  <c r="DC54" i="20" s="1"/>
  <c r="DD54" i="20" s="1"/>
  <c r="DE54" i="20" s="1"/>
  <c r="DF54" i="20" s="1"/>
  <c r="DG54" i="20" s="1"/>
  <c r="DH54" i="20" s="1"/>
  <c r="DI54" i="20" s="1"/>
  <c r="DJ54" i="20" s="1"/>
  <c r="DK54" i="20" s="1"/>
  <c r="DL54" i="20" s="1"/>
  <c r="DM54" i="20" s="1"/>
  <c r="DN54" i="20" s="1"/>
  <c r="DO54" i="20" s="1"/>
  <c r="DP54" i="20" s="1"/>
  <c r="A55" i="20" s="1"/>
  <c r="B55" i="20" s="1"/>
  <c r="C55" i="20" s="1"/>
  <c r="D55" i="20" s="1"/>
  <c r="E55" i="20" s="1"/>
  <c r="F55" i="20" s="1"/>
  <c r="G55" i="20" s="1"/>
  <c r="H55" i="20" s="1"/>
  <c r="I55" i="20" s="1"/>
  <c r="J55" i="20" s="1"/>
  <c r="K55" i="20" s="1"/>
  <c r="L55" i="20" s="1"/>
  <c r="M55" i="20" s="1"/>
  <c r="N55" i="20" s="1"/>
  <c r="O55" i="20" s="1"/>
  <c r="P55" i="20" s="1"/>
  <c r="Q55" i="20" s="1"/>
  <c r="R55" i="20" s="1"/>
  <c r="S55" i="20" s="1"/>
  <c r="T55" i="20" s="1"/>
  <c r="U55" i="20" s="1"/>
  <c r="V55" i="20" s="1"/>
  <c r="W55" i="20" s="1"/>
  <c r="X55" i="20" s="1"/>
  <c r="Y55" i="20" s="1"/>
  <c r="Z55" i="20" s="1"/>
  <c r="AA55" i="20" s="1"/>
  <c r="AB55" i="20" s="1"/>
  <c r="AC55" i="20" s="1"/>
  <c r="AD55" i="20" s="1"/>
  <c r="AE55" i="20" s="1"/>
  <c r="AF55" i="20" s="1"/>
  <c r="AG55" i="20" s="1"/>
  <c r="AH55" i="20" s="1"/>
  <c r="AI55" i="20" s="1"/>
  <c r="AJ55" i="20" s="1"/>
  <c r="AK55" i="20" s="1"/>
  <c r="AL55" i="20" s="1"/>
  <c r="AM55" i="20" s="1"/>
  <c r="AN55" i="20" s="1"/>
  <c r="AO55" i="20" s="1"/>
  <c r="AP55" i="20" s="1"/>
  <c r="AQ55" i="20" s="1"/>
  <c r="AR55" i="20" s="1"/>
  <c r="AS55" i="20" s="1"/>
  <c r="AT55" i="20" s="1"/>
  <c r="AU55" i="20" s="1"/>
  <c r="AV55" i="20" s="1"/>
  <c r="AW55" i="20" s="1"/>
  <c r="AX55" i="20" s="1"/>
  <c r="AY55" i="20" s="1"/>
  <c r="AZ55" i="20" s="1"/>
  <c r="BA55" i="20" s="1"/>
  <c r="BB55" i="20" s="1"/>
  <c r="BC55" i="20" s="1"/>
  <c r="BD55" i="20" s="1"/>
  <c r="BE55" i="20" s="1"/>
  <c r="BF55" i="20" s="1"/>
  <c r="BG55" i="20" s="1"/>
  <c r="BH55" i="20" s="1"/>
  <c r="BI55" i="20" s="1"/>
  <c r="BJ55" i="20" s="1"/>
  <c r="BK55" i="20" s="1"/>
  <c r="BL55" i="20" s="1"/>
  <c r="BM55" i="20" s="1"/>
  <c r="BN55" i="20" s="1"/>
  <c r="BO55" i="20" s="1"/>
  <c r="BP55" i="20" s="1"/>
  <c r="BQ55" i="20" s="1"/>
  <c r="BR55" i="20" s="1"/>
  <c r="BS55" i="20" s="1"/>
  <c r="BT55" i="20" s="1"/>
  <c r="BU55" i="20" s="1"/>
  <c r="BV55" i="20" s="1"/>
  <c r="BW55" i="20" s="1"/>
  <c r="BX55" i="20" s="1"/>
  <c r="BY55" i="20" s="1"/>
  <c r="BZ55" i="20" s="1"/>
  <c r="CA55" i="20" s="1"/>
  <c r="CB55" i="20" s="1"/>
  <c r="CC55" i="20" s="1"/>
  <c r="CD55" i="20" s="1"/>
  <c r="CE55" i="20" s="1"/>
  <c r="CF55" i="20" s="1"/>
  <c r="CG55" i="20" s="1"/>
  <c r="CH55" i="20" s="1"/>
  <c r="CI55" i="20" s="1"/>
  <c r="CJ55" i="20" s="1"/>
  <c r="CK55" i="20" s="1"/>
  <c r="CL55" i="20" s="1"/>
  <c r="CM55" i="20" s="1"/>
  <c r="CN55" i="20" s="1"/>
  <c r="CO55" i="20" s="1"/>
  <c r="CP55" i="20" s="1"/>
  <c r="CQ55" i="20" s="1"/>
  <c r="CR55" i="20" s="1"/>
  <c r="CS55" i="20" s="1"/>
  <c r="CT55" i="20" s="1"/>
  <c r="CU55" i="20" s="1"/>
  <c r="CV55" i="20" s="1"/>
  <c r="CW55" i="20" s="1"/>
  <c r="CX55" i="20" s="1"/>
  <c r="CY55" i="20" s="1"/>
  <c r="CZ55" i="20" s="1"/>
  <c r="DA55" i="20" s="1"/>
  <c r="DB55" i="20" s="1"/>
  <c r="DC55" i="20" s="1"/>
  <c r="DD55" i="20" s="1"/>
  <c r="DE55" i="20" s="1"/>
  <c r="DF55" i="20" s="1"/>
  <c r="DG55" i="20" s="1"/>
  <c r="DH55" i="20" s="1"/>
  <c r="DI55" i="20" s="1"/>
  <c r="DJ55" i="20" s="1"/>
  <c r="DK55" i="20" s="1"/>
  <c r="DL55" i="20" s="1"/>
  <c r="DM55" i="20" s="1"/>
  <c r="DN55" i="20" s="1"/>
  <c r="DO55" i="20" s="1"/>
  <c r="DP55" i="20" s="1"/>
  <c r="A56" i="20" s="1"/>
  <c r="B56" i="20" s="1"/>
  <c r="C56" i="20" s="1"/>
  <c r="D56" i="20" s="1"/>
  <c r="E56" i="20" s="1"/>
  <c r="F56" i="20" s="1"/>
  <c r="G56" i="20" s="1"/>
  <c r="H56" i="20" s="1"/>
  <c r="I56" i="20" s="1"/>
  <c r="J56" i="20" s="1"/>
  <c r="K56" i="20" s="1"/>
  <c r="L56" i="20" s="1"/>
  <c r="M56" i="20" s="1"/>
  <c r="N56" i="20" s="1"/>
  <c r="O56" i="20" s="1"/>
  <c r="P56" i="20" s="1"/>
  <c r="Q56" i="20" s="1"/>
  <c r="R56" i="20" s="1"/>
  <c r="S56" i="20" s="1"/>
  <c r="T56" i="20" s="1"/>
  <c r="U56" i="20" s="1"/>
  <c r="V56" i="20" s="1"/>
  <c r="W56" i="20" s="1"/>
  <c r="X56" i="20" s="1"/>
  <c r="Y56" i="20" s="1"/>
  <c r="Z56" i="20" s="1"/>
  <c r="AA56" i="20" s="1"/>
  <c r="AB56" i="20" s="1"/>
  <c r="AC56" i="20" s="1"/>
  <c r="AD56" i="20" s="1"/>
  <c r="AE56" i="20" s="1"/>
  <c r="AF56" i="20" s="1"/>
  <c r="AG56" i="20" s="1"/>
  <c r="AH56" i="20" s="1"/>
  <c r="AI56" i="20" s="1"/>
  <c r="AJ56" i="20" s="1"/>
  <c r="AK56" i="20" s="1"/>
  <c r="AL56" i="20" s="1"/>
  <c r="AM56" i="20" s="1"/>
  <c r="AN56" i="20" s="1"/>
  <c r="AO56" i="20" s="1"/>
  <c r="AP56" i="20" s="1"/>
  <c r="AQ56" i="20" s="1"/>
  <c r="AR56" i="20" s="1"/>
  <c r="AS56" i="20" s="1"/>
  <c r="AT56" i="20" s="1"/>
  <c r="AU56" i="20" s="1"/>
  <c r="AV56" i="20" s="1"/>
  <c r="AW56" i="20" s="1"/>
  <c r="AX56" i="20" s="1"/>
  <c r="AY56" i="20" s="1"/>
  <c r="AZ56" i="20" s="1"/>
  <c r="BA56" i="20" s="1"/>
  <c r="BB56" i="20" s="1"/>
  <c r="BC56" i="20" s="1"/>
  <c r="BD56" i="20" s="1"/>
  <c r="BE56" i="20" s="1"/>
  <c r="BF56" i="20" s="1"/>
  <c r="BG56" i="20" s="1"/>
  <c r="BH56" i="20" s="1"/>
  <c r="BI56" i="20" s="1"/>
  <c r="BJ56" i="20" s="1"/>
  <c r="BK56" i="20" s="1"/>
  <c r="BL56" i="20" s="1"/>
  <c r="BM56" i="20" s="1"/>
  <c r="BN56" i="20" s="1"/>
  <c r="BO56" i="20" s="1"/>
  <c r="BP56" i="20" s="1"/>
  <c r="BQ56" i="20" s="1"/>
  <c r="BR56" i="20" s="1"/>
  <c r="BS56" i="20" s="1"/>
  <c r="BT56" i="20" s="1"/>
  <c r="BU56" i="20" s="1"/>
  <c r="BV56" i="20" s="1"/>
  <c r="BW56" i="20" s="1"/>
  <c r="BX56" i="20" s="1"/>
  <c r="BY56" i="20" s="1"/>
  <c r="BZ56" i="20" s="1"/>
  <c r="CA56" i="20" s="1"/>
  <c r="CB56" i="20" s="1"/>
  <c r="CC56" i="20" s="1"/>
  <c r="CD56" i="20" s="1"/>
  <c r="CE56" i="20" s="1"/>
  <c r="CF56" i="20" s="1"/>
  <c r="CG56" i="20" s="1"/>
  <c r="CH56" i="20" s="1"/>
  <c r="CI56" i="20" s="1"/>
  <c r="CJ56" i="20" s="1"/>
  <c r="CK56" i="20" s="1"/>
  <c r="CL56" i="20" s="1"/>
  <c r="CM56" i="20" s="1"/>
  <c r="CN56" i="20" s="1"/>
  <c r="CO56" i="20" s="1"/>
  <c r="CP56" i="20" s="1"/>
  <c r="CQ56" i="20" s="1"/>
  <c r="CR56" i="20" s="1"/>
  <c r="CS56" i="20" s="1"/>
  <c r="CT56" i="20" s="1"/>
  <c r="CU56" i="20" s="1"/>
  <c r="CV56" i="20" s="1"/>
  <c r="CW56" i="20" s="1"/>
  <c r="CX56" i="20" s="1"/>
  <c r="CY56" i="20" s="1"/>
  <c r="CZ56" i="20" s="1"/>
  <c r="DA56" i="20" s="1"/>
  <c r="DB56" i="20" s="1"/>
  <c r="DC56" i="20" s="1"/>
  <c r="DD56" i="20" s="1"/>
  <c r="DE56" i="20" s="1"/>
  <c r="DF56" i="20" s="1"/>
  <c r="DG56" i="20" s="1"/>
  <c r="DH56" i="20" s="1"/>
  <c r="DI56" i="20" s="1"/>
  <c r="DJ56" i="20" s="1"/>
  <c r="DK56" i="20" s="1"/>
  <c r="DL56" i="20" s="1"/>
  <c r="DM56" i="20" s="1"/>
  <c r="DN56" i="20" s="1"/>
  <c r="DO56" i="20" s="1"/>
  <c r="DP56" i="20" s="1"/>
  <c r="A57" i="20" s="1"/>
  <c r="B57" i="20" s="1"/>
  <c r="C57" i="20" s="1"/>
  <c r="D57" i="20" s="1"/>
  <c r="E57" i="20" s="1"/>
  <c r="F57" i="20" s="1"/>
  <c r="G57" i="20" s="1"/>
  <c r="H57" i="20" s="1"/>
  <c r="I57" i="20" s="1"/>
  <c r="J57" i="20" s="1"/>
  <c r="K57" i="20" s="1"/>
  <c r="L57" i="20" s="1"/>
  <c r="M57" i="20" s="1"/>
  <c r="N57" i="20" s="1"/>
  <c r="O57" i="20" s="1"/>
  <c r="P57" i="20" s="1"/>
  <c r="Q57" i="20" s="1"/>
  <c r="R57" i="20" s="1"/>
  <c r="S57" i="20" s="1"/>
  <c r="T57" i="20" s="1"/>
  <c r="U57" i="20" s="1"/>
  <c r="V57" i="20" s="1"/>
  <c r="W57" i="20" s="1"/>
  <c r="X57" i="20" s="1"/>
  <c r="Y57" i="20" s="1"/>
  <c r="Z57" i="20" s="1"/>
  <c r="AA57" i="20" s="1"/>
  <c r="AB57" i="20" s="1"/>
  <c r="AC57" i="20" s="1"/>
  <c r="AD57" i="20" s="1"/>
  <c r="AE57" i="20" s="1"/>
  <c r="AF57" i="20" s="1"/>
  <c r="AG57" i="20" s="1"/>
  <c r="AH57" i="20" s="1"/>
  <c r="AI57" i="20" s="1"/>
  <c r="AJ57" i="20" s="1"/>
  <c r="AK57" i="20" s="1"/>
  <c r="AL57" i="20" s="1"/>
  <c r="AM57" i="20" s="1"/>
  <c r="AN57" i="20" s="1"/>
  <c r="AO57" i="20" s="1"/>
  <c r="AP57" i="20" s="1"/>
  <c r="AQ57" i="20" s="1"/>
  <c r="AR57" i="20" s="1"/>
  <c r="AS57" i="20" s="1"/>
  <c r="AT57" i="20" s="1"/>
  <c r="AU57" i="20" s="1"/>
  <c r="AV57" i="20" s="1"/>
  <c r="AW57" i="20" s="1"/>
  <c r="AX57" i="20" s="1"/>
  <c r="AY57" i="20" s="1"/>
  <c r="AZ57" i="20" s="1"/>
  <c r="BA57" i="20" s="1"/>
  <c r="BB57" i="20" s="1"/>
  <c r="BC57" i="20" s="1"/>
  <c r="BD57" i="20" s="1"/>
  <c r="BE57" i="20" s="1"/>
  <c r="BF57" i="20" s="1"/>
  <c r="BG57" i="20" s="1"/>
  <c r="BH57" i="20" s="1"/>
  <c r="BI57" i="20" s="1"/>
  <c r="BJ57" i="20" s="1"/>
  <c r="BK57" i="20" s="1"/>
  <c r="BL57" i="20" s="1"/>
  <c r="BM57" i="20" s="1"/>
  <c r="BN57" i="20" s="1"/>
  <c r="BO57" i="20" s="1"/>
  <c r="BP57" i="20" s="1"/>
  <c r="BQ57" i="20" s="1"/>
  <c r="BR57" i="20" s="1"/>
  <c r="BS57" i="20" s="1"/>
  <c r="BT57" i="20" s="1"/>
  <c r="BU57" i="20" s="1"/>
  <c r="BV57" i="20" s="1"/>
  <c r="BW57" i="20" s="1"/>
  <c r="BX57" i="20" s="1"/>
  <c r="BY57" i="20" s="1"/>
  <c r="BZ57" i="20" s="1"/>
  <c r="CA57" i="20" s="1"/>
  <c r="CB57" i="20" s="1"/>
  <c r="CC57" i="20" s="1"/>
  <c r="CD57" i="20" s="1"/>
  <c r="CE57" i="20" s="1"/>
  <c r="CF57" i="20" s="1"/>
  <c r="CG57" i="20" s="1"/>
  <c r="CH57" i="20" s="1"/>
  <c r="CI57" i="20" s="1"/>
  <c r="CJ57" i="20" s="1"/>
  <c r="CK57" i="20" s="1"/>
  <c r="CL57" i="20" s="1"/>
  <c r="CM57" i="20" s="1"/>
  <c r="CN57" i="20" s="1"/>
  <c r="CO57" i="20" s="1"/>
  <c r="CP57" i="20" s="1"/>
  <c r="CQ57" i="20" s="1"/>
  <c r="CR57" i="20" s="1"/>
  <c r="CS57" i="20" s="1"/>
  <c r="CT57" i="20" s="1"/>
  <c r="CU57" i="20" s="1"/>
  <c r="CV57" i="20" s="1"/>
  <c r="CW57" i="20" s="1"/>
  <c r="CX57" i="20" s="1"/>
  <c r="CY57" i="20" s="1"/>
  <c r="CZ57" i="20" s="1"/>
  <c r="DA57" i="20" s="1"/>
  <c r="DB57" i="20" s="1"/>
  <c r="DC57" i="20" s="1"/>
  <c r="DD57" i="20" s="1"/>
  <c r="DE57" i="20" s="1"/>
  <c r="DF57" i="20" s="1"/>
  <c r="DG57" i="20" s="1"/>
  <c r="DH57" i="20" s="1"/>
  <c r="DI57" i="20" s="1"/>
  <c r="DJ57" i="20" s="1"/>
  <c r="DK57" i="20" s="1"/>
  <c r="DL57" i="20" s="1"/>
  <c r="DM57" i="20" s="1"/>
  <c r="DN57" i="20" s="1"/>
  <c r="DO57" i="20" s="1"/>
  <c r="DP57" i="20" s="1"/>
  <c r="A58" i="20" s="1"/>
  <c r="B58" i="20" s="1"/>
  <c r="C58" i="20" s="1"/>
  <c r="D58" i="20" s="1"/>
  <c r="E58" i="20" s="1"/>
  <c r="F58" i="20" s="1"/>
  <c r="G58" i="20" s="1"/>
  <c r="H58" i="20" s="1"/>
  <c r="I58" i="20" s="1"/>
  <c r="J58" i="20" s="1"/>
  <c r="K58" i="20" s="1"/>
  <c r="L58" i="20" s="1"/>
  <c r="M58" i="20" s="1"/>
  <c r="N58" i="20" s="1"/>
  <c r="O58" i="20" s="1"/>
  <c r="P58" i="20" s="1"/>
  <c r="Q58" i="20" s="1"/>
  <c r="R58" i="20" s="1"/>
  <c r="S58" i="20" s="1"/>
  <c r="T58" i="20" s="1"/>
  <c r="U58" i="20" s="1"/>
  <c r="V58" i="20" s="1"/>
  <c r="W58" i="20" s="1"/>
  <c r="X58" i="20" s="1"/>
  <c r="Y58" i="20" s="1"/>
  <c r="Z58" i="20" s="1"/>
  <c r="AA58" i="20" s="1"/>
  <c r="AB58" i="20" s="1"/>
  <c r="AC58" i="20" s="1"/>
  <c r="AD58" i="20" s="1"/>
  <c r="AE58" i="20" s="1"/>
  <c r="AF58" i="20" s="1"/>
  <c r="AG58" i="20" s="1"/>
  <c r="AH58" i="20" s="1"/>
  <c r="AI58" i="20" s="1"/>
  <c r="AJ58" i="20" s="1"/>
  <c r="AK58" i="20" s="1"/>
  <c r="AL58" i="20" s="1"/>
  <c r="AM58" i="20" s="1"/>
  <c r="AN58" i="20" s="1"/>
  <c r="AO58" i="20" s="1"/>
  <c r="AP58" i="20" s="1"/>
  <c r="AQ58" i="20" s="1"/>
  <c r="AR58" i="20" s="1"/>
  <c r="AS58" i="20" s="1"/>
  <c r="AT58" i="20" s="1"/>
  <c r="AU58" i="20" s="1"/>
  <c r="AV58" i="20" s="1"/>
  <c r="AW58" i="20" s="1"/>
  <c r="AX58" i="20" s="1"/>
  <c r="AY58" i="20" s="1"/>
  <c r="AZ58" i="20" s="1"/>
  <c r="BA58" i="20" s="1"/>
  <c r="BB58" i="20" s="1"/>
  <c r="BC58" i="20" s="1"/>
  <c r="BD58" i="20" s="1"/>
  <c r="BE58" i="20" s="1"/>
  <c r="BF58" i="20" s="1"/>
  <c r="BG58" i="20" s="1"/>
  <c r="BH58" i="20" s="1"/>
  <c r="BI58" i="20" s="1"/>
  <c r="BJ58" i="20" s="1"/>
  <c r="BK58" i="20" s="1"/>
  <c r="BL58" i="20" s="1"/>
  <c r="BM58" i="20" s="1"/>
  <c r="BN58" i="20" s="1"/>
  <c r="BO58" i="20" s="1"/>
  <c r="BP58" i="20" s="1"/>
  <c r="BQ58" i="20" s="1"/>
  <c r="BR58" i="20" s="1"/>
  <c r="BS58" i="20" s="1"/>
  <c r="BT58" i="20" s="1"/>
  <c r="BU58" i="20" s="1"/>
  <c r="BV58" i="20" s="1"/>
  <c r="BW58" i="20" s="1"/>
  <c r="BX58" i="20" s="1"/>
  <c r="BY58" i="20" s="1"/>
  <c r="BZ58" i="20" s="1"/>
  <c r="CA58" i="20" s="1"/>
  <c r="CB58" i="20" s="1"/>
  <c r="CC58" i="20" s="1"/>
  <c r="CD58" i="20" s="1"/>
  <c r="CE58" i="20" s="1"/>
  <c r="CF58" i="20" s="1"/>
  <c r="CG58" i="20" s="1"/>
  <c r="CH58" i="20" s="1"/>
  <c r="CI58" i="20" s="1"/>
  <c r="CJ58" i="20" s="1"/>
  <c r="CK58" i="20" s="1"/>
  <c r="CL58" i="20" s="1"/>
  <c r="CM58" i="20" s="1"/>
  <c r="CN58" i="20" s="1"/>
  <c r="CO58" i="20" s="1"/>
  <c r="CP58" i="20" s="1"/>
  <c r="CQ58" i="20" s="1"/>
  <c r="CR58" i="20" s="1"/>
  <c r="CS58" i="20" s="1"/>
  <c r="CT58" i="20" s="1"/>
  <c r="CU58" i="20" s="1"/>
  <c r="CV58" i="20" s="1"/>
  <c r="CW58" i="20" s="1"/>
  <c r="CX58" i="20" s="1"/>
  <c r="CY58" i="20" s="1"/>
  <c r="CZ58" i="20" s="1"/>
  <c r="DA58" i="20" s="1"/>
  <c r="DB58" i="20" s="1"/>
  <c r="DC58" i="20" s="1"/>
  <c r="DD58" i="20" s="1"/>
  <c r="DE58" i="20" s="1"/>
  <c r="DF58" i="20" s="1"/>
  <c r="DG58" i="20" s="1"/>
  <c r="DH58" i="20" s="1"/>
  <c r="DI58" i="20" s="1"/>
  <c r="DJ58" i="20" s="1"/>
  <c r="DK58" i="20" s="1"/>
  <c r="DL58" i="20" s="1"/>
  <c r="DM58" i="20" s="1"/>
  <c r="DN58" i="20" s="1"/>
  <c r="DO58" i="20" s="1"/>
  <c r="DP58" i="20" s="1"/>
  <c r="A59" i="20" s="1"/>
  <c r="B59" i="20" s="1"/>
  <c r="C59" i="20" s="1"/>
  <c r="D59" i="20" s="1"/>
  <c r="E59" i="20" s="1"/>
  <c r="F59" i="20" s="1"/>
  <c r="G59" i="20" s="1"/>
  <c r="H59" i="20" s="1"/>
  <c r="I59" i="20" s="1"/>
  <c r="J59" i="20" s="1"/>
  <c r="K59" i="20" s="1"/>
  <c r="L59" i="20" s="1"/>
  <c r="M59" i="20" s="1"/>
  <c r="N59" i="20" s="1"/>
  <c r="O59" i="20" s="1"/>
  <c r="P59" i="20" s="1"/>
  <c r="Q59" i="20" s="1"/>
  <c r="R59" i="20" s="1"/>
  <c r="S59" i="20" s="1"/>
  <c r="T59" i="20" s="1"/>
  <c r="U59" i="20" s="1"/>
  <c r="V59" i="20" s="1"/>
  <c r="W59" i="20" s="1"/>
  <c r="X59" i="20" s="1"/>
  <c r="Y59" i="20" s="1"/>
  <c r="Z59" i="20" s="1"/>
  <c r="AA59" i="20" s="1"/>
  <c r="AB59" i="20" s="1"/>
  <c r="AC59" i="20" s="1"/>
  <c r="AD59" i="20" s="1"/>
  <c r="AE59" i="20" s="1"/>
  <c r="AF59" i="20" s="1"/>
  <c r="AG59" i="20" s="1"/>
  <c r="AH59" i="20" s="1"/>
  <c r="AI59" i="20" s="1"/>
  <c r="AJ59" i="20" s="1"/>
  <c r="AK59" i="20" s="1"/>
  <c r="AL59" i="20" s="1"/>
  <c r="AM59" i="20" s="1"/>
  <c r="AN59" i="20" s="1"/>
  <c r="AO59" i="20" s="1"/>
  <c r="AP59" i="20" s="1"/>
  <c r="AQ59" i="20" s="1"/>
  <c r="AR59" i="20" s="1"/>
  <c r="AS59" i="20" s="1"/>
  <c r="AT59" i="20" s="1"/>
  <c r="AU59" i="20" s="1"/>
  <c r="AV59" i="20" s="1"/>
  <c r="AW59" i="20" s="1"/>
  <c r="AX59" i="20" s="1"/>
  <c r="AY59" i="20" s="1"/>
  <c r="AZ59" i="20" s="1"/>
  <c r="BA59" i="20" s="1"/>
  <c r="BB59" i="20" s="1"/>
  <c r="BC59" i="20" s="1"/>
  <c r="BD59" i="20" s="1"/>
  <c r="BE59" i="20" s="1"/>
  <c r="BF59" i="20" s="1"/>
  <c r="BG59" i="20" s="1"/>
  <c r="BH59" i="20" s="1"/>
  <c r="BI59" i="20" s="1"/>
  <c r="BJ59" i="20" s="1"/>
  <c r="BK59" i="20" s="1"/>
  <c r="BL59" i="20" s="1"/>
  <c r="BM59" i="20" s="1"/>
  <c r="BN59" i="20" s="1"/>
  <c r="BO59" i="20" s="1"/>
  <c r="BP59" i="20" s="1"/>
  <c r="BQ59" i="20" s="1"/>
  <c r="BR59" i="20" s="1"/>
  <c r="BS59" i="20" s="1"/>
  <c r="BT59" i="20" s="1"/>
  <c r="BU59" i="20" s="1"/>
  <c r="BV59" i="20" s="1"/>
  <c r="BW59" i="20" s="1"/>
  <c r="BX59" i="20" s="1"/>
  <c r="BY59" i="20" s="1"/>
  <c r="BZ59" i="20" s="1"/>
  <c r="CA59" i="20" s="1"/>
  <c r="CB59" i="20" s="1"/>
  <c r="CC59" i="20" s="1"/>
  <c r="CD59" i="20" s="1"/>
  <c r="CE59" i="20" s="1"/>
  <c r="CF59" i="20" s="1"/>
  <c r="CG59" i="20" s="1"/>
  <c r="CH59" i="20" s="1"/>
  <c r="CI59" i="20" s="1"/>
  <c r="CJ59" i="20" s="1"/>
  <c r="CK59" i="20" s="1"/>
  <c r="CL59" i="20" s="1"/>
  <c r="CM59" i="20" s="1"/>
  <c r="CN59" i="20" s="1"/>
  <c r="CO59" i="20" s="1"/>
  <c r="CP59" i="20" s="1"/>
  <c r="CQ59" i="20" s="1"/>
  <c r="CR59" i="20" s="1"/>
  <c r="CS59" i="20" s="1"/>
  <c r="CT59" i="20" s="1"/>
  <c r="CU59" i="20" s="1"/>
  <c r="CV59" i="20" s="1"/>
  <c r="CW59" i="20" s="1"/>
  <c r="CX59" i="20" s="1"/>
  <c r="CY59" i="20" s="1"/>
  <c r="CZ59" i="20" s="1"/>
  <c r="DA59" i="20" s="1"/>
  <c r="DB59" i="20" s="1"/>
  <c r="DC59" i="20" s="1"/>
  <c r="DD59" i="20" s="1"/>
  <c r="DE59" i="20" s="1"/>
  <c r="DF59" i="20" s="1"/>
  <c r="DG59" i="20" s="1"/>
  <c r="DH59" i="20" s="1"/>
  <c r="DI59" i="20" s="1"/>
  <c r="DJ59" i="20" s="1"/>
  <c r="DK59" i="20" s="1"/>
  <c r="DL59" i="20" s="1"/>
  <c r="DM59" i="20" s="1"/>
  <c r="DN59" i="20" s="1"/>
  <c r="DO59" i="20" s="1"/>
  <c r="DP59" i="20" s="1"/>
  <c r="A60" i="20" s="1"/>
  <c r="B60" i="20" s="1"/>
  <c r="C60" i="20" s="1"/>
  <c r="D60" i="20" s="1"/>
  <c r="E60" i="20" s="1"/>
  <c r="F60" i="20" s="1"/>
  <c r="G60" i="20" s="1"/>
  <c r="H60" i="20" s="1"/>
  <c r="I60" i="20" s="1"/>
  <c r="J60" i="20" s="1"/>
  <c r="K60" i="20" s="1"/>
  <c r="L60" i="20" s="1"/>
  <c r="M60" i="20" s="1"/>
  <c r="N60" i="20" s="1"/>
  <c r="O60" i="20" s="1"/>
  <c r="P60" i="20" s="1"/>
  <c r="Q60" i="20" s="1"/>
  <c r="R60" i="20" s="1"/>
  <c r="S60" i="20" s="1"/>
  <c r="T60" i="20" s="1"/>
  <c r="U60" i="20" s="1"/>
  <c r="V60" i="20" s="1"/>
  <c r="W60" i="20" s="1"/>
  <c r="X60" i="20" s="1"/>
  <c r="Y60" i="20" s="1"/>
  <c r="Z60" i="20" s="1"/>
  <c r="AA60" i="20" s="1"/>
  <c r="AB60" i="20" s="1"/>
  <c r="AC60" i="20" s="1"/>
  <c r="AD60" i="20" s="1"/>
  <c r="AE60" i="20" s="1"/>
  <c r="AF60" i="20" s="1"/>
  <c r="AG60" i="20" s="1"/>
  <c r="AH60" i="20" s="1"/>
  <c r="AI60" i="20" s="1"/>
  <c r="AJ60" i="20" s="1"/>
  <c r="AK60" i="20" s="1"/>
  <c r="AL60" i="20" s="1"/>
  <c r="AM60" i="20" s="1"/>
  <c r="AN60" i="20" s="1"/>
  <c r="AO60" i="20" s="1"/>
  <c r="AP60" i="20" s="1"/>
  <c r="AQ60" i="20" s="1"/>
  <c r="AR60" i="20" s="1"/>
  <c r="AS60" i="20" s="1"/>
  <c r="AT60" i="20" s="1"/>
  <c r="AU60" i="20" s="1"/>
  <c r="AV60" i="20" s="1"/>
  <c r="AW60" i="20" s="1"/>
  <c r="AX60" i="20" s="1"/>
  <c r="AY60" i="20" s="1"/>
  <c r="AZ60" i="20" s="1"/>
  <c r="BA60" i="20" s="1"/>
  <c r="BB60" i="20" s="1"/>
  <c r="BC60" i="20" s="1"/>
  <c r="BD60" i="20" s="1"/>
  <c r="BE60" i="20" s="1"/>
  <c r="BF60" i="20" s="1"/>
  <c r="BG60" i="20" s="1"/>
  <c r="BH60" i="20" s="1"/>
  <c r="BI60" i="20" s="1"/>
  <c r="BJ60" i="20" s="1"/>
  <c r="BK60" i="20" s="1"/>
  <c r="BL60" i="20" s="1"/>
  <c r="BM60" i="20" s="1"/>
  <c r="BN60" i="20" s="1"/>
  <c r="BO60" i="20" s="1"/>
  <c r="BP60" i="20" s="1"/>
  <c r="BQ60" i="20" s="1"/>
  <c r="BR60" i="20" s="1"/>
  <c r="BS60" i="20" s="1"/>
  <c r="BT60" i="20" s="1"/>
  <c r="BU60" i="20" s="1"/>
  <c r="BV60" i="20" s="1"/>
  <c r="BW60" i="20" s="1"/>
  <c r="BX60" i="20" s="1"/>
  <c r="BY60" i="20" s="1"/>
  <c r="BZ60" i="20" s="1"/>
  <c r="CA60" i="20" s="1"/>
  <c r="CB60" i="20" s="1"/>
  <c r="CC60" i="20" s="1"/>
  <c r="CD60" i="20" s="1"/>
  <c r="CE60" i="20" s="1"/>
  <c r="CF60" i="20" s="1"/>
  <c r="CG60" i="20" s="1"/>
  <c r="CH60" i="20" s="1"/>
  <c r="CI60" i="20" s="1"/>
  <c r="CJ60" i="20" s="1"/>
  <c r="CK60" i="20" s="1"/>
  <c r="CL60" i="20" s="1"/>
  <c r="CM60" i="20" s="1"/>
  <c r="CN60" i="20" s="1"/>
  <c r="CO60" i="20" s="1"/>
  <c r="CP60" i="20" s="1"/>
  <c r="CQ60" i="20" s="1"/>
  <c r="CR60" i="20" s="1"/>
  <c r="CS60" i="20" s="1"/>
  <c r="CT60" i="20" s="1"/>
  <c r="CU60" i="20" s="1"/>
  <c r="CV60" i="20" s="1"/>
  <c r="CW60" i="20" s="1"/>
  <c r="CX60" i="20" s="1"/>
  <c r="CY60" i="20" s="1"/>
  <c r="CZ60" i="20" s="1"/>
  <c r="DA60" i="20" s="1"/>
  <c r="DB60" i="20" s="1"/>
  <c r="DC60" i="20" s="1"/>
  <c r="DD60" i="20" s="1"/>
  <c r="DE60" i="20" s="1"/>
  <c r="DF60" i="20" s="1"/>
  <c r="DG60" i="20" s="1"/>
  <c r="DH60" i="20" s="1"/>
  <c r="DI60" i="20" s="1"/>
  <c r="DJ60" i="20" s="1"/>
  <c r="DK60" i="20" s="1"/>
  <c r="DL60" i="20" s="1"/>
  <c r="DM60" i="20" s="1"/>
  <c r="DN60" i="20" s="1"/>
  <c r="DO60" i="20" s="1"/>
  <c r="DP60" i="20" s="1"/>
  <c r="A61" i="20" s="1"/>
  <c r="B61" i="20" s="1"/>
  <c r="C61" i="20" s="1"/>
  <c r="D61" i="20" s="1"/>
  <c r="E61" i="20" s="1"/>
  <c r="F61" i="20" s="1"/>
  <c r="G61" i="20" s="1"/>
  <c r="H61" i="20" s="1"/>
  <c r="I61" i="20" s="1"/>
  <c r="J61" i="20" s="1"/>
  <c r="K61" i="20" s="1"/>
  <c r="L61" i="20" s="1"/>
  <c r="M61" i="20" s="1"/>
  <c r="N61" i="20" s="1"/>
  <c r="O61" i="20" s="1"/>
  <c r="P61" i="20" s="1"/>
  <c r="Q61" i="20" s="1"/>
  <c r="R61" i="20" s="1"/>
  <c r="S61" i="20" s="1"/>
  <c r="T61" i="20" s="1"/>
  <c r="U61" i="20" s="1"/>
  <c r="V61" i="20" s="1"/>
  <c r="W61" i="20" s="1"/>
  <c r="X61" i="20" s="1"/>
  <c r="Y61" i="20" s="1"/>
  <c r="Z61" i="20" s="1"/>
  <c r="AA61" i="20" s="1"/>
  <c r="AB61" i="20" s="1"/>
  <c r="AC61" i="20" s="1"/>
  <c r="AD61" i="20" s="1"/>
  <c r="AE61" i="20" s="1"/>
  <c r="AF61" i="20" s="1"/>
  <c r="AG61" i="20" s="1"/>
  <c r="AH61" i="20" s="1"/>
  <c r="AI61" i="20" s="1"/>
  <c r="AJ61" i="20" s="1"/>
  <c r="AK61" i="20" s="1"/>
  <c r="AL61" i="20" s="1"/>
  <c r="AM61" i="20" s="1"/>
  <c r="AN61" i="20" s="1"/>
  <c r="AO61" i="20" s="1"/>
  <c r="AP61" i="20" s="1"/>
  <c r="AQ61" i="20" s="1"/>
  <c r="AR61" i="20" s="1"/>
  <c r="AS61" i="20" s="1"/>
  <c r="AT61" i="20" s="1"/>
  <c r="AU61" i="20" s="1"/>
  <c r="AV61" i="20" s="1"/>
  <c r="AW61" i="20" s="1"/>
  <c r="AX61" i="20" s="1"/>
  <c r="AY61" i="20" s="1"/>
  <c r="AZ61" i="20" s="1"/>
  <c r="BA61" i="20" s="1"/>
  <c r="BB61" i="20" s="1"/>
  <c r="BC61" i="20" s="1"/>
  <c r="BD61" i="20" s="1"/>
  <c r="BE61" i="20" s="1"/>
  <c r="BF61" i="20" s="1"/>
  <c r="BG61" i="20" s="1"/>
  <c r="BH61" i="20" s="1"/>
  <c r="BI61" i="20" s="1"/>
  <c r="BJ61" i="20" s="1"/>
  <c r="BK61" i="20" s="1"/>
  <c r="BL61" i="20" s="1"/>
  <c r="BM61" i="20" s="1"/>
  <c r="BN61" i="20" s="1"/>
  <c r="BO61" i="20" s="1"/>
  <c r="BP61" i="20" s="1"/>
  <c r="BQ61" i="20" s="1"/>
  <c r="BR61" i="20" s="1"/>
  <c r="BS61" i="20" s="1"/>
  <c r="BT61" i="20" s="1"/>
  <c r="BU61" i="20" s="1"/>
  <c r="BV61" i="20" s="1"/>
  <c r="BW61" i="20" s="1"/>
  <c r="BX61" i="20" s="1"/>
  <c r="BY61" i="20" s="1"/>
  <c r="BZ61" i="20" s="1"/>
  <c r="CA61" i="20" s="1"/>
  <c r="CB61" i="20" s="1"/>
  <c r="CC61" i="20" s="1"/>
  <c r="CD61" i="20" s="1"/>
  <c r="CE61" i="20" s="1"/>
  <c r="CF61" i="20" s="1"/>
  <c r="CG61" i="20" s="1"/>
  <c r="CH61" i="20" s="1"/>
  <c r="CI61" i="20" s="1"/>
  <c r="CJ61" i="20" s="1"/>
  <c r="CK61" i="20" s="1"/>
  <c r="CL61" i="20" s="1"/>
  <c r="CM61" i="20" s="1"/>
  <c r="CN61" i="20" s="1"/>
  <c r="CO61" i="20" s="1"/>
  <c r="CP61" i="20" s="1"/>
  <c r="CQ61" i="20" s="1"/>
  <c r="CR61" i="20" s="1"/>
  <c r="CS61" i="20" s="1"/>
  <c r="CT61" i="20" s="1"/>
  <c r="CU61" i="20" s="1"/>
  <c r="CV61" i="20" s="1"/>
  <c r="CW61" i="20" s="1"/>
  <c r="CX61" i="20" s="1"/>
  <c r="CY61" i="20" s="1"/>
  <c r="CZ61" i="20" s="1"/>
  <c r="DA61" i="20" s="1"/>
  <c r="DB61" i="20" s="1"/>
  <c r="DC61" i="20" s="1"/>
  <c r="DD61" i="20" s="1"/>
  <c r="DE61" i="20" s="1"/>
  <c r="DF61" i="20" s="1"/>
  <c r="DG61" i="20" s="1"/>
  <c r="DH61" i="20" s="1"/>
  <c r="DI61" i="20" s="1"/>
  <c r="DJ61" i="20" s="1"/>
  <c r="DK61" i="20" s="1"/>
  <c r="DL61" i="20" s="1"/>
  <c r="DM61" i="20" s="1"/>
  <c r="DN61" i="20" s="1"/>
  <c r="DO61" i="20" s="1"/>
  <c r="DP61" i="20" s="1"/>
  <c r="A62" i="20" s="1"/>
  <c r="B62" i="20" s="1"/>
  <c r="C62" i="20" s="1"/>
  <c r="D62" i="20" s="1"/>
  <c r="E62" i="20" s="1"/>
  <c r="F62" i="20" s="1"/>
  <c r="G62" i="20" s="1"/>
  <c r="H62" i="20" s="1"/>
  <c r="I62" i="20" s="1"/>
  <c r="J62" i="20" s="1"/>
  <c r="K62" i="20" s="1"/>
  <c r="L62" i="20" s="1"/>
  <c r="M62" i="20" s="1"/>
  <c r="N62" i="20" s="1"/>
  <c r="O62" i="20" s="1"/>
  <c r="P62" i="20" s="1"/>
  <c r="Q62" i="20" s="1"/>
  <c r="R62" i="20" s="1"/>
  <c r="S62" i="20" s="1"/>
  <c r="T62" i="20" s="1"/>
  <c r="U62" i="20" s="1"/>
  <c r="V62" i="20" s="1"/>
  <c r="W62" i="20" s="1"/>
  <c r="X62" i="20" s="1"/>
  <c r="Y62" i="20" s="1"/>
  <c r="Z62" i="20" s="1"/>
  <c r="AA62" i="20" s="1"/>
  <c r="AB62" i="20" s="1"/>
  <c r="AC62" i="20" s="1"/>
  <c r="AD62" i="20" s="1"/>
  <c r="AE62" i="20" s="1"/>
  <c r="AF62" i="20" s="1"/>
  <c r="AG62" i="20" s="1"/>
  <c r="AH62" i="20" s="1"/>
  <c r="AI62" i="20" s="1"/>
  <c r="AJ62" i="20" s="1"/>
  <c r="AK62" i="20" s="1"/>
  <c r="AL62" i="20" s="1"/>
  <c r="AM62" i="20" s="1"/>
  <c r="AN62" i="20" s="1"/>
  <c r="AO62" i="20" s="1"/>
  <c r="AP62" i="20" s="1"/>
  <c r="AQ62" i="20" s="1"/>
  <c r="AR62" i="20" s="1"/>
  <c r="AS62" i="20" s="1"/>
  <c r="AT62" i="20" s="1"/>
  <c r="AU62" i="20" s="1"/>
  <c r="AV62" i="20" s="1"/>
  <c r="AW62" i="20" s="1"/>
  <c r="AX62" i="20" s="1"/>
  <c r="AY62" i="20" s="1"/>
  <c r="AZ62" i="20" s="1"/>
  <c r="BA62" i="20" s="1"/>
  <c r="BB62" i="20" s="1"/>
  <c r="BC62" i="20" s="1"/>
  <c r="BD62" i="20" s="1"/>
  <c r="BE62" i="20" s="1"/>
  <c r="BF62" i="20" s="1"/>
  <c r="BG62" i="20" s="1"/>
  <c r="BH62" i="20" s="1"/>
  <c r="BI62" i="20" s="1"/>
  <c r="BJ62" i="20" s="1"/>
  <c r="BK62" i="20" s="1"/>
  <c r="BL62" i="20" s="1"/>
  <c r="BM62" i="20" s="1"/>
  <c r="BN62" i="20" s="1"/>
  <c r="BO62" i="20" s="1"/>
  <c r="BP62" i="20" s="1"/>
  <c r="BQ62" i="20" s="1"/>
  <c r="BR62" i="20" s="1"/>
  <c r="BS62" i="20" s="1"/>
  <c r="BT62" i="20" s="1"/>
  <c r="BU62" i="20" s="1"/>
  <c r="BV62" i="20" s="1"/>
  <c r="BW62" i="20" s="1"/>
  <c r="BX62" i="20" s="1"/>
  <c r="BY62" i="20" s="1"/>
  <c r="BZ62" i="20" s="1"/>
  <c r="CA62" i="20" s="1"/>
  <c r="CB62" i="20" s="1"/>
  <c r="CC62" i="20" s="1"/>
  <c r="CD62" i="20" s="1"/>
  <c r="CE62" i="20" s="1"/>
  <c r="CF62" i="20" s="1"/>
  <c r="CG62" i="20" s="1"/>
  <c r="CH62" i="20" s="1"/>
  <c r="CI62" i="20" s="1"/>
  <c r="CJ62" i="20" s="1"/>
  <c r="CK62" i="20" s="1"/>
  <c r="CL62" i="20" s="1"/>
  <c r="CM62" i="20" s="1"/>
  <c r="CN62" i="20" s="1"/>
  <c r="CO62" i="20" s="1"/>
  <c r="CP62" i="20" s="1"/>
  <c r="CQ62" i="20" s="1"/>
  <c r="CR62" i="20" s="1"/>
  <c r="CS62" i="20" s="1"/>
  <c r="CT62" i="20" s="1"/>
  <c r="CU62" i="20" s="1"/>
  <c r="CV62" i="20" s="1"/>
  <c r="CW62" i="20" s="1"/>
  <c r="CX62" i="20" s="1"/>
  <c r="CY62" i="20" s="1"/>
  <c r="CZ62" i="20" s="1"/>
  <c r="DA62" i="20" s="1"/>
  <c r="DB62" i="20" s="1"/>
  <c r="DC62" i="20" s="1"/>
  <c r="DD62" i="20" s="1"/>
  <c r="DE62" i="20" s="1"/>
  <c r="DF62" i="20" s="1"/>
  <c r="DG62" i="20" s="1"/>
  <c r="DH62" i="20" s="1"/>
  <c r="DI62" i="20" s="1"/>
  <c r="DJ62" i="20" s="1"/>
  <c r="DK62" i="20" s="1"/>
  <c r="DL62" i="20" s="1"/>
  <c r="DM62" i="20" s="1"/>
  <c r="DN62" i="20" s="1"/>
  <c r="DO62" i="20" s="1"/>
  <c r="DP62" i="20" s="1"/>
  <c r="A63" i="20" s="1"/>
  <c r="B63" i="20" s="1"/>
  <c r="C63" i="20" s="1"/>
  <c r="D63" i="20" s="1"/>
  <c r="E63" i="20" s="1"/>
  <c r="F63" i="20" s="1"/>
  <c r="G63" i="20" s="1"/>
  <c r="H63" i="20" s="1"/>
  <c r="I63" i="20" s="1"/>
  <c r="J63" i="20" s="1"/>
  <c r="K63" i="20" s="1"/>
  <c r="L63" i="20" s="1"/>
  <c r="M63" i="20" s="1"/>
  <c r="N63" i="20" s="1"/>
  <c r="O63" i="20" s="1"/>
  <c r="P63" i="20" s="1"/>
  <c r="Q63" i="20" s="1"/>
  <c r="R63" i="20" s="1"/>
  <c r="S63" i="20" s="1"/>
  <c r="T63" i="20" s="1"/>
  <c r="U63" i="20" s="1"/>
  <c r="V63" i="20" s="1"/>
  <c r="W63" i="20" s="1"/>
  <c r="X63" i="20" s="1"/>
  <c r="Y63" i="20" s="1"/>
  <c r="Z63" i="20" s="1"/>
  <c r="AA63" i="20" s="1"/>
  <c r="AB63" i="20" s="1"/>
  <c r="AC63" i="20" s="1"/>
  <c r="AD63" i="20" s="1"/>
  <c r="AE63" i="20" s="1"/>
  <c r="AF63" i="20" s="1"/>
  <c r="AG63" i="20" s="1"/>
  <c r="AH63" i="20" s="1"/>
  <c r="AI63" i="20" s="1"/>
  <c r="AJ63" i="20" s="1"/>
  <c r="AK63" i="20" s="1"/>
  <c r="AL63" i="20" s="1"/>
  <c r="AM63" i="20" s="1"/>
  <c r="AN63" i="20" s="1"/>
  <c r="AO63" i="20" s="1"/>
  <c r="AP63" i="20" s="1"/>
  <c r="AQ63" i="20" s="1"/>
  <c r="AR63" i="20" s="1"/>
  <c r="AS63" i="20" s="1"/>
  <c r="AT63" i="20" s="1"/>
  <c r="AU63" i="20" s="1"/>
  <c r="AV63" i="20" s="1"/>
  <c r="AW63" i="20" s="1"/>
  <c r="AX63" i="20" s="1"/>
  <c r="AY63" i="20" s="1"/>
  <c r="AZ63" i="20" s="1"/>
  <c r="BA63" i="20" s="1"/>
  <c r="BB63" i="20" s="1"/>
  <c r="BC63" i="20" s="1"/>
  <c r="BD63" i="20" s="1"/>
  <c r="BE63" i="20" s="1"/>
  <c r="BF63" i="20" s="1"/>
  <c r="BG63" i="20" s="1"/>
  <c r="BH63" i="20" s="1"/>
  <c r="BI63" i="20" s="1"/>
  <c r="BJ63" i="20" s="1"/>
  <c r="BK63" i="20" s="1"/>
  <c r="BL63" i="20" s="1"/>
  <c r="BM63" i="20" s="1"/>
  <c r="BN63" i="20" s="1"/>
  <c r="BO63" i="20" s="1"/>
  <c r="BP63" i="20" s="1"/>
  <c r="BQ63" i="20" s="1"/>
  <c r="BR63" i="20" s="1"/>
  <c r="BS63" i="20" s="1"/>
  <c r="BT63" i="20" s="1"/>
  <c r="BU63" i="20" s="1"/>
  <c r="BV63" i="20" s="1"/>
  <c r="BW63" i="20" s="1"/>
  <c r="BX63" i="20" s="1"/>
  <c r="BY63" i="20" s="1"/>
  <c r="BZ63" i="20" s="1"/>
  <c r="CA63" i="20" s="1"/>
  <c r="CB63" i="20" s="1"/>
  <c r="CC63" i="20" s="1"/>
  <c r="CD63" i="20" s="1"/>
  <c r="CE63" i="20" s="1"/>
  <c r="CF63" i="20" s="1"/>
  <c r="CG63" i="20" s="1"/>
  <c r="CH63" i="20" s="1"/>
  <c r="CI63" i="20" s="1"/>
  <c r="CJ63" i="20" s="1"/>
  <c r="CK63" i="20" s="1"/>
  <c r="CL63" i="20" s="1"/>
  <c r="CM63" i="20" s="1"/>
  <c r="CN63" i="20" s="1"/>
  <c r="CO63" i="20" s="1"/>
  <c r="CP63" i="20" s="1"/>
  <c r="CQ63" i="20" s="1"/>
  <c r="CR63" i="20" s="1"/>
  <c r="CS63" i="20" s="1"/>
  <c r="CT63" i="20" s="1"/>
  <c r="CU63" i="20" s="1"/>
  <c r="CV63" i="20" s="1"/>
  <c r="CW63" i="20" s="1"/>
  <c r="CX63" i="20" s="1"/>
  <c r="CY63" i="20" s="1"/>
  <c r="CZ63" i="20" s="1"/>
  <c r="DA63" i="20" s="1"/>
  <c r="DB63" i="20" s="1"/>
  <c r="DC63" i="20" s="1"/>
  <c r="DD63" i="20" s="1"/>
  <c r="DE63" i="20" s="1"/>
  <c r="DF63" i="20" s="1"/>
  <c r="DG63" i="20" s="1"/>
  <c r="DH63" i="20" s="1"/>
  <c r="DI63" i="20" s="1"/>
  <c r="DJ63" i="20" s="1"/>
  <c r="DK63" i="20" s="1"/>
  <c r="DL63" i="20" s="1"/>
  <c r="DM63" i="20" s="1"/>
  <c r="DN63" i="20" s="1"/>
  <c r="DO63" i="20" s="1"/>
  <c r="DP63" i="20" s="1"/>
  <c r="A64" i="20" s="1"/>
  <c r="B64" i="20" s="1"/>
  <c r="C64" i="20" s="1"/>
  <c r="D64" i="20" s="1"/>
  <c r="E64" i="20" s="1"/>
  <c r="F64" i="20" s="1"/>
  <c r="G64" i="20" s="1"/>
  <c r="H64" i="20" s="1"/>
  <c r="I64" i="20" s="1"/>
  <c r="J64" i="20" s="1"/>
  <c r="K64" i="20" s="1"/>
  <c r="L64" i="20" s="1"/>
  <c r="M64" i="20" s="1"/>
  <c r="N64" i="20" s="1"/>
  <c r="O64" i="20" s="1"/>
  <c r="P64" i="20" s="1"/>
  <c r="Q64" i="20" s="1"/>
  <c r="R64" i="20" s="1"/>
  <c r="S64" i="20" s="1"/>
  <c r="T64" i="20" s="1"/>
  <c r="U64" i="20" s="1"/>
  <c r="V64" i="20" s="1"/>
  <c r="W64" i="20" s="1"/>
  <c r="X64" i="20" s="1"/>
  <c r="Y64" i="20" s="1"/>
  <c r="Z64" i="20" s="1"/>
  <c r="AA64" i="20" s="1"/>
  <c r="AB64" i="20" s="1"/>
  <c r="AC64" i="20" s="1"/>
  <c r="AD64" i="20" s="1"/>
  <c r="AE64" i="20" s="1"/>
  <c r="AF64" i="20" s="1"/>
  <c r="AG64" i="20" s="1"/>
  <c r="AH64" i="20" s="1"/>
  <c r="AI64" i="20" s="1"/>
  <c r="AJ64" i="20" s="1"/>
  <c r="AK64" i="20" s="1"/>
  <c r="AL64" i="20" s="1"/>
  <c r="AM64" i="20" s="1"/>
  <c r="AN64" i="20" s="1"/>
  <c r="AO64" i="20" s="1"/>
  <c r="AP64" i="20" s="1"/>
  <c r="AQ64" i="20" s="1"/>
  <c r="AR64" i="20" s="1"/>
  <c r="AS64" i="20" s="1"/>
  <c r="AT64" i="20" s="1"/>
  <c r="AU64" i="20" s="1"/>
  <c r="AV64" i="20" s="1"/>
  <c r="AW64" i="20" s="1"/>
  <c r="AX64" i="20" s="1"/>
  <c r="AY64" i="20" s="1"/>
  <c r="AZ64" i="20" s="1"/>
  <c r="BA64" i="20" s="1"/>
  <c r="BB64" i="20" s="1"/>
  <c r="BC64" i="20" s="1"/>
  <c r="BD64" i="20" s="1"/>
  <c r="BE64" i="20" s="1"/>
  <c r="BF64" i="20" s="1"/>
  <c r="BG64" i="20" s="1"/>
  <c r="BH64" i="20" s="1"/>
  <c r="BI64" i="20" s="1"/>
  <c r="BJ64" i="20" s="1"/>
  <c r="BK64" i="20" s="1"/>
  <c r="BL64" i="20" s="1"/>
  <c r="BM64" i="20" s="1"/>
  <c r="BN64" i="20" s="1"/>
  <c r="BO64" i="20" s="1"/>
  <c r="BP64" i="20" s="1"/>
  <c r="BQ64" i="20" s="1"/>
  <c r="BR64" i="20" s="1"/>
  <c r="BS64" i="20" s="1"/>
  <c r="BT64" i="20" s="1"/>
  <c r="BU64" i="20" s="1"/>
  <c r="BV64" i="20" s="1"/>
  <c r="BW64" i="20" s="1"/>
  <c r="BX64" i="20" s="1"/>
  <c r="BY64" i="20" s="1"/>
  <c r="BZ64" i="20" s="1"/>
  <c r="CA64" i="20" s="1"/>
  <c r="CB64" i="20" s="1"/>
  <c r="CC64" i="20" s="1"/>
  <c r="CD64" i="20" s="1"/>
  <c r="CE64" i="20" s="1"/>
  <c r="CF64" i="20" s="1"/>
  <c r="CG64" i="20" s="1"/>
  <c r="CH64" i="20" s="1"/>
  <c r="CI64" i="20" s="1"/>
  <c r="CJ64" i="20" s="1"/>
  <c r="CK64" i="20" s="1"/>
  <c r="CL64" i="20" s="1"/>
  <c r="CM64" i="20" s="1"/>
  <c r="CN64" i="20" s="1"/>
  <c r="CO64" i="20" s="1"/>
  <c r="CP64" i="20" s="1"/>
  <c r="CQ64" i="20" s="1"/>
  <c r="CR64" i="20" s="1"/>
  <c r="CS64" i="20" s="1"/>
  <c r="CT64" i="20" s="1"/>
  <c r="CU64" i="20" s="1"/>
  <c r="CV64" i="20" s="1"/>
  <c r="CW64" i="20" s="1"/>
  <c r="CX64" i="20" s="1"/>
  <c r="CY64" i="20" s="1"/>
  <c r="CZ64" i="20" s="1"/>
  <c r="DA64" i="20" s="1"/>
  <c r="DB64" i="20" s="1"/>
  <c r="DC64" i="20" s="1"/>
  <c r="DD64" i="20" s="1"/>
  <c r="DE64" i="20" s="1"/>
  <c r="DF64" i="20" s="1"/>
  <c r="DG64" i="20" s="1"/>
  <c r="DH64" i="20" s="1"/>
  <c r="DI64" i="20" s="1"/>
  <c r="DJ64" i="20" s="1"/>
  <c r="DK64" i="20" s="1"/>
  <c r="DL64" i="20" s="1"/>
  <c r="DM64" i="20" s="1"/>
  <c r="DN64" i="20" s="1"/>
  <c r="DO64" i="20" s="1"/>
  <c r="DP64" i="20" s="1"/>
  <c r="A65" i="20" s="1"/>
  <c r="B65" i="20" s="1"/>
  <c r="C65" i="20" s="1"/>
  <c r="D65" i="20" s="1"/>
  <c r="E65" i="20" s="1"/>
  <c r="F65" i="20" s="1"/>
  <c r="G65" i="20" s="1"/>
  <c r="H65" i="20" s="1"/>
  <c r="I65" i="20" s="1"/>
  <c r="J65" i="20" s="1"/>
  <c r="K65" i="20" s="1"/>
  <c r="L65" i="20" s="1"/>
  <c r="M65" i="20" s="1"/>
  <c r="N65" i="20" s="1"/>
  <c r="O65" i="20" s="1"/>
  <c r="P65" i="20" s="1"/>
  <c r="Q65" i="20" s="1"/>
  <c r="R65" i="20" s="1"/>
  <c r="S65" i="20" s="1"/>
  <c r="T65" i="20" s="1"/>
  <c r="U65" i="20" s="1"/>
  <c r="V65" i="20" s="1"/>
  <c r="W65" i="20" s="1"/>
  <c r="X65" i="20" s="1"/>
  <c r="Y65" i="20" s="1"/>
  <c r="Z65" i="20" s="1"/>
  <c r="AA65" i="20" s="1"/>
  <c r="AB65" i="20" s="1"/>
  <c r="AC65" i="20" s="1"/>
  <c r="AD65" i="20" s="1"/>
  <c r="AE65" i="20" s="1"/>
  <c r="AF65" i="20" s="1"/>
  <c r="AG65" i="20" s="1"/>
  <c r="AH65" i="20" s="1"/>
  <c r="AI65" i="20" s="1"/>
  <c r="AJ65" i="20" s="1"/>
  <c r="AK65" i="20" s="1"/>
  <c r="AL65" i="20" s="1"/>
  <c r="AM65" i="20" s="1"/>
  <c r="AN65" i="20" s="1"/>
  <c r="AO65" i="20" s="1"/>
  <c r="AP65" i="20" s="1"/>
  <c r="AQ65" i="20" s="1"/>
  <c r="AR65" i="20" s="1"/>
  <c r="AS65" i="20" s="1"/>
  <c r="AT65" i="20" s="1"/>
  <c r="AU65" i="20" s="1"/>
  <c r="AV65" i="20" s="1"/>
  <c r="AW65" i="20" s="1"/>
  <c r="AX65" i="20" s="1"/>
  <c r="AY65" i="20" s="1"/>
  <c r="AZ65" i="20" s="1"/>
  <c r="BA65" i="20" s="1"/>
  <c r="BB65" i="20" s="1"/>
  <c r="BC65" i="20" s="1"/>
  <c r="BD65" i="20" s="1"/>
  <c r="BE65" i="20" s="1"/>
  <c r="BF65" i="20" s="1"/>
  <c r="BG65" i="20" s="1"/>
  <c r="BH65" i="20" s="1"/>
  <c r="BI65" i="20" s="1"/>
  <c r="BJ65" i="20" s="1"/>
  <c r="BK65" i="20" s="1"/>
  <c r="BL65" i="20" s="1"/>
  <c r="BM65" i="20" s="1"/>
  <c r="BN65" i="20" s="1"/>
  <c r="BO65" i="20" s="1"/>
  <c r="BP65" i="20" s="1"/>
  <c r="BQ65" i="20" s="1"/>
  <c r="BR65" i="20" s="1"/>
  <c r="BS65" i="20" s="1"/>
  <c r="BT65" i="20" s="1"/>
  <c r="BU65" i="20" s="1"/>
  <c r="BV65" i="20" s="1"/>
  <c r="BW65" i="20" s="1"/>
  <c r="BX65" i="20" s="1"/>
  <c r="BY65" i="20" s="1"/>
  <c r="BZ65" i="20" s="1"/>
  <c r="CA65" i="20" s="1"/>
  <c r="CB65" i="20" s="1"/>
  <c r="CC65" i="20" s="1"/>
  <c r="CD65" i="20" s="1"/>
  <c r="CE65" i="20" s="1"/>
  <c r="CF65" i="20" s="1"/>
  <c r="CG65" i="20" s="1"/>
  <c r="CH65" i="20" s="1"/>
  <c r="CI65" i="20" s="1"/>
  <c r="CJ65" i="20" s="1"/>
  <c r="CK65" i="20" s="1"/>
  <c r="CL65" i="20" s="1"/>
  <c r="CM65" i="20" s="1"/>
  <c r="CN65" i="20" s="1"/>
  <c r="CO65" i="20" s="1"/>
  <c r="CP65" i="20" s="1"/>
  <c r="CQ65" i="20" s="1"/>
  <c r="CR65" i="20" s="1"/>
  <c r="CS65" i="20" s="1"/>
  <c r="CT65" i="20" s="1"/>
  <c r="CU65" i="20" s="1"/>
  <c r="CV65" i="20" s="1"/>
  <c r="CW65" i="20" s="1"/>
  <c r="CX65" i="20" s="1"/>
  <c r="CY65" i="20" s="1"/>
  <c r="CZ65" i="20" s="1"/>
  <c r="DA65" i="20" s="1"/>
  <c r="DB65" i="20" s="1"/>
  <c r="DC65" i="20" s="1"/>
  <c r="DD65" i="20" s="1"/>
  <c r="DE65" i="20" s="1"/>
  <c r="DF65" i="20" s="1"/>
  <c r="DG65" i="20" s="1"/>
  <c r="DH65" i="20" s="1"/>
  <c r="DI65" i="20" s="1"/>
  <c r="DJ65" i="20" s="1"/>
  <c r="DK65" i="20" s="1"/>
  <c r="DL65" i="20" s="1"/>
  <c r="DM65" i="20" s="1"/>
  <c r="DN65" i="20" s="1"/>
  <c r="DO65" i="20" s="1"/>
  <c r="DP65" i="20" s="1"/>
  <c r="A66" i="20" s="1"/>
  <c r="B66" i="20" s="1"/>
  <c r="C66" i="20" s="1"/>
  <c r="D66" i="20" s="1"/>
  <c r="E66" i="20" s="1"/>
  <c r="F66" i="20" s="1"/>
  <c r="G66" i="20" s="1"/>
  <c r="H66" i="20" s="1"/>
  <c r="I66" i="20" s="1"/>
  <c r="J66" i="20" s="1"/>
  <c r="K66" i="20" s="1"/>
  <c r="L66" i="20" s="1"/>
  <c r="M66" i="20" s="1"/>
  <c r="N66" i="20" s="1"/>
  <c r="O66" i="20" s="1"/>
  <c r="P66" i="20" s="1"/>
  <c r="Q66" i="20" s="1"/>
  <c r="R66" i="20" s="1"/>
  <c r="S66" i="20" s="1"/>
  <c r="T66" i="20" s="1"/>
  <c r="U66" i="20" s="1"/>
  <c r="V66" i="20" s="1"/>
  <c r="W66" i="20" s="1"/>
  <c r="X66" i="20" s="1"/>
  <c r="Y66" i="20" s="1"/>
  <c r="Z66" i="20" s="1"/>
  <c r="AA66" i="20" s="1"/>
  <c r="AB66" i="20" s="1"/>
  <c r="AC66" i="20" s="1"/>
  <c r="AD66" i="20" s="1"/>
  <c r="AE66" i="20" s="1"/>
  <c r="AF66" i="20" s="1"/>
  <c r="AG66" i="20" s="1"/>
  <c r="AH66" i="20" s="1"/>
  <c r="AI66" i="20" s="1"/>
  <c r="AJ66" i="20" s="1"/>
  <c r="AK66" i="20" s="1"/>
  <c r="AL66" i="20" s="1"/>
  <c r="AM66" i="20" s="1"/>
  <c r="AN66" i="20" s="1"/>
  <c r="AO66" i="20" s="1"/>
  <c r="AP66" i="20" s="1"/>
  <c r="AQ66" i="20" s="1"/>
  <c r="AR66" i="20" s="1"/>
  <c r="AS66" i="20" s="1"/>
  <c r="AT66" i="20" s="1"/>
  <c r="AU66" i="20" s="1"/>
  <c r="AV66" i="20" s="1"/>
  <c r="AW66" i="20" s="1"/>
  <c r="AX66" i="20" s="1"/>
  <c r="AY66" i="20" s="1"/>
  <c r="AZ66" i="20" s="1"/>
  <c r="BA66" i="20" s="1"/>
  <c r="BB66" i="20" s="1"/>
  <c r="BC66" i="20" s="1"/>
  <c r="BD66" i="20" s="1"/>
  <c r="BE66" i="20" s="1"/>
  <c r="BF66" i="20" s="1"/>
  <c r="BG66" i="20" s="1"/>
  <c r="BH66" i="20" s="1"/>
  <c r="BI66" i="20" s="1"/>
  <c r="BJ66" i="20" s="1"/>
  <c r="BK66" i="20" s="1"/>
  <c r="BL66" i="20" s="1"/>
  <c r="BM66" i="20" s="1"/>
  <c r="BN66" i="20" s="1"/>
  <c r="BO66" i="20" s="1"/>
  <c r="BP66" i="20" s="1"/>
  <c r="BQ66" i="20" s="1"/>
  <c r="BR66" i="20" s="1"/>
  <c r="BS66" i="20" s="1"/>
  <c r="BT66" i="20" s="1"/>
  <c r="BU66" i="20" s="1"/>
  <c r="BV66" i="20" s="1"/>
  <c r="BW66" i="20" s="1"/>
  <c r="BX66" i="20" s="1"/>
  <c r="BY66" i="20" s="1"/>
  <c r="BZ66" i="20" s="1"/>
  <c r="CA66" i="20" s="1"/>
  <c r="CB66" i="20" s="1"/>
  <c r="CC66" i="20" s="1"/>
  <c r="CD66" i="20" s="1"/>
  <c r="CE66" i="20" s="1"/>
  <c r="CF66" i="20" s="1"/>
  <c r="CG66" i="20" s="1"/>
  <c r="CH66" i="20" s="1"/>
  <c r="CI66" i="20" s="1"/>
  <c r="CJ66" i="20" s="1"/>
  <c r="CK66" i="20" s="1"/>
  <c r="CL66" i="20" s="1"/>
  <c r="CM66" i="20" s="1"/>
  <c r="CN66" i="20" s="1"/>
  <c r="CO66" i="20" s="1"/>
  <c r="CP66" i="20" s="1"/>
  <c r="CQ66" i="20" s="1"/>
  <c r="CR66" i="20" s="1"/>
  <c r="CS66" i="20" s="1"/>
  <c r="CT66" i="20" s="1"/>
  <c r="CU66" i="20" s="1"/>
  <c r="CV66" i="20" s="1"/>
  <c r="CW66" i="20" s="1"/>
  <c r="CX66" i="20" s="1"/>
  <c r="CY66" i="20" s="1"/>
  <c r="CZ66" i="20" s="1"/>
  <c r="DA66" i="20" s="1"/>
  <c r="DB66" i="20" s="1"/>
  <c r="DC66" i="20" s="1"/>
  <c r="DD66" i="20" s="1"/>
  <c r="DE66" i="20" s="1"/>
  <c r="DF66" i="20" s="1"/>
  <c r="DG66" i="20" s="1"/>
  <c r="DH66" i="20" s="1"/>
  <c r="DI66" i="20" s="1"/>
  <c r="DJ66" i="20" s="1"/>
  <c r="DK66" i="20" s="1"/>
  <c r="DL66" i="20" s="1"/>
  <c r="DM66" i="20" s="1"/>
  <c r="DN66" i="20" s="1"/>
  <c r="DO66" i="20" s="1"/>
  <c r="DP66" i="20" s="1"/>
  <c r="A67" i="20" s="1"/>
  <c r="B67" i="20" s="1"/>
  <c r="C67" i="20" s="1"/>
  <c r="D67" i="20" s="1"/>
  <c r="E67" i="20" s="1"/>
  <c r="F67" i="20" s="1"/>
  <c r="G67" i="20" s="1"/>
  <c r="H67" i="20" s="1"/>
  <c r="I67" i="20" s="1"/>
  <c r="J67" i="20" s="1"/>
  <c r="K67" i="20" s="1"/>
  <c r="L67" i="20" s="1"/>
  <c r="M67" i="20" s="1"/>
  <c r="N67" i="20" s="1"/>
  <c r="O67" i="20" s="1"/>
  <c r="P67" i="20" s="1"/>
  <c r="Q67" i="20" s="1"/>
  <c r="R67" i="20" s="1"/>
  <c r="S67" i="20" s="1"/>
  <c r="T67" i="20" s="1"/>
  <c r="U67" i="20" s="1"/>
  <c r="V67" i="20" s="1"/>
  <c r="W67" i="20" s="1"/>
  <c r="X67" i="20" s="1"/>
  <c r="Y67" i="20" s="1"/>
  <c r="Z67" i="20" s="1"/>
  <c r="AA67" i="20" s="1"/>
  <c r="AB67" i="20" s="1"/>
  <c r="AC67" i="20" s="1"/>
  <c r="AD67" i="20" s="1"/>
  <c r="AE67" i="20" s="1"/>
  <c r="AF67" i="20" s="1"/>
  <c r="AG67" i="20" s="1"/>
  <c r="AH67" i="20" s="1"/>
  <c r="AI67" i="20" s="1"/>
  <c r="AJ67" i="20" s="1"/>
  <c r="AK67" i="20" s="1"/>
  <c r="AL67" i="20" s="1"/>
  <c r="AM67" i="20" s="1"/>
  <c r="AN67" i="20" s="1"/>
  <c r="AO67" i="20" s="1"/>
  <c r="AP67" i="20" s="1"/>
  <c r="AQ67" i="20" s="1"/>
  <c r="AR67" i="20" s="1"/>
  <c r="AS67" i="20" s="1"/>
  <c r="AT67" i="20" s="1"/>
  <c r="AU67" i="20" s="1"/>
  <c r="AV67" i="20" s="1"/>
  <c r="AW67" i="20" s="1"/>
  <c r="AX67" i="20" s="1"/>
  <c r="AY67" i="20" s="1"/>
  <c r="AZ67" i="20" s="1"/>
  <c r="BA67" i="20" s="1"/>
  <c r="BB67" i="20" s="1"/>
  <c r="BC67" i="20" s="1"/>
  <c r="BD67" i="20" s="1"/>
  <c r="BE67" i="20" s="1"/>
  <c r="BF67" i="20" s="1"/>
  <c r="BG67" i="20" s="1"/>
  <c r="BH67" i="20" s="1"/>
  <c r="BI67" i="20" s="1"/>
  <c r="BJ67" i="20" s="1"/>
  <c r="BK67" i="20" s="1"/>
  <c r="BL67" i="20" s="1"/>
  <c r="BM67" i="20" s="1"/>
  <c r="BN67" i="20" s="1"/>
  <c r="BO67" i="20" s="1"/>
  <c r="BP67" i="20" s="1"/>
  <c r="BQ67" i="20" s="1"/>
  <c r="BR67" i="20" s="1"/>
  <c r="BS67" i="20" s="1"/>
  <c r="BT67" i="20" s="1"/>
  <c r="BU67" i="20" s="1"/>
  <c r="BV67" i="20" s="1"/>
  <c r="BW67" i="20" s="1"/>
  <c r="BX67" i="20" s="1"/>
  <c r="BY67" i="20" s="1"/>
  <c r="BZ67" i="20" s="1"/>
  <c r="CA67" i="20" s="1"/>
  <c r="CB67" i="20" s="1"/>
  <c r="CC67" i="20" s="1"/>
  <c r="CD67" i="20" s="1"/>
  <c r="CE67" i="20" s="1"/>
  <c r="CF67" i="20" s="1"/>
  <c r="CG67" i="20" s="1"/>
  <c r="CH67" i="20" s="1"/>
  <c r="CI67" i="20" s="1"/>
  <c r="CJ67" i="20" s="1"/>
  <c r="CK67" i="20" s="1"/>
  <c r="CL67" i="20" s="1"/>
  <c r="CM67" i="20" s="1"/>
  <c r="CN67" i="20" s="1"/>
  <c r="CO67" i="20" s="1"/>
  <c r="CP67" i="20" s="1"/>
  <c r="CQ67" i="20" s="1"/>
  <c r="CR67" i="20" s="1"/>
  <c r="CS67" i="20" s="1"/>
  <c r="CT67" i="20" s="1"/>
  <c r="CU67" i="20" s="1"/>
  <c r="CV67" i="20" s="1"/>
  <c r="CW67" i="20" s="1"/>
  <c r="CX67" i="20" s="1"/>
  <c r="CY67" i="20" s="1"/>
  <c r="CZ67" i="20" s="1"/>
  <c r="DA67" i="20" s="1"/>
  <c r="DB67" i="20" s="1"/>
  <c r="DC67" i="20" s="1"/>
  <c r="DD67" i="20" s="1"/>
  <c r="DE67" i="20" s="1"/>
  <c r="DF67" i="20" s="1"/>
  <c r="DG67" i="20" s="1"/>
  <c r="DH67" i="20" s="1"/>
  <c r="DI67" i="20" s="1"/>
  <c r="DJ67" i="20" s="1"/>
  <c r="DK67" i="20" s="1"/>
  <c r="DL67" i="20" s="1"/>
  <c r="DM67" i="20" s="1"/>
  <c r="DN67" i="20" s="1"/>
  <c r="DO67" i="20" s="1"/>
  <c r="DP67" i="20" s="1"/>
  <c r="A68" i="20" s="1"/>
  <c r="B68" i="20" s="1"/>
  <c r="C68" i="20" s="1"/>
  <c r="D68" i="20" s="1"/>
  <c r="E68" i="20" s="1"/>
  <c r="F68" i="20" s="1"/>
  <c r="G68" i="20" s="1"/>
  <c r="H68" i="20" s="1"/>
  <c r="I68" i="20" s="1"/>
  <c r="J68" i="20" s="1"/>
  <c r="K68" i="20" s="1"/>
  <c r="L68" i="20" s="1"/>
  <c r="M68" i="20" s="1"/>
  <c r="N68" i="20" s="1"/>
  <c r="O68" i="20" s="1"/>
  <c r="P68" i="20" s="1"/>
  <c r="Q68" i="20" s="1"/>
  <c r="R68" i="20" s="1"/>
  <c r="S68" i="20" s="1"/>
  <c r="T68" i="20" s="1"/>
  <c r="U68" i="20" s="1"/>
  <c r="V68" i="20" s="1"/>
  <c r="W68" i="20" s="1"/>
  <c r="X68" i="20" s="1"/>
  <c r="Y68" i="20" s="1"/>
  <c r="Z68" i="20" s="1"/>
  <c r="AA68" i="20" s="1"/>
  <c r="AB68" i="20" s="1"/>
  <c r="AC68" i="20" s="1"/>
  <c r="AD68" i="20" s="1"/>
  <c r="AE68" i="20" s="1"/>
  <c r="AF68" i="20" s="1"/>
  <c r="AG68" i="20" s="1"/>
  <c r="AH68" i="20" s="1"/>
  <c r="AI68" i="20" s="1"/>
  <c r="AJ68" i="20" s="1"/>
  <c r="AK68" i="20" s="1"/>
  <c r="AL68" i="20" s="1"/>
  <c r="AM68" i="20" s="1"/>
  <c r="AN68" i="20" s="1"/>
  <c r="AO68" i="20" s="1"/>
  <c r="AP68" i="20" s="1"/>
  <c r="AQ68" i="20" s="1"/>
  <c r="AR68" i="20" s="1"/>
  <c r="AS68" i="20" s="1"/>
  <c r="AT68" i="20" s="1"/>
  <c r="AU68" i="20" s="1"/>
  <c r="AV68" i="20" s="1"/>
  <c r="AW68" i="20" s="1"/>
  <c r="AX68" i="20" s="1"/>
  <c r="AY68" i="20" s="1"/>
  <c r="AZ68" i="20" s="1"/>
  <c r="BA68" i="20" s="1"/>
  <c r="BB68" i="20" s="1"/>
  <c r="BC68" i="20" s="1"/>
  <c r="BD68" i="20" s="1"/>
  <c r="BE68" i="20" s="1"/>
  <c r="BF68" i="20" s="1"/>
  <c r="BG68" i="20" s="1"/>
  <c r="BH68" i="20" s="1"/>
  <c r="BI68" i="20" s="1"/>
  <c r="BJ68" i="20" s="1"/>
  <c r="BK68" i="20" s="1"/>
  <c r="BL68" i="20" s="1"/>
  <c r="BM68" i="20" s="1"/>
  <c r="BN68" i="20" s="1"/>
  <c r="BO68" i="20" s="1"/>
  <c r="BP68" i="20" s="1"/>
  <c r="BQ68" i="20" s="1"/>
  <c r="BR68" i="20" s="1"/>
  <c r="BS68" i="20" s="1"/>
  <c r="BT68" i="20" s="1"/>
  <c r="BU68" i="20" s="1"/>
  <c r="BV68" i="20" s="1"/>
  <c r="BW68" i="20" s="1"/>
  <c r="BX68" i="20" s="1"/>
  <c r="BY68" i="20" s="1"/>
  <c r="BZ68" i="20" s="1"/>
  <c r="CA68" i="20" s="1"/>
  <c r="CB68" i="20" s="1"/>
  <c r="CC68" i="20" s="1"/>
  <c r="CD68" i="20" s="1"/>
  <c r="CE68" i="20" s="1"/>
  <c r="CF68" i="20" s="1"/>
  <c r="CG68" i="20" s="1"/>
  <c r="CH68" i="20" s="1"/>
  <c r="CI68" i="20" s="1"/>
  <c r="CJ68" i="20" s="1"/>
  <c r="CK68" i="20" s="1"/>
  <c r="CL68" i="20" s="1"/>
  <c r="CM68" i="20" s="1"/>
  <c r="CN68" i="20" s="1"/>
  <c r="CO68" i="20" s="1"/>
  <c r="CP68" i="20" s="1"/>
  <c r="CQ68" i="20" s="1"/>
  <c r="CR68" i="20" s="1"/>
  <c r="CS68" i="20" s="1"/>
  <c r="CT68" i="20" s="1"/>
  <c r="CU68" i="20" s="1"/>
  <c r="CV68" i="20" s="1"/>
  <c r="CW68" i="20" s="1"/>
  <c r="CX68" i="20" s="1"/>
  <c r="CY68" i="20" s="1"/>
  <c r="CZ68" i="20" s="1"/>
  <c r="DA68" i="20" s="1"/>
  <c r="DB68" i="20" s="1"/>
  <c r="DC68" i="20" s="1"/>
  <c r="DD68" i="20" s="1"/>
  <c r="DE68" i="20" s="1"/>
  <c r="DF68" i="20" s="1"/>
  <c r="DG68" i="20" s="1"/>
  <c r="DH68" i="20" s="1"/>
  <c r="DI68" i="20" s="1"/>
  <c r="DJ68" i="20" s="1"/>
  <c r="DK68" i="20" s="1"/>
  <c r="DL68" i="20" s="1"/>
  <c r="DM68" i="20" s="1"/>
  <c r="DN68" i="20" s="1"/>
  <c r="DO68" i="20" s="1"/>
  <c r="DP68" i="20" s="1"/>
  <c r="A69" i="20" s="1"/>
  <c r="B69" i="20" s="1"/>
  <c r="C69" i="20" s="1"/>
  <c r="D69" i="20" s="1"/>
  <c r="E69" i="20" s="1"/>
  <c r="F69" i="20" s="1"/>
  <c r="G69" i="20" s="1"/>
  <c r="H69" i="20" s="1"/>
  <c r="I69" i="20" s="1"/>
  <c r="J69" i="20" s="1"/>
  <c r="K69" i="20" s="1"/>
  <c r="L69" i="20" s="1"/>
  <c r="M69" i="20" s="1"/>
  <c r="N69" i="20" s="1"/>
  <c r="O69" i="20" s="1"/>
  <c r="P69" i="20" s="1"/>
  <c r="Q69" i="20" s="1"/>
  <c r="R69" i="20" s="1"/>
  <c r="S69" i="20" s="1"/>
  <c r="T69" i="20" s="1"/>
  <c r="U69" i="20" s="1"/>
  <c r="V69" i="20" s="1"/>
  <c r="W69" i="20" s="1"/>
  <c r="X69" i="20" s="1"/>
  <c r="Y69" i="20" s="1"/>
  <c r="Z69" i="20" s="1"/>
  <c r="AA69" i="20" s="1"/>
  <c r="AB69" i="20" s="1"/>
  <c r="AC69" i="20" s="1"/>
  <c r="AD69" i="20" s="1"/>
  <c r="AE69" i="20" s="1"/>
  <c r="AF69" i="20" s="1"/>
  <c r="AG69" i="20" s="1"/>
  <c r="AH69" i="20" s="1"/>
  <c r="AI69" i="20" s="1"/>
  <c r="AJ69" i="20" s="1"/>
  <c r="AK69" i="20" s="1"/>
  <c r="AL69" i="20" s="1"/>
  <c r="AM69" i="20" s="1"/>
  <c r="AN69" i="20" s="1"/>
  <c r="AO69" i="20" s="1"/>
  <c r="AP69" i="20" s="1"/>
  <c r="AQ69" i="20" s="1"/>
  <c r="AR69" i="20" s="1"/>
  <c r="AS69" i="20" s="1"/>
  <c r="AT69" i="20" s="1"/>
  <c r="AU69" i="20" s="1"/>
  <c r="AV69" i="20" s="1"/>
  <c r="AW69" i="20" s="1"/>
  <c r="AX69" i="20" s="1"/>
  <c r="AY69" i="20" s="1"/>
  <c r="AZ69" i="20" s="1"/>
  <c r="BA69" i="20" s="1"/>
  <c r="BB69" i="20" s="1"/>
  <c r="BC69" i="20" s="1"/>
  <c r="BD69" i="20" s="1"/>
  <c r="BE69" i="20" s="1"/>
  <c r="BF69" i="20" s="1"/>
  <c r="BG69" i="20" s="1"/>
  <c r="BH69" i="20" s="1"/>
  <c r="BI69" i="20" s="1"/>
  <c r="BJ69" i="20" s="1"/>
  <c r="BK69" i="20" s="1"/>
  <c r="BL69" i="20" s="1"/>
  <c r="BM69" i="20" s="1"/>
  <c r="BN69" i="20" s="1"/>
  <c r="BO69" i="20" s="1"/>
  <c r="BP69" i="20" s="1"/>
  <c r="BQ69" i="20" s="1"/>
  <c r="BR69" i="20" s="1"/>
  <c r="BS69" i="20" s="1"/>
  <c r="BT69" i="20" s="1"/>
  <c r="BU69" i="20" s="1"/>
  <c r="BV69" i="20" s="1"/>
  <c r="BW69" i="20" s="1"/>
  <c r="BX69" i="20" s="1"/>
  <c r="BY69" i="20" s="1"/>
  <c r="BZ69" i="20" s="1"/>
  <c r="CA69" i="20" s="1"/>
  <c r="CB69" i="20" s="1"/>
  <c r="CC69" i="20" s="1"/>
  <c r="CD69" i="20" s="1"/>
  <c r="CE69" i="20" s="1"/>
  <c r="CF69" i="20" s="1"/>
  <c r="CG69" i="20" s="1"/>
  <c r="CH69" i="20" s="1"/>
  <c r="CI69" i="20" s="1"/>
  <c r="CJ69" i="20" s="1"/>
  <c r="CK69" i="20" s="1"/>
  <c r="CL69" i="20" s="1"/>
  <c r="CM69" i="20" s="1"/>
  <c r="CN69" i="20" s="1"/>
  <c r="CO69" i="20" s="1"/>
  <c r="CP69" i="20" s="1"/>
  <c r="CQ69" i="20" s="1"/>
  <c r="CR69" i="20" s="1"/>
  <c r="CS69" i="20" s="1"/>
  <c r="CT69" i="20" s="1"/>
  <c r="CU69" i="20" s="1"/>
  <c r="CV69" i="20" s="1"/>
  <c r="CW69" i="20" s="1"/>
  <c r="CX69" i="20" s="1"/>
  <c r="CY69" i="20" s="1"/>
  <c r="CZ69" i="20" s="1"/>
  <c r="DA69" i="20" s="1"/>
  <c r="DB69" i="20" s="1"/>
  <c r="DC69" i="20" s="1"/>
  <c r="DD69" i="20" s="1"/>
  <c r="DE69" i="20" s="1"/>
  <c r="DF69" i="20" s="1"/>
  <c r="DG69" i="20" s="1"/>
  <c r="DH69" i="20" s="1"/>
  <c r="DI69" i="20" s="1"/>
  <c r="DJ69" i="20" s="1"/>
  <c r="DK69" i="20" s="1"/>
  <c r="DL69" i="20" s="1"/>
  <c r="DM69" i="20" s="1"/>
  <c r="DN69" i="20" s="1"/>
  <c r="DO69" i="20" s="1"/>
  <c r="DP69" i="20" s="1"/>
  <c r="A70" i="20" s="1"/>
  <c r="B70" i="20" s="1"/>
  <c r="C70" i="20" s="1"/>
  <c r="D70" i="20" s="1"/>
  <c r="E70" i="20" s="1"/>
  <c r="F70" i="20" s="1"/>
  <c r="G70" i="20" s="1"/>
  <c r="H70" i="20" s="1"/>
  <c r="I70" i="20" s="1"/>
  <c r="J70" i="20" s="1"/>
  <c r="K70" i="20" s="1"/>
  <c r="L70" i="20" s="1"/>
  <c r="M70" i="20" s="1"/>
  <c r="N70" i="20" s="1"/>
  <c r="O70" i="20" s="1"/>
  <c r="P70" i="20" s="1"/>
  <c r="Q70" i="20" s="1"/>
  <c r="R70" i="20" s="1"/>
  <c r="S70" i="20" s="1"/>
  <c r="T70" i="20" s="1"/>
  <c r="U70" i="20" s="1"/>
  <c r="V70" i="20" s="1"/>
  <c r="W70" i="20" s="1"/>
  <c r="X70" i="20" s="1"/>
  <c r="Y70" i="20" s="1"/>
  <c r="Z70" i="20" s="1"/>
  <c r="AA70" i="20" s="1"/>
  <c r="AB70" i="20" s="1"/>
  <c r="AC70" i="20" s="1"/>
  <c r="AD70" i="20" s="1"/>
  <c r="AE70" i="20" s="1"/>
  <c r="AF70" i="20" s="1"/>
  <c r="AG70" i="20" s="1"/>
  <c r="AH70" i="20" s="1"/>
  <c r="AI70" i="20" s="1"/>
  <c r="AJ70" i="20" s="1"/>
  <c r="AK70" i="20" s="1"/>
  <c r="AL70" i="20" s="1"/>
  <c r="AM70" i="20" s="1"/>
  <c r="AN70" i="20" s="1"/>
  <c r="AO70" i="20" s="1"/>
  <c r="AP70" i="20" s="1"/>
  <c r="AQ70" i="20" s="1"/>
  <c r="AR70" i="20" s="1"/>
  <c r="AS70" i="20" s="1"/>
  <c r="AT70" i="20" s="1"/>
  <c r="AU70" i="20" s="1"/>
  <c r="AV70" i="20" s="1"/>
  <c r="AW70" i="20" s="1"/>
  <c r="AX70" i="20" s="1"/>
  <c r="AY70" i="20" s="1"/>
  <c r="AZ70" i="20" s="1"/>
  <c r="BA70" i="20" s="1"/>
  <c r="BB70" i="20" s="1"/>
  <c r="BC70" i="20" s="1"/>
  <c r="BD70" i="20" s="1"/>
  <c r="BE70" i="20" s="1"/>
  <c r="BF70" i="20" s="1"/>
  <c r="BG70" i="20" s="1"/>
  <c r="BH70" i="20" s="1"/>
  <c r="BI70" i="20" s="1"/>
  <c r="BJ70" i="20" s="1"/>
  <c r="BK70" i="20" s="1"/>
  <c r="BL70" i="20" s="1"/>
  <c r="BM70" i="20" s="1"/>
  <c r="BN70" i="20" s="1"/>
  <c r="BO70" i="20" s="1"/>
  <c r="BP70" i="20" s="1"/>
  <c r="BQ70" i="20" s="1"/>
  <c r="BR70" i="20" s="1"/>
  <c r="BS70" i="20" s="1"/>
  <c r="BT70" i="20" s="1"/>
  <c r="BU70" i="20" s="1"/>
  <c r="BV70" i="20" s="1"/>
  <c r="BW70" i="20" s="1"/>
  <c r="BX70" i="20" s="1"/>
  <c r="BY70" i="20" s="1"/>
  <c r="BZ70" i="20" s="1"/>
  <c r="CA70" i="20" s="1"/>
  <c r="CB70" i="20" s="1"/>
  <c r="CC70" i="20" s="1"/>
  <c r="CD70" i="20" s="1"/>
  <c r="CE70" i="20" s="1"/>
  <c r="CF70" i="20" s="1"/>
  <c r="CG70" i="20" s="1"/>
  <c r="CH70" i="20" s="1"/>
  <c r="CI70" i="20" s="1"/>
  <c r="CJ70" i="20" s="1"/>
  <c r="CK70" i="20" s="1"/>
  <c r="CL70" i="20" s="1"/>
  <c r="CM70" i="20" s="1"/>
  <c r="CN70" i="20" s="1"/>
  <c r="CO70" i="20" s="1"/>
  <c r="CP70" i="20" s="1"/>
  <c r="CQ70" i="20" s="1"/>
  <c r="CR70" i="20" s="1"/>
  <c r="CS70" i="20" s="1"/>
  <c r="CT70" i="20" s="1"/>
  <c r="CU70" i="20" s="1"/>
  <c r="CV70" i="20" s="1"/>
  <c r="CW70" i="20" s="1"/>
  <c r="CX70" i="20" s="1"/>
  <c r="CY70" i="20" s="1"/>
  <c r="CZ70" i="20" s="1"/>
  <c r="DA70" i="20" s="1"/>
  <c r="DB70" i="20" s="1"/>
  <c r="DC70" i="20" s="1"/>
  <c r="DD70" i="20" s="1"/>
  <c r="DE70" i="20" s="1"/>
  <c r="DF70" i="20" s="1"/>
  <c r="DG70" i="20" s="1"/>
  <c r="DH70" i="20" s="1"/>
  <c r="DI70" i="20" s="1"/>
  <c r="DJ70" i="20" s="1"/>
  <c r="DK70" i="20" s="1"/>
  <c r="DL70" i="20" s="1"/>
  <c r="DM70" i="20" s="1"/>
  <c r="DN70" i="20" s="1"/>
  <c r="DO70" i="20" s="1"/>
  <c r="DP70" i="20" s="1"/>
  <c r="A71" i="20" s="1"/>
  <c r="B71" i="20" s="1"/>
  <c r="C71" i="20" s="1"/>
  <c r="D71" i="20" s="1"/>
  <c r="E71" i="20" s="1"/>
  <c r="F71" i="20" s="1"/>
  <c r="G71" i="20" s="1"/>
  <c r="H71" i="20" s="1"/>
  <c r="I71" i="20" s="1"/>
  <c r="J71" i="20" s="1"/>
  <c r="K71" i="20" s="1"/>
  <c r="L71" i="20" s="1"/>
  <c r="M71" i="20" s="1"/>
  <c r="N71" i="20" s="1"/>
  <c r="O71" i="20" s="1"/>
  <c r="P71" i="20" s="1"/>
  <c r="Q71" i="20" s="1"/>
  <c r="R71" i="20" s="1"/>
  <c r="S71" i="20" s="1"/>
  <c r="T71" i="20" s="1"/>
  <c r="U71" i="20" s="1"/>
  <c r="V71" i="20" s="1"/>
  <c r="W71" i="20" s="1"/>
  <c r="X71" i="20" s="1"/>
  <c r="Y71" i="20" s="1"/>
  <c r="Z71" i="20" s="1"/>
  <c r="AA71" i="20" s="1"/>
  <c r="AB71" i="20" s="1"/>
  <c r="AC71" i="20" s="1"/>
  <c r="AD71" i="20" s="1"/>
  <c r="AE71" i="20" s="1"/>
  <c r="AF71" i="20" s="1"/>
  <c r="AG71" i="20" s="1"/>
  <c r="AH71" i="20" s="1"/>
  <c r="AI71" i="20" s="1"/>
  <c r="AJ71" i="20" s="1"/>
  <c r="AK71" i="20" s="1"/>
  <c r="AL71" i="20" s="1"/>
  <c r="AM71" i="20" s="1"/>
  <c r="AN71" i="20" s="1"/>
  <c r="AO71" i="20" s="1"/>
  <c r="AP71" i="20" s="1"/>
  <c r="AQ71" i="20" s="1"/>
  <c r="AR71" i="20" s="1"/>
  <c r="AS71" i="20" s="1"/>
  <c r="AT71" i="20" s="1"/>
  <c r="AU71" i="20" s="1"/>
  <c r="AV71" i="20" s="1"/>
  <c r="AW71" i="20" s="1"/>
  <c r="AX71" i="20" s="1"/>
  <c r="AY71" i="20" s="1"/>
  <c r="AZ71" i="20" s="1"/>
  <c r="BA71" i="20" s="1"/>
  <c r="BB71" i="20" s="1"/>
  <c r="BC71" i="20" s="1"/>
  <c r="BD71" i="20" s="1"/>
  <c r="BE71" i="20" s="1"/>
  <c r="BF71" i="20" s="1"/>
  <c r="BG71" i="20" s="1"/>
  <c r="BH71" i="20" s="1"/>
  <c r="BI71" i="20" s="1"/>
  <c r="BJ71" i="20" s="1"/>
  <c r="BK71" i="20" s="1"/>
  <c r="BL71" i="20" s="1"/>
  <c r="BM71" i="20" s="1"/>
  <c r="BN71" i="20" s="1"/>
  <c r="BO71" i="20" s="1"/>
  <c r="BP71" i="20" s="1"/>
  <c r="BQ71" i="20" s="1"/>
  <c r="BR71" i="20" s="1"/>
  <c r="BS71" i="20" s="1"/>
  <c r="BT71" i="20" s="1"/>
  <c r="BU71" i="20" s="1"/>
  <c r="BV71" i="20" s="1"/>
  <c r="BW71" i="20" s="1"/>
  <c r="BX71" i="20" s="1"/>
  <c r="BY71" i="20" s="1"/>
  <c r="BZ71" i="20" s="1"/>
  <c r="CA71" i="20" s="1"/>
  <c r="CB71" i="20" s="1"/>
  <c r="CC71" i="20" s="1"/>
  <c r="CD71" i="20" s="1"/>
  <c r="CE71" i="20" s="1"/>
  <c r="CF71" i="20" s="1"/>
  <c r="CG71" i="20" s="1"/>
  <c r="CH71" i="20" s="1"/>
  <c r="CI71" i="20" s="1"/>
  <c r="CJ71" i="20" s="1"/>
  <c r="CK71" i="20" s="1"/>
  <c r="CL71" i="20" s="1"/>
  <c r="CM71" i="20" s="1"/>
  <c r="CN71" i="20" s="1"/>
  <c r="CO71" i="20" s="1"/>
  <c r="CP71" i="20" s="1"/>
  <c r="CQ71" i="20" s="1"/>
  <c r="CR71" i="20" s="1"/>
  <c r="CS71" i="20" s="1"/>
  <c r="CT71" i="20" s="1"/>
  <c r="CU71" i="20" s="1"/>
  <c r="CV71" i="20" s="1"/>
  <c r="CW71" i="20" s="1"/>
  <c r="CX71" i="20" s="1"/>
  <c r="CY71" i="20" s="1"/>
  <c r="CZ71" i="20" s="1"/>
  <c r="DA71" i="20" s="1"/>
  <c r="DB71" i="20" s="1"/>
  <c r="DC71" i="20" s="1"/>
  <c r="DD71" i="20" s="1"/>
  <c r="DE71" i="20" s="1"/>
  <c r="DF71" i="20" s="1"/>
  <c r="DG71" i="20" s="1"/>
  <c r="DH71" i="20" s="1"/>
  <c r="DI71" i="20" s="1"/>
  <c r="DJ71" i="20" s="1"/>
  <c r="DK71" i="20" s="1"/>
  <c r="DL71" i="20" s="1"/>
  <c r="DM71" i="20" s="1"/>
  <c r="DN71" i="20" s="1"/>
  <c r="DO71" i="20" s="1"/>
  <c r="DP71" i="20" s="1"/>
  <c r="A72" i="20" s="1"/>
  <c r="B72" i="20" s="1"/>
  <c r="C72" i="20" s="1"/>
  <c r="D72" i="20" s="1"/>
  <c r="E72" i="20" s="1"/>
  <c r="F72" i="20" s="1"/>
  <c r="G72" i="20" s="1"/>
  <c r="H72" i="20" s="1"/>
  <c r="I72" i="20" s="1"/>
  <c r="J72" i="20" s="1"/>
  <c r="K72" i="20" s="1"/>
  <c r="L72" i="20" s="1"/>
  <c r="M72" i="20" s="1"/>
  <c r="N72" i="20" s="1"/>
  <c r="O72" i="20" s="1"/>
  <c r="P72" i="20" s="1"/>
  <c r="Q72" i="20" s="1"/>
  <c r="R72" i="20" s="1"/>
  <c r="S72" i="20" s="1"/>
  <c r="T72" i="20" s="1"/>
  <c r="U72" i="20" s="1"/>
  <c r="V72" i="20" s="1"/>
  <c r="W72" i="20" s="1"/>
  <c r="X72" i="20" s="1"/>
  <c r="Y72" i="20" s="1"/>
  <c r="Z72" i="20" s="1"/>
  <c r="AA72" i="20" s="1"/>
  <c r="AB72" i="20" s="1"/>
  <c r="AC72" i="20" s="1"/>
  <c r="AD72" i="20" s="1"/>
  <c r="AE72" i="20" s="1"/>
  <c r="AF72" i="20" s="1"/>
  <c r="AG72" i="20" s="1"/>
  <c r="AH72" i="20" s="1"/>
  <c r="AI72" i="20" s="1"/>
  <c r="AJ72" i="20" s="1"/>
  <c r="AK72" i="20" s="1"/>
  <c r="AL72" i="20" s="1"/>
  <c r="AM72" i="20" s="1"/>
  <c r="AN72" i="20" s="1"/>
  <c r="AO72" i="20" s="1"/>
  <c r="AP72" i="20" s="1"/>
  <c r="AQ72" i="20" s="1"/>
  <c r="AR72" i="20" s="1"/>
  <c r="AS72" i="20" s="1"/>
  <c r="AT72" i="20" s="1"/>
  <c r="AU72" i="20" s="1"/>
  <c r="AV72" i="20" s="1"/>
  <c r="AW72" i="20" s="1"/>
  <c r="AX72" i="20" s="1"/>
  <c r="AY72" i="20" s="1"/>
  <c r="AZ72" i="20" s="1"/>
  <c r="BA72" i="20" s="1"/>
  <c r="BB72" i="20" s="1"/>
  <c r="BC72" i="20" s="1"/>
  <c r="BD72" i="20" s="1"/>
  <c r="BE72" i="20" s="1"/>
  <c r="BF72" i="20" s="1"/>
  <c r="BG72" i="20" s="1"/>
  <c r="BH72" i="20" s="1"/>
  <c r="BI72" i="20" s="1"/>
  <c r="BJ72" i="20" s="1"/>
  <c r="BK72" i="20" s="1"/>
  <c r="BL72" i="20" s="1"/>
  <c r="BM72" i="20" s="1"/>
  <c r="BN72" i="20" s="1"/>
  <c r="BO72" i="20" s="1"/>
  <c r="BP72" i="20" s="1"/>
  <c r="BQ72" i="20" s="1"/>
  <c r="BR72" i="20" s="1"/>
  <c r="BS72" i="20" s="1"/>
  <c r="BT72" i="20" s="1"/>
  <c r="BU72" i="20" s="1"/>
  <c r="BV72" i="20" s="1"/>
  <c r="BW72" i="20" s="1"/>
  <c r="BX72" i="20" s="1"/>
  <c r="BY72" i="20" s="1"/>
  <c r="BZ72" i="20" s="1"/>
  <c r="CA72" i="20" s="1"/>
  <c r="CB72" i="20" s="1"/>
  <c r="CC72" i="20" s="1"/>
  <c r="CD72" i="20" s="1"/>
  <c r="CE72" i="20" s="1"/>
  <c r="CF72" i="20" s="1"/>
  <c r="CG72" i="20" s="1"/>
  <c r="CH72" i="20" s="1"/>
  <c r="CI72" i="20" s="1"/>
  <c r="CJ72" i="20" s="1"/>
  <c r="CK72" i="20" s="1"/>
  <c r="CL72" i="20" s="1"/>
  <c r="CM72" i="20" s="1"/>
  <c r="CN72" i="20" s="1"/>
  <c r="CO72" i="20" s="1"/>
  <c r="CP72" i="20" s="1"/>
  <c r="CQ72" i="20" s="1"/>
  <c r="CR72" i="20" s="1"/>
  <c r="CS72" i="20" s="1"/>
  <c r="CT72" i="20" s="1"/>
  <c r="CU72" i="20" s="1"/>
  <c r="CV72" i="20" s="1"/>
  <c r="CW72" i="20" s="1"/>
  <c r="CX72" i="20" s="1"/>
  <c r="CY72" i="20" s="1"/>
  <c r="CZ72" i="20" s="1"/>
  <c r="DA72" i="20" s="1"/>
  <c r="DB72" i="20" s="1"/>
  <c r="DC72" i="20" s="1"/>
  <c r="DD72" i="20" s="1"/>
  <c r="DE72" i="20" s="1"/>
  <c r="DF72" i="20" s="1"/>
  <c r="DG72" i="20" s="1"/>
  <c r="DH72" i="20" s="1"/>
  <c r="DI72" i="20" s="1"/>
  <c r="DJ72" i="20" s="1"/>
  <c r="DK72" i="20" s="1"/>
  <c r="DL72" i="20" s="1"/>
  <c r="DM72" i="20" s="1"/>
  <c r="DN72" i="20" s="1"/>
  <c r="DO72" i="20" s="1"/>
  <c r="DP72" i="20" s="1"/>
  <c r="A73" i="20" s="1"/>
  <c r="B73" i="20" s="1"/>
  <c r="C73" i="20" s="1"/>
  <c r="D73" i="20" s="1"/>
  <c r="E73" i="20" s="1"/>
  <c r="F73" i="20" s="1"/>
  <c r="G73" i="20" s="1"/>
  <c r="H73" i="20" s="1"/>
  <c r="I73" i="20" s="1"/>
  <c r="J73" i="20" s="1"/>
  <c r="K73" i="20" s="1"/>
  <c r="L73" i="20" s="1"/>
  <c r="M73" i="20" s="1"/>
  <c r="N73" i="20" s="1"/>
  <c r="O73" i="20" s="1"/>
  <c r="P73" i="20" s="1"/>
  <c r="Q73" i="20" s="1"/>
  <c r="R73" i="20" s="1"/>
  <c r="S73" i="20" s="1"/>
  <c r="T73" i="20" s="1"/>
  <c r="U73" i="20" s="1"/>
  <c r="V73" i="20" s="1"/>
  <c r="W73" i="20" s="1"/>
  <c r="X73" i="20" s="1"/>
  <c r="Y73" i="20" s="1"/>
  <c r="Z73" i="20" s="1"/>
  <c r="AA73" i="20" s="1"/>
  <c r="AB73" i="20" s="1"/>
  <c r="AC73" i="20" s="1"/>
  <c r="AD73" i="20" s="1"/>
  <c r="AE73" i="20" s="1"/>
  <c r="AF73" i="20" s="1"/>
  <c r="AG73" i="20" s="1"/>
  <c r="AH73" i="20" s="1"/>
  <c r="AI73" i="20" s="1"/>
  <c r="AJ73" i="20" s="1"/>
  <c r="AK73" i="20" s="1"/>
  <c r="AL73" i="20" s="1"/>
  <c r="AM73" i="20" s="1"/>
  <c r="AN73" i="20" s="1"/>
  <c r="AO73" i="20" s="1"/>
  <c r="AP73" i="20" s="1"/>
  <c r="AQ73" i="20" s="1"/>
  <c r="AR73" i="20" s="1"/>
  <c r="AS73" i="20" s="1"/>
  <c r="AT73" i="20" s="1"/>
  <c r="AU73" i="20" s="1"/>
  <c r="AV73" i="20" s="1"/>
  <c r="AW73" i="20" s="1"/>
  <c r="AX73" i="20" s="1"/>
  <c r="AY73" i="20" s="1"/>
  <c r="AZ73" i="20" s="1"/>
  <c r="BA73" i="20" s="1"/>
  <c r="BB73" i="20" s="1"/>
  <c r="BC73" i="20" s="1"/>
  <c r="BD73" i="20" s="1"/>
  <c r="BE73" i="20" s="1"/>
  <c r="BF73" i="20" s="1"/>
  <c r="BG73" i="20" s="1"/>
  <c r="BH73" i="20" s="1"/>
  <c r="BI73" i="20" s="1"/>
  <c r="BJ73" i="20" s="1"/>
  <c r="BK73" i="20" s="1"/>
  <c r="BL73" i="20" s="1"/>
  <c r="BM73" i="20" s="1"/>
  <c r="BN73" i="20" s="1"/>
  <c r="BO73" i="20" s="1"/>
  <c r="BP73" i="20" s="1"/>
  <c r="BQ73" i="20" s="1"/>
  <c r="BR73" i="20" s="1"/>
  <c r="BS73" i="20" s="1"/>
  <c r="BT73" i="20" s="1"/>
  <c r="BU73" i="20" s="1"/>
  <c r="BV73" i="20" s="1"/>
  <c r="BW73" i="20" s="1"/>
  <c r="BX73" i="20" s="1"/>
  <c r="BY73" i="20" s="1"/>
  <c r="BZ73" i="20" s="1"/>
  <c r="CA73" i="20" s="1"/>
  <c r="CB73" i="20" s="1"/>
  <c r="CC73" i="20" s="1"/>
  <c r="CD73" i="20" s="1"/>
  <c r="CE73" i="20" s="1"/>
  <c r="CF73" i="20" s="1"/>
  <c r="CG73" i="20" s="1"/>
  <c r="CH73" i="20" s="1"/>
  <c r="CI73" i="20" s="1"/>
  <c r="CJ73" i="20" s="1"/>
  <c r="CK73" i="20" s="1"/>
  <c r="CL73" i="20" s="1"/>
  <c r="CM73" i="20" s="1"/>
  <c r="CN73" i="20" s="1"/>
  <c r="CO73" i="20" s="1"/>
  <c r="CP73" i="20" s="1"/>
  <c r="CQ73" i="20" s="1"/>
  <c r="CR73" i="20" s="1"/>
  <c r="CS73" i="20" s="1"/>
  <c r="CT73" i="20" s="1"/>
  <c r="CU73" i="20" s="1"/>
  <c r="CV73" i="20" s="1"/>
  <c r="CW73" i="20" s="1"/>
  <c r="CX73" i="20" s="1"/>
  <c r="CY73" i="20" s="1"/>
  <c r="CZ73" i="20" s="1"/>
  <c r="DA73" i="20" s="1"/>
  <c r="DB73" i="20" s="1"/>
  <c r="DC73" i="20" s="1"/>
  <c r="DD73" i="20" s="1"/>
  <c r="DE73" i="20" s="1"/>
  <c r="DF73" i="20" s="1"/>
  <c r="DG73" i="20" s="1"/>
  <c r="DH73" i="20" s="1"/>
  <c r="DI73" i="20" s="1"/>
  <c r="DJ73" i="20" s="1"/>
  <c r="DK73" i="20" s="1"/>
  <c r="DL73" i="20" s="1"/>
  <c r="DM73" i="20" s="1"/>
  <c r="DN73" i="20" s="1"/>
  <c r="DO73" i="20" s="1"/>
  <c r="DP73" i="20" s="1"/>
  <c r="A74" i="20" s="1"/>
  <c r="B74" i="20" s="1"/>
  <c r="C74" i="20" s="1"/>
  <c r="D74" i="20" s="1"/>
  <c r="E74" i="20" s="1"/>
  <c r="F74" i="20" s="1"/>
  <c r="G74" i="20" s="1"/>
  <c r="H74" i="20" s="1"/>
  <c r="I74" i="20" s="1"/>
  <c r="J74" i="20" s="1"/>
  <c r="K74" i="20" s="1"/>
  <c r="L74" i="20" s="1"/>
  <c r="M74" i="20" s="1"/>
  <c r="N74" i="20" s="1"/>
  <c r="O74" i="20" s="1"/>
  <c r="P74" i="20" s="1"/>
  <c r="Q74" i="20" s="1"/>
  <c r="R74" i="20" s="1"/>
  <c r="S74" i="20" s="1"/>
  <c r="T74" i="20" s="1"/>
  <c r="U74" i="20" s="1"/>
  <c r="V74" i="20" s="1"/>
  <c r="W74" i="20" s="1"/>
  <c r="X74" i="20" s="1"/>
  <c r="Y74" i="20" s="1"/>
  <c r="Z74" i="20" s="1"/>
  <c r="AA74" i="20" s="1"/>
  <c r="AB74" i="20" s="1"/>
  <c r="AC74" i="20" s="1"/>
  <c r="AD74" i="20" s="1"/>
  <c r="AE74" i="20" s="1"/>
  <c r="AF74" i="20" s="1"/>
  <c r="AG74" i="20" s="1"/>
  <c r="AH74" i="20" s="1"/>
  <c r="AI74" i="20" s="1"/>
  <c r="AJ74" i="20" s="1"/>
  <c r="AK74" i="20" s="1"/>
  <c r="AL74" i="20" s="1"/>
  <c r="AM74" i="20" s="1"/>
  <c r="AN74" i="20" s="1"/>
  <c r="AO74" i="20" s="1"/>
  <c r="AP74" i="20" s="1"/>
  <c r="AQ74" i="20" s="1"/>
  <c r="AR74" i="20" s="1"/>
  <c r="AS74" i="20" s="1"/>
  <c r="AT74" i="20" s="1"/>
  <c r="AU74" i="20" s="1"/>
  <c r="AV74" i="20" s="1"/>
  <c r="AW74" i="20" s="1"/>
  <c r="AX74" i="20" s="1"/>
  <c r="AY74" i="20" s="1"/>
  <c r="AZ74" i="20" s="1"/>
  <c r="BA74" i="20" s="1"/>
  <c r="BB74" i="20" s="1"/>
  <c r="BC74" i="20" s="1"/>
  <c r="BD74" i="20" s="1"/>
  <c r="BE74" i="20" s="1"/>
  <c r="BF74" i="20" s="1"/>
  <c r="BG74" i="20" s="1"/>
  <c r="BH74" i="20" s="1"/>
  <c r="BI74" i="20" s="1"/>
  <c r="BJ74" i="20" s="1"/>
  <c r="BK74" i="20" s="1"/>
  <c r="BL74" i="20" s="1"/>
  <c r="BM74" i="20" s="1"/>
  <c r="BN74" i="20" s="1"/>
  <c r="BO74" i="20" s="1"/>
  <c r="BP74" i="20" s="1"/>
  <c r="BQ74" i="20" s="1"/>
  <c r="BR74" i="20" s="1"/>
  <c r="BS74" i="20" s="1"/>
  <c r="BT74" i="20" s="1"/>
  <c r="BU74" i="20" s="1"/>
  <c r="BV74" i="20" s="1"/>
  <c r="BW74" i="20" s="1"/>
  <c r="BX74" i="20" s="1"/>
  <c r="BY74" i="20" s="1"/>
  <c r="BZ74" i="20" s="1"/>
  <c r="CA74" i="20" s="1"/>
  <c r="CB74" i="20" s="1"/>
  <c r="CC74" i="20" s="1"/>
  <c r="CD74" i="20" s="1"/>
  <c r="CE74" i="20" s="1"/>
  <c r="CF74" i="20" s="1"/>
  <c r="CG74" i="20" s="1"/>
  <c r="CH74" i="20" s="1"/>
  <c r="CI74" i="20" s="1"/>
  <c r="CJ74" i="20" s="1"/>
  <c r="CK74" i="20" s="1"/>
  <c r="CL74" i="20" s="1"/>
  <c r="CM74" i="20" s="1"/>
  <c r="CN74" i="20" s="1"/>
  <c r="CO74" i="20" s="1"/>
  <c r="CP74" i="20" s="1"/>
  <c r="CQ74" i="20" s="1"/>
  <c r="CR74" i="20" s="1"/>
  <c r="CS74" i="20" s="1"/>
  <c r="CT74" i="20" s="1"/>
  <c r="CU74" i="20" s="1"/>
  <c r="CV74" i="20" s="1"/>
  <c r="CW74" i="20" s="1"/>
  <c r="CX74" i="20" s="1"/>
  <c r="CY74" i="20" s="1"/>
  <c r="CZ74" i="20" s="1"/>
  <c r="DA74" i="20" s="1"/>
  <c r="DB74" i="20" s="1"/>
  <c r="DC74" i="20" s="1"/>
  <c r="DD74" i="20" s="1"/>
  <c r="DE74" i="20" s="1"/>
  <c r="DF74" i="20" s="1"/>
  <c r="DG74" i="20" s="1"/>
  <c r="DH74" i="20" s="1"/>
  <c r="DI74" i="20" s="1"/>
  <c r="DJ74" i="20" s="1"/>
  <c r="DK74" i="20" s="1"/>
  <c r="DL74" i="20" s="1"/>
  <c r="DM74" i="20" s="1"/>
  <c r="DN74" i="20" s="1"/>
  <c r="DO74" i="20" s="1"/>
  <c r="DP74" i="20" s="1"/>
  <c r="A75" i="20" s="1"/>
  <c r="B75" i="20" s="1"/>
  <c r="C75" i="20" s="1"/>
  <c r="D75" i="20" s="1"/>
  <c r="E75" i="20" s="1"/>
  <c r="F75" i="20" s="1"/>
  <c r="G75" i="20" s="1"/>
  <c r="H75" i="20" s="1"/>
  <c r="I75" i="20" s="1"/>
  <c r="J75" i="20" s="1"/>
  <c r="K75" i="20" s="1"/>
  <c r="L75" i="20" s="1"/>
  <c r="M75" i="20" s="1"/>
  <c r="N75" i="20" s="1"/>
  <c r="O75" i="20" s="1"/>
  <c r="P75" i="20" s="1"/>
  <c r="Q75" i="20" s="1"/>
  <c r="R75" i="20" s="1"/>
  <c r="S75" i="20" s="1"/>
  <c r="T75" i="20" s="1"/>
  <c r="U75" i="20" s="1"/>
  <c r="V75" i="20" s="1"/>
  <c r="W75" i="20" s="1"/>
  <c r="X75" i="20" s="1"/>
  <c r="Y75" i="20" s="1"/>
  <c r="Z75" i="20" s="1"/>
  <c r="AA75" i="20" s="1"/>
  <c r="AB75" i="20" s="1"/>
  <c r="AC75" i="20" s="1"/>
  <c r="AD75" i="20" s="1"/>
  <c r="AE75" i="20" s="1"/>
  <c r="AF75" i="20" s="1"/>
  <c r="AG75" i="20" s="1"/>
  <c r="AH75" i="20" s="1"/>
  <c r="AI75" i="20" s="1"/>
  <c r="AJ75" i="20" s="1"/>
  <c r="AK75" i="20" s="1"/>
  <c r="AL75" i="20" s="1"/>
  <c r="AM75" i="20" s="1"/>
  <c r="AN75" i="20" s="1"/>
  <c r="AO75" i="20" s="1"/>
  <c r="AP75" i="20" s="1"/>
  <c r="AQ75" i="20" s="1"/>
  <c r="AR75" i="20" s="1"/>
  <c r="AS75" i="20" s="1"/>
  <c r="AT75" i="20" s="1"/>
  <c r="AU75" i="20" s="1"/>
  <c r="AV75" i="20" s="1"/>
  <c r="AW75" i="20" s="1"/>
  <c r="AX75" i="20" s="1"/>
  <c r="AY75" i="20" s="1"/>
  <c r="AZ75" i="20" s="1"/>
  <c r="BA75" i="20" s="1"/>
  <c r="BB75" i="20" s="1"/>
  <c r="BC75" i="20" s="1"/>
  <c r="BD75" i="20" s="1"/>
  <c r="BE75" i="20" s="1"/>
  <c r="BF75" i="20" s="1"/>
  <c r="BG75" i="20" s="1"/>
  <c r="BH75" i="20" s="1"/>
  <c r="BI75" i="20" s="1"/>
  <c r="BJ75" i="20" s="1"/>
  <c r="BK75" i="20" s="1"/>
  <c r="BL75" i="20" s="1"/>
  <c r="BM75" i="20" s="1"/>
  <c r="BN75" i="20" s="1"/>
  <c r="BO75" i="20" s="1"/>
  <c r="BP75" i="20" s="1"/>
  <c r="BQ75" i="20" s="1"/>
  <c r="BR75" i="20" s="1"/>
  <c r="BS75" i="20" s="1"/>
  <c r="BT75" i="20" s="1"/>
  <c r="BU75" i="20" s="1"/>
  <c r="BV75" i="20" s="1"/>
  <c r="BW75" i="20" s="1"/>
  <c r="BX75" i="20" s="1"/>
  <c r="BY75" i="20" s="1"/>
  <c r="BZ75" i="20" s="1"/>
  <c r="CA75" i="20" s="1"/>
  <c r="CB75" i="20" s="1"/>
  <c r="CC75" i="20" s="1"/>
  <c r="CD75" i="20" s="1"/>
  <c r="CE75" i="20" s="1"/>
  <c r="CF75" i="20" s="1"/>
  <c r="CG75" i="20" s="1"/>
  <c r="CH75" i="20" s="1"/>
  <c r="CI75" i="20" s="1"/>
  <c r="CJ75" i="20" s="1"/>
  <c r="CK75" i="20" s="1"/>
  <c r="CL75" i="20" s="1"/>
  <c r="CM75" i="20" s="1"/>
  <c r="CN75" i="20" s="1"/>
  <c r="CO75" i="20" s="1"/>
  <c r="CP75" i="20" s="1"/>
  <c r="CQ75" i="20" s="1"/>
  <c r="CR75" i="20" s="1"/>
  <c r="CS75" i="20" s="1"/>
  <c r="CT75" i="20" s="1"/>
  <c r="CU75" i="20" s="1"/>
  <c r="CV75" i="20" s="1"/>
  <c r="CW75" i="20" s="1"/>
  <c r="CX75" i="20" s="1"/>
  <c r="CY75" i="20" s="1"/>
  <c r="CZ75" i="20" s="1"/>
  <c r="DA75" i="20" s="1"/>
  <c r="DB75" i="20" s="1"/>
  <c r="DC75" i="20" s="1"/>
  <c r="DD75" i="20" s="1"/>
  <c r="DE75" i="20" s="1"/>
  <c r="DF75" i="20" s="1"/>
  <c r="DG75" i="20" s="1"/>
  <c r="DH75" i="20" s="1"/>
  <c r="DI75" i="20" s="1"/>
  <c r="DJ75" i="20" s="1"/>
  <c r="DK75" i="20" s="1"/>
  <c r="DL75" i="20" s="1"/>
  <c r="DM75" i="20" s="1"/>
  <c r="DN75" i="20" s="1"/>
  <c r="DO75" i="20" s="1"/>
  <c r="DP75" i="20" s="1"/>
  <c r="A76" i="20" s="1"/>
  <c r="B76" i="20" s="1"/>
  <c r="C76" i="20" s="1"/>
  <c r="D76" i="20" s="1"/>
  <c r="E76" i="20" s="1"/>
  <c r="F76" i="20" s="1"/>
  <c r="G76" i="20" s="1"/>
  <c r="H76" i="20" s="1"/>
  <c r="I76" i="20" s="1"/>
  <c r="J76" i="20" s="1"/>
  <c r="K76" i="20" s="1"/>
  <c r="L76" i="20" s="1"/>
  <c r="M76" i="20" s="1"/>
  <c r="N76" i="20" s="1"/>
  <c r="O76" i="20" s="1"/>
  <c r="P76" i="20" s="1"/>
  <c r="Q76" i="20" s="1"/>
  <c r="R76" i="20" s="1"/>
  <c r="S76" i="20" s="1"/>
  <c r="T76" i="20" s="1"/>
  <c r="U76" i="20" s="1"/>
  <c r="V76" i="20" s="1"/>
  <c r="W76" i="20" s="1"/>
  <c r="X76" i="20" s="1"/>
  <c r="Y76" i="20" s="1"/>
  <c r="Z76" i="20" s="1"/>
  <c r="AA76" i="20" s="1"/>
  <c r="AB76" i="20" s="1"/>
  <c r="AC76" i="20" s="1"/>
  <c r="AD76" i="20" s="1"/>
  <c r="AE76" i="20" s="1"/>
  <c r="AF76" i="20" s="1"/>
  <c r="AG76" i="20" s="1"/>
  <c r="AH76" i="20" s="1"/>
  <c r="AI76" i="20" s="1"/>
  <c r="AJ76" i="20" s="1"/>
  <c r="AK76" i="20" s="1"/>
  <c r="AL76" i="20" s="1"/>
  <c r="AM76" i="20" s="1"/>
  <c r="AN76" i="20" s="1"/>
  <c r="AO76" i="20" s="1"/>
  <c r="AP76" i="20" s="1"/>
  <c r="AQ76" i="20" s="1"/>
  <c r="AR76" i="20" s="1"/>
  <c r="AS76" i="20" s="1"/>
  <c r="AT76" i="20" s="1"/>
  <c r="AU76" i="20" s="1"/>
  <c r="AV76" i="20" s="1"/>
  <c r="AW76" i="20" s="1"/>
  <c r="AX76" i="20" s="1"/>
  <c r="AY76" i="20" s="1"/>
  <c r="AZ76" i="20" s="1"/>
  <c r="BA76" i="20" s="1"/>
  <c r="BB76" i="20" s="1"/>
  <c r="BC76" i="20" s="1"/>
  <c r="BD76" i="20" s="1"/>
  <c r="BE76" i="20" s="1"/>
  <c r="BF76" i="20" s="1"/>
  <c r="BG76" i="20" s="1"/>
  <c r="BH76" i="20" s="1"/>
  <c r="BI76" i="20" s="1"/>
  <c r="BJ76" i="20" s="1"/>
  <c r="BK76" i="20" s="1"/>
  <c r="BL76" i="20" s="1"/>
  <c r="BM76" i="20" s="1"/>
  <c r="BN76" i="20" s="1"/>
  <c r="BO76" i="20" s="1"/>
  <c r="BP76" i="20" s="1"/>
  <c r="BQ76" i="20" s="1"/>
  <c r="BR76" i="20" s="1"/>
  <c r="BS76" i="20" s="1"/>
  <c r="BT76" i="20" s="1"/>
  <c r="BU76" i="20" s="1"/>
  <c r="BV76" i="20" s="1"/>
  <c r="BW76" i="20" s="1"/>
  <c r="BX76" i="20" s="1"/>
  <c r="BY76" i="20" s="1"/>
  <c r="BZ76" i="20" s="1"/>
  <c r="CA76" i="20" s="1"/>
  <c r="CB76" i="20" s="1"/>
  <c r="CC76" i="20" s="1"/>
  <c r="CD76" i="20" s="1"/>
  <c r="CE76" i="20" s="1"/>
  <c r="CF76" i="20" s="1"/>
  <c r="CG76" i="20" s="1"/>
  <c r="CH76" i="20" s="1"/>
  <c r="CI76" i="20" s="1"/>
  <c r="CJ76" i="20" s="1"/>
  <c r="CK76" i="20" s="1"/>
  <c r="CL76" i="20" s="1"/>
  <c r="CM76" i="20" s="1"/>
  <c r="CN76" i="20" s="1"/>
  <c r="CO76" i="20" s="1"/>
  <c r="CP76" i="20" s="1"/>
  <c r="CQ76" i="20" s="1"/>
  <c r="CR76" i="20" s="1"/>
  <c r="CS76" i="20" s="1"/>
  <c r="CT76" i="20" s="1"/>
  <c r="CU76" i="20" s="1"/>
  <c r="CV76" i="20" s="1"/>
  <c r="CW76" i="20" s="1"/>
  <c r="CX76" i="20" s="1"/>
  <c r="CY76" i="20" s="1"/>
  <c r="CZ76" i="20" s="1"/>
  <c r="DA76" i="20" s="1"/>
  <c r="DB76" i="20" s="1"/>
  <c r="DC76" i="20" s="1"/>
  <c r="DD76" i="20" s="1"/>
  <c r="DE76" i="20" s="1"/>
  <c r="DF76" i="20" s="1"/>
  <c r="DG76" i="20" s="1"/>
  <c r="DH76" i="20" s="1"/>
  <c r="DI76" i="20" s="1"/>
  <c r="DJ76" i="20" s="1"/>
  <c r="DK76" i="20" s="1"/>
  <c r="DL76" i="20" s="1"/>
  <c r="DM76" i="20" s="1"/>
  <c r="DN76" i="20" s="1"/>
  <c r="DO76" i="20" s="1"/>
  <c r="DP76" i="20" s="1"/>
  <c r="A77" i="20" s="1"/>
  <c r="B77" i="20" s="1"/>
  <c r="C77" i="20" s="1"/>
  <c r="D77" i="20" s="1"/>
  <c r="E77" i="20" s="1"/>
  <c r="F77" i="20" s="1"/>
  <c r="G77" i="20" s="1"/>
  <c r="H77" i="20" s="1"/>
  <c r="I77" i="20" s="1"/>
  <c r="J77" i="20" s="1"/>
  <c r="K77" i="20" s="1"/>
  <c r="L77" i="20" s="1"/>
  <c r="M77" i="20" s="1"/>
  <c r="N77" i="20" s="1"/>
  <c r="O77" i="20" s="1"/>
  <c r="P77" i="20" s="1"/>
  <c r="Q77" i="20" s="1"/>
  <c r="R77" i="20" s="1"/>
  <c r="S77" i="20" s="1"/>
  <c r="T77" i="20" s="1"/>
  <c r="U77" i="20" s="1"/>
  <c r="V77" i="20" s="1"/>
  <c r="W77" i="20" s="1"/>
  <c r="X77" i="20" s="1"/>
  <c r="Y77" i="20" s="1"/>
  <c r="Z77" i="20" s="1"/>
  <c r="AA77" i="20" s="1"/>
  <c r="AB77" i="20" s="1"/>
  <c r="AC77" i="20" s="1"/>
  <c r="AD77" i="20" s="1"/>
  <c r="AE77" i="20" s="1"/>
  <c r="AF77" i="20" s="1"/>
  <c r="AG77" i="20" s="1"/>
  <c r="AH77" i="20" s="1"/>
  <c r="AI77" i="20" s="1"/>
  <c r="AJ77" i="20" s="1"/>
  <c r="AK77" i="20" s="1"/>
  <c r="AL77" i="20" s="1"/>
  <c r="AM77" i="20" s="1"/>
  <c r="AN77" i="20" s="1"/>
  <c r="AO77" i="20" s="1"/>
  <c r="AP77" i="20" s="1"/>
  <c r="AQ77" i="20" s="1"/>
  <c r="AR77" i="20" s="1"/>
  <c r="AS77" i="20" s="1"/>
  <c r="AT77" i="20" s="1"/>
  <c r="AU77" i="20" s="1"/>
  <c r="AV77" i="20" s="1"/>
  <c r="AW77" i="20" s="1"/>
  <c r="AX77" i="20" s="1"/>
  <c r="AY77" i="20" s="1"/>
  <c r="AZ77" i="20" s="1"/>
  <c r="BA77" i="20" s="1"/>
  <c r="BB77" i="20" s="1"/>
  <c r="BC77" i="20" s="1"/>
  <c r="BD77" i="20" s="1"/>
  <c r="BE77" i="20" s="1"/>
  <c r="BF77" i="20" s="1"/>
  <c r="BG77" i="20" s="1"/>
  <c r="BH77" i="20" s="1"/>
  <c r="BI77" i="20" s="1"/>
  <c r="BJ77" i="20" s="1"/>
  <c r="BK77" i="20" s="1"/>
  <c r="BL77" i="20" s="1"/>
  <c r="BM77" i="20" s="1"/>
  <c r="BN77" i="20" s="1"/>
  <c r="BO77" i="20" s="1"/>
  <c r="BP77" i="20" s="1"/>
  <c r="BQ77" i="20" s="1"/>
  <c r="BR77" i="20" s="1"/>
  <c r="BS77" i="20" s="1"/>
  <c r="BT77" i="20" s="1"/>
  <c r="BU77" i="20" s="1"/>
  <c r="BV77" i="20" s="1"/>
  <c r="BW77" i="20" s="1"/>
  <c r="BX77" i="20" s="1"/>
  <c r="BY77" i="20" s="1"/>
  <c r="BZ77" i="20" s="1"/>
  <c r="CA77" i="20" s="1"/>
  <c r="CB77" i="20" s="1"/>
  <c r="CC77" i="20" s="1"/>
  <c r="CD77" i="20" s="1"/>
  <c r="CE77" i="20" s="1"/>
  <c r="CF77" i="20" s="1"/>
  <c r="CG77" i="20" s="1"/>
  <c r="CH77" i="20" s="1"/>
  <c r="CI77" i="20" s="1"/>
  <c r="CJ77" i="20" s="1"/>
  <c r="CK77" i="20" s="1"/>
  <c r="CL77" i="20" s="1"/>
  <c r="CM77" i="20" s="1"/>
  <c r="CN77" i="20" s="1"/>
  <c r="CO77" i="20" s="1"/>
  <c r="CP77" i="20" s="1"/>
  <c r="CQ77" i="20" s="1"/>
  <c r="CR77" i="20" s="1"/>
  <c r="CS77" i="20" s="1"/>
  <c r="CT77" i="20" s="1"/>
  <c r="CU77" i="20" s="1"/>
  <c r="CV77" i="20" s="1"/>
  <c r="CW77" i="20" s="1"/>
  <c r="CX77" i="20" s="1"/>
  <c r="CY77" i="20" s="1"/>
  <c r="CZ77" i="20" s="1"/>
  <c r="DA77" i="20" s="1"/>
  <c r="DB77" i="20" s="1"/>
  <c r="DC77" i="20" s="1"/>
  <c r="DD77" i="20" s="1"/>
  <c r="DE77" i="20" s="1"/>
  <c r="DF77" i="20" s="1"/>
  <c r="DG77" i="20" s="1"/>
  <c r="DH77" i="20" s="1"/>
  <c r="DI77" i="20" s="1"/>
  <c r="DJ77" i="20" s="1"/>
  <c r="DK77" i="20" s="1"/>
  <c r="DL77" i="20" s="1"/>
  <c r="DM77" i="20" s="1"/>
  <c r="DN77" i="20" s="1"/>
  <c r="DO77" i="20" s="1"/>
  <c r="DP77" i="20" s="1"/>
  <c r="A78" i="20" s="1"/>
  <c r="B78" i="20" s="1"/>
  <c r="C78" i="20" s="1"/>
  <c r="D78" i="20" s="1"/>
  <c r="E78" i="20" s="1"/>
  <c r="F78" i="20" s="1"/>
  <c r="G78" i="20" s="1"/>
  <c r="H78" i="20" s="1"/>
  <c r="I78" i="20" s="1"/>
  <c r="J78" i="20" s="1"/>
  <c r="K78" i="20" s="1"/>
  <c r="L78" i="20" s="1"/>
  <c r="M78" i="20" s="1"/>
  <c r="N78" i="20" s="1"/>
  <c r="O78" i="20" s="1"/>
  <c r="P78" i="20" s="1"/>
  <c r="Q78" i="20" s="1"/>
  <c r="R78" i="20" s="1"/>
  <c r="S78" i="20" s="1"/>
  <c r="T78" i="20" s="1"/>
  <c r="U78" i="20" s="1"/>
  <c r="V78" i="20" s="1"/>
  <c r="W78" i="20" s="1"/>
  <c r="X78" i="20" s="1"/>
  <c r="Y78" i="20" s="1"/>
  <c r="Z78" i="20" s="1"/>
  <c r="AA78" i="20" s="1"/>
  <c r="AB78" i="20" s="1"/>
  <c r="AC78" i="20" s="1"/>
  <c r="AD78" i="20" s="1"/>
  <c r="AE78" i="20" s="1"/>
  <c r="AF78" i="20" s="1"/>
  <c r="AG78" i="20" s="1"/>
  <c r="AH78" i="20" s="1"/>
  <c r="AI78" i="20" s="1"/>
  <c r="AJ78" i="20" s="1"/>
  <c r="AK78" i="20" s="1"/>
  <c r="AL78" i="20" s="1"/>
  <c r="AM78" i="20" s="1"/>
  <c r="AN78" i="20" s="1"/>
  <c r="AO78" i="20" s="1"/>
  <c r="AP78" i="20" s="1"/>
  <c r="AQ78" i="20" s="1"/>
  <c r="AR78" i="20" s="1"/>
  <c r="AS78" i="20" s="1"/>
  <c r="AT78" i="20" s="1"/>
  <c r="AU78" i="20" s="1"/>
  <c r="AV78" i="20" s="1"/>
  <c r="AW78" i="20" s="1"/>
  <c r="AX78" i="20" s="1"/>
  <c r="AY78" i="20" s="1"/>
  <c r="AZ78" i="20" s="1"/>
  <c r="BA78" i="20" s="1"/>
  <c r="BB78" i="20" s="1"/>
  <c r="BC78" i="20" s="1"/>
  <c r="BD78" i="20" s="1"/>
  <c r="BE78" i="20" s="1"/>
  <c r="BF78" i="20" s="1"/>
  <c r="BG78" i="20" s="1"/>
  <c r="BH78" i="20" s="1"/>
  <c r="BI78" i="20" s="1"/>
  <c r="BJ78" i="20" s="1"/>
  <c r="BK78" i="20" s="1"/>
  <c r="BL78" i="20" s="1"/>
  <c r="BM78" i="20" s="1"/>
  <c r="BN78" i="20" s="1"/>
  <c r="BO78" i="20" s="1"/>
  <c r="BP78" i="20" s="1"/>
  <c r="BQ78" i="20" s="1"/>
  <c r="BR78" i="20" s="1"/>
  <c r="BS78" i="20" s="1"/>
  <c r="BT78" i="20" s="1"/>
  <c r="BU78" i="20" s="1"/>
  <c r="BV78" i="20" s="1"/>
  <c r="BW78" i="20" s="1"/>
  <c r="BX78" i="20" s="1"/>
  <c r="BY78" i="20" s="1"/>
  <c r="BZ78" i="20" s="1"/>
  <c r="CA78" i="20" s="1"/>
  <c r="CB78" i="20" s="1"/>
  <c r="CC78" i="20" s="1"/>
  <c r="CD78" i="20" s="1"/>
  <c r="CE78" i="20" s="1"/>
  <c r="CF78" i="20" s="1"/>
  <c r="CG78" i="20" s="1"/>
  <c r="CH78" i="20" s="1"/>
  <c r="CI78" i="20" s="1"/>
  <c r="CJ78" i="20" s="1"/>
  <c r="CK78" i="20" s="1"/>
  <c r="CL78" i="20" s="1"/>
  <c r="CM78" i="20" s="1"/>
  <c r="CN78" i="20" s="1"/>
  <c r="CO78" i="20" s="1"/>
  <c r="CP78" i="20" s="1"/>
  <c r="CQ78" i="20" s="1"/>
  <c r="CR78" i="20" s="1"/>
  <c r="CS78" i="20" s="1"/>
  <c r="CT78" i="20" s="1"/>
  <c r="CU78" i="20" s="1"/>
  <c r="CV78" i="20" s="1"/>
  <c r="CW78" i="20" s="1"/>
  <c r="CX78" i="20" s="1"/>
  <c r="CY78" i="20" s="1"/>
  <c r="CZ78" i="20" s="1"/>
  <c r="DA78" i="20" s="1"/>
  <c r="DB78" i="20" s="1"/>
  <c r="DC78" i="20" s="1"/>
  <c r="DD78" i="20" s="1"/>
  <c r="DE78" i="20" s="1"/>
  <c r="DF78" i="20" s="1"/>
  <c r="DG78" i="20" s="1"/>
  <c r="DH78" i="20" s="1"/>
  <c r="DI78" i="20" s="1"/>
  <c r="DJ78" i="20" s="1"/>
  <c r="DK78" i="20" s="1"/>
  <c r="DL78" i="20" s="1"/>
  <c r="DM78" i="20" s="1"/>
  <c r="DN78" i="20" s="1"/>
  <c r="DO78" i="20" s="1"/>
  <c r="DP78" i="20" s="1"/>
  <c r="A79" i="20" s="1"/>
  <c r="B79" i="20" s="1"/>
  <c r="C79" i="20" s="1"/>
  <c r="D79" i="20" s="1"/>
  <c r="E79" i="20" s="1"/>
  <c r="F79" i="20" s="1"/>
  <c r="G79" i="20" s="1"/>
  <c r="H79" i="20" s="1"/>
  <c r="I79" i="20" s="1"/>
  <c r="J79" i="20" s="1"/>
  <c r="K79" i="20" s="1"/>
  <c r="L79" i="20" s="1"/>
  <c r="M79" i="20" s="1"/>
  <c r="N79" i="20" s="1"/>
  <c r="O79" i="20" s="1"/>
  <c r="P79" i="20" s="1"/>
  <c r="Q79" i="20" s="1"/>
  <c r="R79" i="20" s="1"/>
  <c r="S79" i="20" s="1"/>
  <c r="T79" i="20" s="1"/>
  <c r="U79" i="20" s="1"/>
  <c r="V79" i="20" s="1"/>
  <c r="W79" i="20" s="1"/>
  <c r="X79" i="20" s="1"/>
  <c r="Y79" i="20" s="1"/>
  <c r="Z79" i="20" s="1"/>
  <c r="AA79" i="20" s="1"/>
  <c r="AB79" i="20" s="1"/>
  <c r="AC79" i="20" s="1"/>
  <c r="AD79" i="20" s="1"/>
  <c r="AE79" i="20" s="1"/>
  <c r="AF79" i="20" s="1"/>
  <c r="AG79" i="20" s="1"/>
  <c r="AH79" i="20" s="1"/>
  <c r="AI79" i="20" s="1"/>
  <c r="AJ79" i="20" s="1"/>
  <c r="AK79" i="20" s="1"/>
  <c r="AL79" i="20" s="1"/>
  <c r="AM79" i="20" s="1"/>
  <c r="AN79" i="20" s="1"/>
  <c r="AO79" i="20" s="1"/>
  <c r="AP79" i="20" s="1"/>
  <c r="AQ79" i="20" s="1"/>
  <c r="AR79" i="20" s="1"/>
  <c r="AS79" i="20" s="1"/>
  <c r="AT79" i="20" s="1"/>
  <c r="AU79" i="20" s="1"/>
  <c r="AV79" i="20" s="1"/>
  <c r="AW79" i="20" s="1"/>
  <c r="AX79" i="20" s="1"/>
  <c r="AY79" i="20" s="1"/>
  <c r="AZ79" i="20" s="1"/>
  <c r="BA79" i="20" s="1"/>
  <c r="BB79" i="20" s="1"/>
  <c r="BC79" i="20" s="1"/>
  <c r="BD79" i="20" s="1"/>
  <c r="BE79" i="20" s="1"/>
  <c r="BF79" i="20" s="1"/>
  <c r="BG79" i="20" s="1"/>
  <c r="BH79" i="20" s="1"/>
  <c r="BI79" i="20" s="1"/>
  <c r="BJ79" i="20" s="1"/>
  <c r="BK79" i="20" s="1"/>
  <c r="BL79" i="20" s="1"/>
  <c r="BM79" i="20" s="1"/>
  <c r="BN79" i="20" s="1"/>
  <c r="BO79" i="20" s="1"/>
  <c r="BP79" i="20" s="1"/>
  <c r="BQ79" i="20" s="1"/>
  <c r="BR79" i="20" s="1"/>
  <c r="BS79" i="20" s="1"/>
  <c r="BT79" i="20" s="1"/>
  <c r="BU79" i="20" s="1"/>
  <c r="BV79" i="20" s="1"/>
  <c r="BW79" i="20" s="1"/>
  <c r="BX79" i="20" s="1"/>
  <c r="BY79" i="20" s="1"/>
  <c r="BZ79" i="20" s="1"/>
  <c r="CA79" i="20" s="1"/>
  <c r="CB79" i="20" s="1"/>
  <c r="CC79" i="20" s="1"/>
  <c r="CD79" i="20" s="1"/>
  <c r="CE79" i="20" s="1"/>
  <c r="CF79" i="20" s="1"/>
  <c r="CG79" i="20" s="1"/>
  <c r="CH79" i="20" s="1"/>
  <c r="CI79" i="20" s="1"/>
  <c r="CJ79" i="20" s="1"/>
  <c r="CK79" i="20" s="1"/>
  <c r="CL79" i="20" s="1"/>
  <c r="CM79" i="20" s="1"/>
  <c r="CN79" i="20" s="1"/>
  <c r="CO79" i="20" s="1"/>
  <c r="CP79" i="20" s="1"/>
  <c r="CQ79" i="20" s="1"/>
  <c r="CR79" i="20" s="1"/>
  <c r="CS79" i="20" s="1"/>
  <c r="CT79" i="20" s="1"/>
  <c r="CU79" i="20" s="1"/>
  <c r="CV79" i="20" s="1"/>
  <c r="CW79" i="20" s="1"/>
  <c r="CX79" i="20" s="1"/>
  <c r="CY79" i="20" s="1"/>
  <c r="CZ79" i="20" s="1"/>
  <c r="DA79" i="20" s="1"/>
  <c r="DB79" i="20" s="1"/>
  <c r="DC79" i="20" s="1"/>
  <c r="DD79" i="20" s="1"/>
  <c r="DE79" i="20" s="1"/>
  <c r="DF79" i="20" s="1"/>
  <c r="DG79" i="20" s="1"/>
  <c r="DH79" i="20" s="1"/>
  <c r="DI79" i="20" s="1"/>
  <c r="DJ79" i="20" s="1"/>
  <c r="DK79" i="20" s="1"/>
  <c r="DL79" i="20" s="1"/>
  <c r="DM79" i="20" s="1"/>
  <c r="DN79" i="20" s="1"/>
  <c r="DO79" i="20" s="1"/>
  <c r="DP79" i="20" s="1"/>
  <c r="A80" i="20" s="1"/>
  <c r="B80" i="20" s="1"/>
  <c r="C80" i="20" s="1"/>
  <c r="D80" i="20" s="1"/>
  <c r="E80" i="20" s="1"/>
  <c r="F80" i="20" s="1"/>
  <c r="G80" i="20" s="1"/>
  <c r="H80" i="20" s="1"/>
  <c r="I80" i="20" s="1"/>
  <c r="J80" i="20" s="1"/>
  <c r="K80" i="20" s="1"/>
  <c r="L80" i="20" s="1"/>
  <c r="M80" i="20" s="1"/>
  <c r="N80" i="20" s="1"/>
  <c r="O80" i="20" s="1"/>
  <c r="P80" i="20" s="1"/>
  <c r="Q80" i="20" s="1"/>
  <c r="R80" i="20" s="1"/>
  <c r="S80" i="20" s="1"/>
  <c r="T80" i="20" s="1"/>
  <c r="U80" i="20" s="1"/>
  <c r="V80" i="20" s="1"/>
  <c r="W80" i="20" s="1"/>
  <c r="X80" i="20" s="1"/>
  <c r="Y80" i="20" s="1"/>
  <c r="Z80" i="20" s="1"/>
  <c r="AA80" i="20" s="1"/>
  <c r="AB80" i="20" s="1"/>
  <c r="AC80" i="20" s="1"/>
  <c r="AD80" i="20" s="1"/>
  <c r="AE80" i="20" s="1"/>
  <c r="AF80" i="20" s="1"/>
  <c r="AG80" i="20" s="1"/>
  <c r="AH80" i="20" s="1"/>
  <c r="AI80" i="20" s="1"/>
  <c r="AJ80" i="20" s="1"/>
  <c r="AK80" i="20" s="1"/>
  <c r="AL80" i="20" s="1"/>
  <c r="AM80" i="20" s="1"/>
  <c r="AN80" i="20" s="1"/>
  <c r="AO80" i="20" s="1"/>
  <c r="AP80" i="20" s="1"/>
  <c r="AQ80" i="20" s="1"/>
  <c r="AR80" i="20" s="1"/>
  <c r="AS80" i="20" s="1"/>
  <c r="AT80" i="20" s="1"/>
  <c r="AU80" i="20" s="1"/>
  <c r="AV80" i="20" s="1"/>
  <c r="AW80" i="20" s="1"/>
  <c r="AX80" i="20" s="1"/>
  <c r="AY80" i="20" s="1"/>
  <c r="AZ80" i="20" s="1"/>
  <c r="BA80" i="20" s="1"/>
  <c r="BB80" i="20" s="1"/>
  <c r="BC80" i="20" s="1"/>
  <c r="BD80" i="20" s="1"/>
  <c r="BE80" i="20" s="1"/>
  <c r="BF80" i="20" s="1"/>
  <c r="BG80" i="20" s="1"/>
  <c r="BH80" i="20" s="1"/>
  <c r="BI80" i="20" s="1"/>
  <c r="BJ80" i="20" s="1"/>
  <c r="BK80" i="20" s="1"/>
  <c r="BL80" i="20" s="1"/>
  <c r="BM80" i="20" s="1"/>
  <c r="BN80" i="20" s="1"/>
  <c r="BO80" i="20" s="1"/>
  <c r="BP80" i="20" s="1"/>
  <c r="BQ80" i="20" s="1"/>
  <c r="BR80" i="20" s="1"/>
  <c r="BS80" i="20" s="1"/>
  <c r="BT80" i="20" s="1"/>
  <c r="BU80" i="20" s="1"/>
  <c r="BV80" i="20" s="1"/>
  <c r="BW80" i="20" s="1"/>
  <c r="BX80" i="20" s="1"/>
  <c r="BY80" i="20" s="1"/>
  <c r="BZ80" i="20" s="1"/>
  <c r="CA80" i="20" s="1"/>
  <c r="CB80" i="20" s="1"/>
  <c r="CC80" i="20" s="1"/>
  <c r="CD80" i="20" s="1"/>
  <c r="CE80" i="20" s="1"/>
  <c r="CF80" i="20" s="1"/>
  <c r="CG80" i="20" s="1"/>
  <c r="CH80" i="20" s="1"/>
  <c r="CI80" i="20" s="1"/>
  <c r="CJ80" i="20" s="1"/>
  <c r="CK80" i="20" s="1"/>
  <c r="CL80" i="20" s="1"/>
  <c r="CM80" i="20" s="1"/>
  <c r="CN80" i="20" s="1"/>
  <c r="CO80" i="20" s="1"/>
  <c r="CP80" i="20" s="1"/>
  <c r="CQ80" i="20" s="1"/>
  <c r="CR80" i="20" s="1"/>
  <c r="CS80" i="20" s="1"/>
  <c r="CT80" i="20" s="1"/>
  <c r="CU80" i="20" s="1"/>
  <c r="CV80" i="20" s="1"/>
  <c r="CW80" i="20" s="1"/>
  <c r="CX80" i="20" s="1"/>
  <c r="CY80" i="20" s="1"/>
  <c r="CZ80" i="20" s="1"/>
  <c r="DA80" i="20" s="1"/>
  <c r="DB80" i="20" s="1"/>
  <c r="DC80" i="20" s="1"/>
  <c r="DD80" i="20" s="1"/>
  <c r="DE80" i="20" s="1"/>
  <c r="DF80" i="20" s="1"/>
  <c r="DG80" i="20" s="1"/>
  <c r="DH80" i="20" s="1"/>
  <c r="DI80" i="20" s="1"/>
  <c r="DJ80" i="20" s="1"/>
  <c r="DK80" i="20" s="1"/>
  <c r="DL80" i="20" s="1"/>
  <c r="DM80" i="20" s="1"/>
  <c r="DN80" i="20" s="1"/>
  <c r="DO80" i="20" s="1"/>
  <c r="DP80" i="20" s="1"/>
  <c r="A81" i="20" s="1"/>
  <c r="B81" i="20" s="1"/>
  <c r="C81" i="20" s="1"/>
  <c r="D81" i="20" s="1"/>
  <c r="E81" i="20" s="1"/>
  <c r="F81" i="20" s="1"/>
  <c r="G81" i="20" s="1"/>
  <c r="H81" i="20" s="1"/>
  <c r="I81" i="20" s="1"/>
  <c r="J81" i="20" s="1"/>
  <c r="K81" i="20" s="1"/>
  <c r="L81" i="20" s="1"/>
  <c r="M81" i="20" s="1"/>
  <c r="N81" i="20" s="1"/>
  <c r="O81" i="20" s="1"/>
  <c r="P81" i="20" s="1"/>
  <c r="Q81" i="20" s="1"/>
  <c r="R81" i="20" s="1"/>
  <c r="S81" i="20" s="1"/>
  <c r="T81" i="20" s="1"/>
  <c r="U81" i="20" s="1"/>
  <c r="V81" i="20" s="1"/>
  <c r="W81" i="20" s="1"/>
  <c r="X81" i="20" s="1"/>
  <c r="Y81" i="20" s="1"/>
  <c r="Z81" i="20" s="1"/>
  <c r="AA81" i="20" s="1"/>
  <c r="AB81" i="20" s="1"/>
  <c r="AC81" i="20" s="1"/>
  <c r="AD81" i="20" s="1"/>
  <c r="AE81" i="20" s="1"/>
  <c r="AF81" i="20" s="1"/>
  <c r="AG81" i="20" s="1"/>
  <c r="AH81" i="20" s="1"/>
  <c r="AI81" i="20" s="1"/>
  <c r="AJ81" i="20" s="1"/>
  <c r="AK81" i="20" s="1"/>
  <c r="AL81" i="20" s="1"/>
  <c r="AM81" i="20" s="1"/>
  <c r="AN81" i="20" s="1"/>
  <c r="AO81" i="20" s="1"/>
  <c r="AP81" i="20" s="1"/>
  <c r="AQ81" i="20" s="1"/>
  <c r="AR81" i="20" s="1"/>
  <c r="AS81" i="20" s="1"/>
  <c r="AT81" i="20" s="1"/>
  <c r="AU81" i="20" s="1"/>
  <c r="AV81" i="20" s="1"/>
  <c r="AW81" i="20" s="1"/>
  <c r="AX81" i="20" s="1"/>
  <c r="AY81" i="20" s="1"/>
  <c r="AZ81" i="20" s="1"/>
  <c r="BA81" i="20" s="1"/>
  <c r="BB81" i="20" s="1"/>
  <c r="BC81" i="20" s="1"/>
  <c r="BD81" i="20" s="1"/>
  <c r="BE81" i="20" s="1"/>
  <c r="BF81" i="20" s="1"/>
  <c r="BG81" i="20" s="1"/>
  <c r="BH81" i="20" s="1"/>
  <c r="BI81" i="20" s="1"/>
  <c r="BJ81" i="20" s="1"/>
  <c r="BK81" i="20" s="1"/>
  <c r="BL81" i="20" s="1"/>
  <c r="BM81" i="20" s="1"/>
  <c r="BN81" i="20" s="1"/>
  <c r="BO81" i="20" s="1"/>
  <c r="BP81" i="20" s="1"/>
  <c r="BQ81" i="20" s="1"/>
  <c r="BR81" i="20" s="1"/>
  <c r="BS81" i="20" s="1"/>
  <c r="BT81" i="20" s="1"/>
  <c r="BU81" i="20" s="1"/>
  <c r="BV81" i="20" s="1"/>
  <c r="BW81" i="20" s="1"/>
  <c r="BX81" i="20" s="1"/>
  <c r="BY81" i="20" s="1"/>
  <c r="BZ81" i="20" s="1"/>
  <c r="CA81" i="20" s="1"/>
  <c r="CB81" i="20" s="1"/>
  <c r="CC81" i="20" s="1"/>
  <c r="CD81" i="20" s="1"/>
  <c r="CE81" i="20" s="1"/>
  <c r="CF81" i="20" s="1"/>
  <c r="CG81" i="20" s="1"/>
  <c r="CH81" i="20" s="1"/>
  <c r="CI81" i="20" s="1"/>
  <c r="CJ81" i="20" s="1"/>
  <c r="CK81" i="20" s="1"/>
  <c r="CL81" i="20" s="1"/>
  <c r="CM81" i="20" s="1"/>
  <c r="CN81" i="20" s="1"/>
  <c r="CO81" i="20" s="1"/>
  <c r="CP81" i="20" s="1"/>
  <c r="CQ81" i="20" s="1"/>
  <c r="CR81" i="20" s="1"/>
  <c r="CS81" i="20" s="1"/>
  <c r="CT81" i="20" s="1"/>
  <c r="CU81" i="20" s="1"/>
  <c r="CV81" i="20" s="1"/>
  <c r="CW81" i="20" s="1"/>
  <c r="CX81" i="20" s="1"/>
  <c r="CY81" i="20" s="1"/>
  <c r="CZ81" i="20" s="1"/>
  <c r="DA81" i="20" s="1"/>
  <c r="DB81" i="20" s="1"/>
  <c r="DC81" i="20" s="1"/>
  <c r="DD81" i="20" s="1"/>
  <c r="DE81" i="20" s="1"/>
  <c r="DF81" i="20" s="1"/>
  <c r="DG81" i="20" s="1"/>
  <c r="DH81" i="20" s="1"/>
  <c r="DI81" i="20" s="1"/>
  <c r="DJ81" i="20" s="1"/>
  <c r="DK81" i="20" s="1"/>
  <c r="DL81" i="20" s="1"/>
  <c r="DM81" i="20" s="1"/>
  <c r="DN81" i="20" s="1"/>
  <c r="DO81" i="20" s="1"/>
  <c r="DP81" i="20" s="1"/>
  <c r="A82" i="20" s="1"/>
  <c r="B82" i="20" s="1"/>
  <c r="C82" i="20" s="1"/>
  <c r="D82" i="20" s="1"/>
  <c r="E82" i="20" s="1"/>
  <c r="F82" i="20" s="1"/>
  <c r="G82" i="20" s="1"/>
  <c r="H82" i="20" s="1"/>
  <c r="I82" i="20" s="1"/>
  <c r="J82" i="20" s="1"/>
  <c r="K82" i="20" s="1"/>
  <c r="L82" i="20" s="1"/>
  <c r="M82" i="20" s="1"/>
  <c r="N82" i="20" s="1"/>
  <c r="O82" i="20" s="1"/>
  <c r="P82" i="20" s="1"/>
  <c r="Q82" i="20" s="1"/>
  <c r="R82" i="20" s="1"/>
  <c r="S82" i="20" s="1"/>
  <c r="T82" i="20" s="1"/>
  <c r="U82" i="20" s="1"/>
  <c r="V82" i="20" s="1"/>
  <c r="W82" i="20" s="1"/>
  <c r="X82" i="20" s="1"/>
  <c r="Y82" i="20" s="1"/>
  <c r="Z82" i="20" s="1"/>
  <c r="AA82" i="20" s="1"/>
  <c r="AB82" i="20" s="1"/>
  <c r="AC82" i="20" s="1"/>
  <c r="AD82" i="20" s="1"/>
  <c r="AE82" i="20" s="1"/>
  <c r="AF82" i="20" s="1"/>
  <c r="AG82" i="20" s="1"/>
  <c r="AH82" i="20" s="1"/>
  <c r="AI82" i="20" s="1"/>
  <c r="AJ82" i="20" s="1"/>
  <c r="AK82" i="20" s="1"/>
  <c r="AL82" i="20" s="1"/>
  <c r="AM82" i="20" s="1"/>
  <c r="AN82" i="20" s="1"/>
  <c r="AO82" i="20" s="1"/>
  <c r="AP82" i="20" s="1"/>
  <c r="AQ82" i="20" s="1"/>
  <c r="AR82" i="20" s="1"/>
  <c r="AS82" i="20" s="1"/>
  <c r="AT82" i="20" s="1"/>
  <c r="AU82" i="20" s="1"/>
  <c r="AV82" i="20" s="1"/>
  <c r="AW82" i="20" s="1"/>
  <c r="AX82" i="20" s="1"/>
  <c r="AY82" i="20" s="1"/>
  <c r="AZ82" i="20" s="1"/>
  <c r="BA82" i="20" s="1"/>
  <c r="BB82" i="20" s="1"/>
  <c r="BC82" i="20" s="1"/>
  <c r="BD82" i="20" s="1"/>
  <c r="BE82" i="20" s="1"/>
  <c r="BF82" i="20" s="1"/>
  <c r="BG82" i="20" s="1"/>
  <c r="BH82" i="20" s="1"/>
  <c r="BI82" i="20" s="1"/>
  <c r="BJ82" i="20" s="1"/>
  <c r="BK82" i="20" s="1"/>
  <c r="BL82" i="20" s="1"/>
  <c r="BM82" i="20" s="1"/>
  <c r="BN82" i="20" s="1"/>
  <c r="BO82" i="20" s="1"/>
  <c r="BP82" i="20" s="1"/>
  <c r="BQ82" i="20" s="1"/>
  <c r="BR82" i="20" s="1"/>
  <c r="BS82" i="20" s="1"/>
  <c r="BT82" i="20" s="1"/>
  <c r="BU82" i="20" s="1"/>
  <c r="BV82" i="20" s="1"/>
  <c r="BW82" i="20" s="1"/>
  <c r="BX82" i="20" s="1"/>
  <c r="BY82" i="20" s="1"/>
  <c r="BZ82" i="20" s="1"/>
  <c r="CA82" i="20" s="1"/>
  <c r="CB82" i="20" s="1"/>
  <c r="CC82" i="20" s="1"/>
  <c r="CD82" i="20" s="1"/>
  <c r="CE82" i="20" s="1"/>
  <c r="CF82" i="20" s="1"/>
  <c r="CG82" i="20" s="1"/>
  <c r="CH82" i="20" s="1"/>
  <c r="CI82" i="20" s="1"/>
  <c r="CJ82" i="20" s="1"/>
  <c r="CK82" i="20" s="1"/>
  <c r="CL82" i="20" s="1"/>
  <c r="CM82" i="20" s="1"/>
  <c r="CN82" i="20" s="1"/>
  <c r="CO82" i="20" s="1"/>
  <c r="CP82" i="20" s="1"/>
  <c r="CQ82" i="20" s="1"/>
  <c r="CR82" i="20" s="1"/>
  <c r="CS82" i="20" s="1"/>
  <c r="CT82" i="20" s="1"/>
  <c r="CU82" i="20" s="1"/>
  <c r="CV82" i="20" s="1"/>
  <c r="CW82" i="20" s="1"/>
  <c r="CX82" i="20" s="1"/>
  <c r="CY82" i="20" s="1"/>
  <c r="CZ82" i="20" s="1"/>
  <c r="DA82" i="20" s="1"/>
  <c r="DB82" i="20" s="1"/>
  <c r="DC82" i="20" s="1"/>
  <c r="DD82" i="20" s="1"/>
  <c r="DE82" i="20" s="1"/>
  <c r="DF82" i="20" s="1"/>
  <c r="DG82" i="20" s="1"/>
  <c r="DH82" i="20" s="1"/>
  <c r="DI82" i="20" s="1"/>
  <c r="DJ82" i="20" s="1"/>
  <c r="DK82" i="20" s="1"/>
  <c r="DL82" i="20" s="1"/>
  <c r="DM82" i="20" s="1"/>
  <c r="DN82" i="20" s="1"/>
  <c r="DO82" i="20" s="1"/>
  <c r="DP82" i="20" s="1"/>
  <c r="A83" i="20" s="1"/>
  <c r="B83" i="20" s="1"/>
  <c r="C83" i="20" s="1"/>
  <c r="D83" i="20" s="1"/>
  <c r="E83" i="20" s="1"/>
  <c r="F83" i="20" s="1"/>
  <c r="G83" i="20" s="1"/>
  <c r="H83" i="20" s="1"/>
  <c r="I83" i="20" s="1"/>
  <c r="J83" i="20" s="1"/>
  <c r="K83" i="20" s="1"/>
  <c r="L83" i="20" s="1"/>
  <c r="M83" i="20" s="1"/>
  <c r="N83" i="20" s="1"/>
  <c r="O83" i="20" s="1"/>
  <c r="P83" i="20" s="1"/>
  <c r="Q83" i="20" s="1"/>
  <c r="R83" i="20" s="1"/>
  <c r="S83" i="20" s="1"/>
  <c r="T83" i="20" s="1"/>
  <c r="U83" i="20" s="1"/>
  <c r="V83" i="20" s="1"/>
  <c r="W83" i="20" s="1"/>
  <c r="X83" i="20" s="1"/>
  <c r="Y83" i="20" s="1"/>
  <c r="Z83" i="20" s="1"/>
  <c r="AA83" i="20" s="1"/>
  <c r="AB83" i="20" s="1"/>
  <c r="AC83" i="20" s="1"/>
  <c r="AD83" i="20" s="1"/>
  <c r="AE83" i="20" s="1"/>
  <c r="AF83" i="20" s="1"/>
  <c r="AG83" i="20" s="1"/>
  <c r="AH83" i="20" s="1"/>
  <c r="AI83" i="20" s="1"/>
  <c r="AJ83" i="20" s="1"/>
  <c r="AK83" i="20" s="1"/>
  <c r="AL83" i="20" s="1"/>
  <c r="AM83" i="20" s="1"/>
  <c r="AN83" i="20" s="1"/>
  <c r="AO83" i="20" s="1"/>
  <c r="AP83" i="20" s="1"/>
  <c r="AQ83" i="20" s="1"/>
  <c r="AR83" i="20" s="1"/>
  <c r="AS83" i="20" s="1"/>
  <c r="AT83" i="20" s="1"/>
  <c r="AU83" i="20" s="1"/>
  <c r="AV83" i="20" s="1"/>
  <c r="AW83" i="20" s="1"/>
  <c r="AX83" i="20" s="1"/>
  <c r="AY83" i="20" s="1"/>
  <c r="AZ83" i="20" s="1"/>
  <c r="BA83" i="20" s="1"/>
  <c r="BB83" i="20" s="1"/>
  <c r="BC83" i="20" s="1"/>
  <c r="BD83" i="20" s="1"/>
  <c r="BE83" i="20" s="1"/>
  <c r="BF83" i="20" s="1"/>
  <c r="BG83" i="20" s="1"/>
  <c r="BH83" i="20" s="1"/>
  <c r="BI83" i="20" s="1"/>
  <c r="BJ83" i="20" s="1"/>
  <c r="BK83" i="20" s="1"/>
  <c r="BL83" i="20" s="1"/>
  <c r="BM83" i="20" s="1"/>
  <c r="BN83" i="20" s="1"/>
  <c r="BO83" i="20" s="1"/>
  <c r="BP83" i="20" s="1"/>
  <c r="BQ83" i="20" s="1"/>
  <c r="BR83" i="20" s="1"/>
  <c r="BS83" i="20" s="1"/>
  <c r="BT83" i="20" s="1"/>
  <c r="BU83" i="20" s="1"/>
  <c r="BV83" i="20" s="1"/>
  <c r="BW83" i="20" s="1"/>
  <c r="BX83" i="20" s="1"/>
  <c r="BY83" i="20" s="1"/>
  <c r="BZ83" i="20" s="1"/>
  <c r="CA83" i="20" s="1"/>
  <c r="CB83" i="20" s="1"/>
  <c r="CC83" i="20" s="1"/>
  <c r="CD83" i="20" s="1"/>
  <c r="CE83" i="20" s="1"/>
  <c r="CF83" i="20" s="1"/>
  <c r="CG83" i="20" s="1"/>
  <c r="CH83" i="20" s="1"/>
  <c r="CI83" i="20" s="1"/>
  <c r="CJ83" i="20" s="1"/>
  <c r="CK83" i="20" s="1"/>
  <c r="CL83" i="20" s="1"/>
  <c r="CM83" i="20" s="1"/>
  <c r="CN83" i="20" s="1"/>
  <c r="CO83" i="20" s="1"/>
  <c r="CP83" i="20" s="1"/>
  <c r="CQ83" i="20" s="1"/>
  <c r="CR83" i="20" s="1"/>
  <c r="CS83" i="20" s="1"/>
  <c r="CT83" i="20" s="1"/>
  <c r="CU83" i="20" s="1"/>
  <c r="CV83" i="20" s="1"/>
  <c r="CW83" i="20" s="1"/>
  <c r="CX83" i="20" s="1"/>
  <c r="CY83" i="20" s="1"/>
  <c r="CZ83" i="20" s="1"/>
  <c r="DA83" i="20" s="1"/>
  <c r="DB83" i="20" s="1"/>
  <c r="DC83" i="20" s="1"/>
  <c r="DD83" i="20" s="1"/>
  <c r="DE83" i="20" s="1"/>
  <c r="DF83" i="20" s="1"/>
  <c r="DG83" i="20" s="1"/>
  <c r="DH83" i="20" s="1"/>
  <c r="DI83" i="20" s="1"/>
  <c r="DJ83" i="20" s="1"/>
  <c r="DK83" i="20" s="1"/>
  <c r="DL83" i="20" s="1"/>
  <c r="DM83" i="20" s="1"/>
  <c r="DN83" i="20" s="1"/>
  <c r="DO83" i="20" s="1"/>
  <c r="DP83" i="20" s="1"/>
  <c r="A84" i="20" s="1"/>
  <c r="B84" i="20" s="1"/>
  <c r="C84" i="20" s="1"/>
  <c r="D84" i="20" s="1"/>
  <c r="E84" i="20" s="1"/>
  <c r="F84" i="20" s="1"/>
  <c r="G84" i="20" s="1"/>
  <c r="H84" i="20" s="1"/>
  <c r="I84" i="20" s="1"/>
  <c r="J84" i="20" s="1"/>
  <c r="K84" i="20" s="1"/>
  <c r="L84" i="20" s="1"/>
  <c r="M84" i="20" s="1"/>
  <c r="N84" i="20" s="1"/>
  <c r="O84" i="20" s="1"/>
  <c r="P84" i="20" s="1"/>
  <c r="Q84" i="20" s="1"/>
  <c r="R84" i="20" s="1"/>
  <c r="S84" i="20" s="1"/>
  <c r="T84" i="20" s="1"/>
  <c r="U84" i="20" s="1"/>
  <c r="V84" i="20" s="1"/>
  <c r="W84" i="20" s="1"/>
  <c r="X84" i="20" s="1"/>
  <c r="Y84" i="20" s="1"/>
  <c r="Z84" i="20" s="1"/>
  <c r="AA84" i="20" s="1"/>
  <c r="AB84" i="20" s="1"/>
  <c r="AC84" i="20" s="1"/>
  <c r="AD84" i="20" s="1"/>
  <c r="AE84" i="20" s="1"/>
  <c r="AF84" i="20" s="1"/>
  <c r="AG84" i="20" s="1"/>
  <c r="AH84" i="20" s="1"/>
  <c r="AI84" i="20" s="1"/>
  <c r="AJ84" i="20" s="1"/>
  <c r="AK84" i="20" s="1"/>
  <c r="AL84" i="20" s="1"/>
  <c r="AM84" i="20" s="1"/>
  <c r="AN84" i="20" s="1"/>
  <c r="AO84" i="20" s="1"/>
  <c r="AP84" i="20" s="1"/>
  <c r="AQ84" i="20" s="1"/>
  <c r="AR84" i="20" s="1"/>
  <c r="AS84" i="20" s="1"/>
  <c r="AT84" i="20" s="1"/>
  <c r="AU84" i="20" s="1"/>
  <c r="AV84" i="20" s="1"/>
  <c r="AW84" i="20" s="1"/>
  <c r="AX84" i="20" s="1"/>
  <c r="AY84" i="20" s="1"/>
  <c r="AZ84" i="20" s="1"/>
  <c r="BA84" i="20" s="1"/>
  <c r="BB84" i="20" s="1"/>
  <c r="BC84" i="20" s="1"/>
  <c r="BD84" i="20" s="1"/>
  <c r="BE84" i="20" s="1"/>
  <c r="BF84" i="20" s="1"/>
  <c r="BG84" i="20" s="1"/>
  <c r="BH84" i="20" s="1"/>
  <c r="BI84" i="20" s="1"/>
  <c r="BJ84" i="20" s="1"/>
  <c r="BK84" i="20" s="1"/>
  <c r="BL84" i="20" s="1"/>
  <c r="BM84" i="20" s="1"/>
  <c r="BN84" i="20" s="1"/>
  <c r="BO84" i="20" s="1"/>
  <c r="BP84" i="20" s="1"/>
  <c r="BQ84" i="20" s="1"/>
  <c r="BR84" i="20" s="1"/>
  <c r="BS84" i="20" s="1"/>
  <c r="BT84" i="20" s="1"/>
  <c r="BU84" i="20" s="1"/>
  <c r="BV84" i="20" s="1"/>
  <c r="BW84" i="20" s="1"/>
  <c r="BX84" i="20" s="1"/>
  <c r="BY84" i="20" s="1"/>
  <c r="BZ84" i="20" s="1"/>
  <c r="CA84" i="20" s="1"/>
  <c r="CB84" i="20" s="1"/>
  <c r="CC84" i="20" s="1"/>
  <c r="CD84" i="20" s="1"/>
  <c r="CE84" i="20" s="1"/>
  <c r="CF84" i="20" s="1"/>
  <c r="CG84" i="20" s="1"/>
  <c r="CH84" i="20" s="1"/>
  <c r="CI84" i="20" s="1"/>
  <c r="CJ84" i="20" s="1"/>
  <c r="CK84" i="20" s="1"/>
  <c r="CL84" i="20" s="1"/>
  <c r="CM84" i="20" s="1"/>
  <c r="CN84" i="20" s="1"/>
  <c r="CO84" i="20" s="1"/>
  <c r="CP84" i="20" s="1"/>
  <c r="CQ84" i="20" s="1"/>
  <c r="CR84" i="20" s="1"/>
  <c r="CS84" i="20" s="1"/>
  <c r="CT84" i="20" s="1"/>
  <c r="CU84" i="20" s="1"/>
  <c r="CV84" i="20" s="1"/>
  <c r="CW84" i="20" s="1"/>
  <c r="CX84" i="20" s="1"/>
  <c r="CY84" i="20" s="1"/>
  <c r="CZ84" i="20" s="1"/>
  <c r="DA84" i="20" s="1"/>
  <c r="DB84" i="20" s="1"/>
  <c r="DC84" i="20" s="1"/>
  <c r="DD84" i="20" s="1"/>
  <c r="DE84" i="20" s="1"/>
  <c r="DF84" i="20" s="1"/>
  <c r="DG84" i="20" s="1"/>
  <c r="DH84" i="20" s="1"/>
  <c r="DI84" i="20" s="1"/>
  <c r="DJ84" i="20" s="1"/>
  <c r="DK84" i="20" s="1"/>
  <c r="DL84" i="20" s="1"/>
  <c r="DM84" i="20" s="1"/>
  <c r="DN84" i="20" s="1"/>
  <c r="DO84" i="20" s="1"/>
  <c r="DP84" i="20" s="1"/>
  <c r="A85" i="20" s="1"/>
  <c r="B85" i="20" s="1"/>
  <c r="C85" i="20" s="1"/>
  <c r="D85" i="20" s="1"/>
  <c r="E85" i="20" s="1"/>
  <c r="F85" i="20" s="1"/>
  <c r="G85" i="20" s="1"/>
  <c r="H85" i="20" s="1"/>
  <c r="I85" i="20" s="1"/>
  <c r="J85" i="20" s="1"/>
  <c r="K85" i="20" s="1"/>
  <c r="L85" i="20" s="1"/>
  <c r="M85" i="20" s="1"/>
  <c r="N85" i="20" s="1"/>
  <c r="O85" i="20" s="1"/>
  <c r="P85" i="20" s="1"/>
  <c r="Q85" i="20" s="1"/>
  <c r="R85" i="20" s="1"/>
  <c r="S85" i="20" s="1"/>
  <c r="T85" i="20" s="1"/>
  <c r="U85" i="20" s="1"/>
  <c r="V85" i="20" s="1"/>
  <c r="W85" i="20" s="1"/>
  <c r="X85" i="20" s="1"/>
  <c r="Y85" i="20" s="1"/>
  <c r="Z85" i="20" s="1"/>
  <c r="AA85" i="20" s="1"/>
  <c r="AB85" i="20" s="1"/>
  <c r="AC85" i="20" s="1"/>
  <c r="AD85" i="20" s="1"/>
  <c r="AE85" i="20" s="1"/>
  <c r="AF85" i="20" s="1"/>
  <c r="AG85" i="20" s="1"/>
  <c r="AH85" i="20" s="1"/>
  <c r="AI85" i="20" s="1"/>
  <c r="AJ85" i="20" s="1"/>
  <c r="AK85" i="20" s="1"/>
  <c r="AL85" i="20" s="1"/>
  <c r="AM85" i="20" s="1"/>
  <c r="AN85" i="20" s="1"/>
  <c r="AO85" i="20" s="1"/>
  <c r="AP85" i="20" s="1"/>
  <c r="AQ85" i="20" s="1"/>
  <c r="AR85" i="20" s="1"/>
  <c r="AS85" i="20" s="1"/>
  <c r="AT85" i="20" s="1"/>
  <c r="AU85" i="20" s="1"/>
  <c r="AV85" i="20" s="1"/>
  <c r="AW85" i="20" s="1"/>
  <c r="AX85" i="20" s="1"/>
  <c r="AY85" i="20" s="1"/>
  <c r="AZ85" i="20" s="1"/>
  <c r="BA85" i="20" s="1"/>
  <c r="BB85" i="20" s="1"/>
  <c r="BC85" i="20" s="1"/>
  <c r="BD85" i="20" s="1"/>
  <c r="BE85" i="20" s="1"/>
  <c r="BF85" i="20" s="1"/>
  <c r="BG85" i="20" s="1"/>
  <c r="BH85" i="20" s="1"/>
  <c r="BI85" i="20" s="1"/>
  <c r="BJ85" i="20" s="1"/>
  <c r="BK85" i="20" s="1"/>
  <c r="BL85" i="20" s="1"/>
  <c r="BM85" i="20" s="1"/>
  <c r="BN85" i="20" s="1"/>
  <c r="BO85" i="20" s="1"/>
  <c r="BP85" i="20" s="1"/>
  <c r="BQ85" i="20" s="1"/>
  <c r="BR85" i="20" s="1"/>
  <c r="BS85" i="20" s="1"/>
  <c r="BT85" i="20" s="1"/>
  <c r="BU85" i="20" s="1"/>
  <c r="BV85" i="20" s="1"/>
  <c r="BW85" i="20" s="1"/>
  <c r="BX85" i="20" s="1"/>
  <c r="BY85" i="20" s="1"/>
  <c r="BZ85" i="20" s="1"/>
  <c r="CA85" i="20" s="1"/>
  <c r="CB85" i="20" s="1"/>
  <c r="CC85" i="20" s="1"/>
  <c r="CD85" i="20" s="1"/>
  <c r="CE85" i="20" s="1"/>
  <c r="CF85" i="20" s="1"/>
  <c r="CG85" i="20" s="1"/>
  <c r="CH85" i="20" s="1"/>
  <c r="CI85" i="20" s="1"/>
  <c r="CJ85" i="20" s="1"/>
  <c r="CK85" i="20" s="1"/>
  <c r="CL85" i="20" s="1"/>
  <c r="CM85" i="20" s="1"/>
  <c r="CN85" i="20" s="1"/>
  <c r="CO85" i="20" s="1"/>
  <c r="CP85" i="20" s="1"/>
  <c r="CQ85" i="20" s="1"/>
  <c r="CR85" i="20" s="1"/>
  <c r="CS85" i="20" s="1"/>
  <c r="CT85" i="20" s="1"/>
  <c r="CU85" i="20" s="1"/>
  <c r="CV85" i="20" s="1"/>
  <c r="CW85" i="20" s="1"/>
  <c r="CX85" i="20" s="1"/>
  <c r="CY85" i="20" s="1"/>
  <c r="CZ85" i="20" s="1"/>
  <c r="DA85" i="20" s="1"/>
  <c r="DB85" i="20" s="1"/>
  <c r="DC85" i="20" s="1"/>
  <c r="DD85" i="20" s="1"/>
  <c r="DE85" i="20" s="1"/>
  <c r="DF85" i="20" s="1"/>
  <c r="DG85" i="20" s="1"/>
  <c r="DH85" i="20" s="1"/>
  <c r="DI85" i="20" s="1"/>
  <c r="DJ85" i="20" s="1"/>
  <c r="DK85" i="20" s="1"/>
  <c r="DL85" i="20" s="1"/>
  <c r="DM85" i="20" s="1"/>
  <c r="DN85" i="20" s="1"/>
  <c r="DO85" i="20" s="1"/>
  <c r="DP85" i="20" s="1"/>
  <c r="A86" i="20" s="1"/>
  <c r="B86" i="20" s="1"/>
  <c r="C86" i="20" s="1"/>
  <c r="D86" i="20" s="1"/>
  <c r="E86" i="20" s="1"/>
  <c r="F86" i="20" s="1"/>
  <c r="G86" i="20" s="1"/>
  <c r="H86" i="20" s="1"/>
  <c r="I86" i="20" s="1"/>
  <c r="J86" i="20" s="1"/>
  <c r="K86" i="20" s="1"/>
  <c r="L86" i="20" s="1"/>
  <c r="M86" i="20" s="1"/>
  <c r="N86" i="20" s="1"/>
  <c r="O86" i="20" s="1"/>
  <c r="P86" i="20" s="1"/>
  <c r="Q86" i="20" s="1"/>
  <c r="R86" i="20" s="1"/>
  <c r="S86" i="20" s="1"/>
  <c r="T86" i="20" s="1"/>
  <c r="U86" i="20" s="1"/>
  <c r="V86" i="20" s="1"/>
  <c r="W86" i="20" s="1"/>
  <c r="X86" i="20" s="1"/>
  <c r="Y86" i="20" s="1"/>
  <c r="Z86" i="20" s="1"/>
  <c r="AA86" i="20" s="1"/>
  <c r="AB86" i="20" s="1"/>
  <c r="AC86" i="20" s="1"/>
  <c r="AD86" i="20" s="1"/>
  <c r="AE86" i="20" s="1"/>
  <c r="AF86" i="20" s="1"/>
  <c r="AG86" i="20" s="1"/>
  <c r="AH86" i="20" s="1"/>
  <c r="AI86" i="20" s="1"/>
  <c r="AJ86" i="20" s="1"/>
  <c r="AK86" i="20" s="1"/>
  <c r="AL86" i="20" s="1"/>
  <c r="AM86" i="20" s="1"/>
  <c r="AN86" i="20" s="1"/>
  <c r="AO86" i="20" s="1"/>
  <c r="AP86" i="20" s="1"/>
  <c r="AQ86" i="20" s="1"/>
  <c r="AR86" i="20" s="1"/>
  <c r="AS86" i="20" s="1"/>
  <c r="AT86" i="20" s="1"/>
  <c r="AU86" i="20" s="1"/>
  <c r="AV86" i="20" s="1"/>
  <c r="AW86" i="20" s="1"/>
  <c r="AX86" i="20" s="1"/>
  <c r="AY86" i="20" s="1"/>
  <c r="AZ86" i="20" s="1"/>
  <c r="BA86" i="20" s="1"/>
  <c r="BB86" i="20" s="1"/>
  <c r="BC86" i="20" s="1"/>
  <c r="BD86" i="20" s="1"/>
  <c r="BE86" i="20" s="1"/>
  <c r="BF86" i="20" s="1"/>
  <c r="BG86" i="20" s="1"/>
  <c r="BH86" i="20" s="1"/>
  <c r="BI86" i="20" s="1"/>
  <c r="BJ86" i="20" s="1"/>
  <c r="BK86" i="20" s="1"/>
  <c r="BL86" i="20" s="1"/>
  <c r="BM86" i="20" s="1"/>
  <c r="BN86" i="20" s="1"/>
  <c r="BO86" i="20" s="1"/>
  <c r="BP86" i="20" s="1"/>
  <c r="BQ86" i="20" s="1"/>
  <c r="BR86" i="20" s="1"/>
  <c r="BS86" i="20" s="1"/>
  <c r="BT86" i="20" s="1"/>
  <c r="BU86" i="20" s="1"/>
  <c r="BV86" i="20" s="1"/>
  <c r="BW86" i="20" s="1"/>
  <c r="BX86" i="20" s="1"/>
  <c r="BY86" i="20" s="1"/>
  <c r="BZ86" i="20" s="1"/>
  <c r="CA86" i="20" s="1"/>
  <c r="CB86" i="20" s="1"/>
  <c r="CC86" i="20" s="1"/>
  <c r="CD86" i="20" s="1"/>
  <c r="CE86" i="20" s="1"/>
  <c r="CF86" i="20" s="1"/>
  <c r="CG86" i="20" s="1"/>
  <c r="CH86" i="20" s="1"/>
  <c r="CI86" i="20" s="1"/>
  <c r="CJ86" i="20" s="1"/>
  <c r="CK86" i="20" s="1"/>
  <c r="CL86" i="20" s="1"/>
  <c r="CM86" i="20" s="1"/>
  <c r="CN86" i="20" s="1"/>
  <c r="CO86" i="20" s="1"/>
  <c r="CP86" i="20" s="1"/>
  <c r="CQ86" i="20" s="1"/>
  <c r="CR86" i="20" s="1"/>
  <c r="CS86" i="20" s="1"/>
  <c r="CT86" i="20" s="1"/>
  <c r="CU86" i="20" s="1"/>
  <c r="CV86" i="20" s="1"/>
  <c r="CW86" i="20" s="1"/>
  <c r="CX86" i="20" s="1"/>
  <c r="CY86" i="20" s="1"/>
  <c r="CZ86" i="20" s="1"/>
  <c r="DA86" i="20" s="1"/>
  <c r="DB86" i="20" s="1"/>
  <c r="DC86" i="20" s="1"/>
  <c r="DD86" i="20" s="1"/>
  <c r="DE86" i="20" s="1"/>
  <c r="DF86" i="20" s="1"/>
  <c r="DG86" i="20" s="1"/>
  <c r="DH86" i="20" s="1"/>
  <c r="DI86" i="20" s="1"/>
  <c r="DJ86" i="20" s="1"/>
  <c r="DK86" i="20" s="1"/>
  <c r="DL86" i="20" s="1"/>
  <c r="DM86" i="20" s="1"/>
  <c r="DN86" i="20" s="1"/>
  <c r="DO86" i="20" s="1"/>
  <c r="DP86" i="20" s="1"/>
  <c r="A87" i="20" s="1"/>
  <c r="B87" i="20" s="1"/>
  <c r="C87" i="20" s="1"/>
  <c r="D87" i="20" s="1"/>
  <c r="E87" i="20" s="1"/>
  <c r="F87" i="20" s="1"/>
  <c r="G87" i="20" s="1"/>
  <c r="H87" i="20" s="1"/>
  <c r="I87" i="20" s="1"/>
  <c r="J87" i="20" s="1"/>
  <c r="K87" i="20" s="1"/>
  <c r="L87" i="20" s="1"/>
  <c r="M87" i="20" s="1"/>
  <c r="N87" i="20" s="1"/>
  <c r="O87" i="20" s="1"/>
  <c r="P87" i="20" s="1"/>
  <c r="Q87" i="20" s="1"/>
  <c r="R87" i="20" s="1"/>
  <c r="S87" i="20" s="1"/>
  <c r="T87" i="20" s="1"/>
  <c r="U87" i="20" s="1"/>
  <c r="V87" i="20" s="1"/>
  <c r="W87" i="20" s="1"/>
  <c r="X87" i="20" s="1"/>
  <c r="Y87" i="20" s="1"/>
  <c r="Z87" i="20" s="1"/>
  <c r="AA87" i="20" s="1"/>
  <c r="AB87" i="20" s="1"/>
  <c r="AC87" i="20" s="1"/>
  <c r="AD87" i="20" s="1"/>
  <c r="AE87" i="20" s="1"/>
  <c r="AF87" i="20" s="1"/>
  <c r="AG87" i="20" s="1"/>
  <c r="AH87" i="20" s="1"/>
  <c r="AI87" i="20" s="1"/>
  <c r="AJ87" i="20" s="1"/>
  <c r="AK87" i="20" s="1"/>
  <c r="AL87" i="20" s="1"/>
  <c r="AM87" i="20" s="1"/>
  <c r="AN87" i="20" s="1"/>
  <c r="AO87" i="20" s="1"/>
  <c r="AP87" i="20" s="1"/>
  <c r="AQ87" i="20" s="1"/>
  <c r="AR87" i="20" s="1"/>
  <c r="AS87" i="20" s="1"/>
  <c r="AT87" i="20" s="1"/>
  <c r="AU87" i="20" s="1"/>
  <c r="AV87" i="20" s="1"/>
  <c r="AW87" i="20" s="1"/>
  <c r="AX87" i="20" s="1"/>
  <c r="AY87" i="20" s="1"/>
  <c r="AZ87" i="20" s="1"/>
  <c r="BA87" i="20" s="1"/>
  <c r="BB87" i="20" s="1"/>
  <c r="BC87" i="20" s="1"/>
  <c r="BD87" i="20" s="1"/>
  <c r="BE87" i="20" s="1"/>
  <c r="BF87" i="20" s="1"/>
  <c r="BG87" i="20" s="1"/>
  <c r="BH87" i="20" s="1"/>
  <c r="BI87" i="20" s="1"/>
  <c r="BJ87" i="20" s="1"/>
  <c r="BK87" i="20" s="1"/>
  <c r="BL87" i="20" s="1"/>
  <c r="BM87" i="20" s="1"/>
  <c r="BN87" i="20" s="1"/>
  <c r="BO87" i="20" s="1"/>
  <c r="BP87" i="20" s="1"/>
  <c r="BQ87" i="20" s="1"/>
  <c r="BR87" i="20" s="1"/>
  <c r="BS87" i="20" s="1"/>
  <c r="BT87" i="20" s="1"/>
  <c r="BU87" i="20" s="1"/>
  <c r="BV87" i="20" s="1"/>
  <c r="BW87" i="20" s="1"/>
  <c r="BX87" i="20" s="1"/>
  <c r="BY87" i="20" s="1"/>
  <c r="BZ87" i="20" s="1"/>
  <c r="CA87" i="20" s="1"/>
  <c r="CB87" i="20" s="1"/>
  <c r="CC87" i="20" s="1"/>
  <c r="CD87" i="20" s="1"/>
  <c r="CE87" i="20" s="1"/>
  <c r="CF87" i="20" s="1"/>
  <c r="CG87" i="20" s="1"/>
  <c r="CH87" i="20" s="1"/>
  <c r="CI87" i="20" s="1"/>
  <c r="CJ87" i="20" s="1"/>
  <c r="CK87" i="20" s="1"/>
  <c r="CL87" i="20" s="1"/>
  <c r="CM87" i="20" s="1"/>
  <c r="CN87" i="20" s="1"/>
  <c r="CO87" i="20" s="1"/>
  <c r="CP87" i="20" s="1"/>
  <c r="CQ87" i="20" s="1"/>
  <c r="CR87" i="20" s="1"/>
  <c r="CS87" i="20" s="1"/>
  <c r="CT87" i="20" s="1"/>
  <c r="CU87" i="20" s="1"/>
  <c r="CV87" i="20" s="1"/>
  <c r="CW87" i="20" s="1"/>
  <c r="CX87" i="20" s="1"/>
  <c r="CY87" i="20" s="1"/>
  <c r="CZ87" i="20" s="1"/>
  <c r="DA87" i="20" s="1"/>
  <c r="DB87" i="20" s="1"/>
  <c r="DC87" i="20" s="1"/>
  <c r="DD87" i="20" s="1"/>
  <c r="DE87" i="20" s="1"/>
  <c r="DF87" i="20" s="1"/>
  <c r="DG87" i="20" s="1"/>
  <c r="DH87" i="20" s="1"/>
  <c r="DI87" i="20" s="1"/>
  <c r="DJ87" i="20" s="1"/>
  <c r="DK87" i="20" s="1"/>
  <c r="DL87" i="20" s="1"/>
  <c r="DM87" i="20" s="1"/>
  <c r="DN87" i="20" s="1"/>
  <c r="DO87" i="20" s="1"/>
  <c r="DP87" i="20" s="1"/>
  <c r="A88" i="20" s="1"/>
  <c r="B88" i="20" s="1"/>
  <c r="C88" i="20" s="1"/>
  <c r="D88" i="20" s="1"/>
  <c r="E88" i="20" s="1"/>
  <c r="F88" i="20" s="1"/>
  <c r="G88" i="20" s="1"/>
  <c r="H88" i="20" s="1"/>
  <c r="I88" i="20" s="1"/>
  <c r="J88" i="20" s="1"/>
  <c r="K88" i="20" s="1"/>
  <c r="L88" i="20" s="1"/>
  <c r="M88" i="20" s="1"/>
  <c r="N88" i="20" s="1"/>
  <c r="O88" i="20" s="1"/>
  <c r="P88" i="20" s="1"/>
  <c r="Q88" i="20" s="1"/>
  <c r="R88" i="20" s="1"/>
  <c r="S88" i="20" s="1"/>
  <c r="T88" i="20" s="1"/>
  <c r="U88" i="20" s="1"/>
  <c r="V88" i="20" s="1"/>
  <c r="W88" i="20" s="1"/>
  <c r="X88" i="20" s="1"/>
  <c r="Y88" i="20" s="1"/>
  <c r="Z88" i="20" s="1"/>
  <c r="AA88" i="20" s="1"/>
  <c r="AB88" i="20" s="1"/>
  <c r="AC88" i="20" s="1"/>
  <c r="AD88" i="20" s="1"/>
  <c r="AE88" i="20" s="1"/>
  <c r="AF88" i="20" s="1"/>
  <c r="AG88" i="20" s="1"/>
  <c r="AH88" i="20" s="1"/>
  <c r="AI88" i="20" s="1"/>
  <c r="AJ88" i="20" s="1"/>
  <c r="AK88" i="20" s="1"/>
  <c r="AL88" i="20" s="1"/>
  <c r="AM88" i="20" s="1"/>
  <c r="AN88" i="20" s="1"/>
  <c r="AO88" i="20" s="1"/>
  <c r="AP88" i="20" s="1"/>
  <c r="AQ88" i="20" s="1"/>
  <c r="AR88" i="20" s="1"/>
  <c r="AS88" i="20" s="1"/>
  <c r="AT88" i="20" s="1"/>
  <c r="AU88" i="20" s="1"/>
  <c r="AV88" i="20" s="1"/>
  <c r="AW88" i="20" s="1"/>
  <c r="AX88" i="20" s="1"/>
  <c r="AY88" i="20" s="1"/>
  <c r="AZ88" i="20" s="1"/>
  <c r="BA88" i="20" s="1"/>
  <c r="BB88" i="20" s="1"/>
  <c r="BC88" i="20" s="1"/>
  <c r="BD88" i="20" s="1"/>
  <c r="BE88" i="20" s="1"/>
  <c r="BF88" i="20" s="1"/>
  <c r="BG88" i="20" s="1"/>
  <c r="BH88" i="20" s="1"/>
  <c r="BI88" i="20" s="1"/>
  <c r="BJ88" i="20" s="1"/>
  <c r="BK88" i="20" s="1"/>
  <c r="BL88" i="20" s="1"/>
  <c r="BM88" i="20" s="1"/>
  <c r="BN88" i="20" s="1"/>
  <c r="BO88" i="20" s="1"/>
  <c r="BP88" i="20" s="1"/>
  <c r="BQ88" i="20" s="1"/>
  <c r="BR88" i="20" s="1"/>
  <c r="BS88" i="20" s="1"/>
  <c r="BT88" i="20" s="1"/>
  <c r="BU88" i="20" s="1"/>
  <c r="BV88" i="20" s="1"/>
  <c r="BW88" i="20" s="1"/>
  <c r="BX88" i="20" s="1"/>
  <c r="BY88" i="20" s="1"/>
  <c r="BZ88" i="20" s="1"/>
  <c r="CA88" i="20" s="1"/>
  <c r="CB88" i="20" s="1"/>
  <c r="CC88" i="20" s="1"/>
  <c r="CD88" i="20" s="1"/>
  <c r="CE88" i="20" s="1"/>
  <c r="CF88" i="20" s="1"/>
  <c r="CG88" i="20" s="1"/>
  <c r="CH88" i="20" s="1"/>
  <c r="CI88" i="20" s="1"/>
  <c r="CJ88" i="20" s="1"/>
  <c r="CK88" i="20" s="1"/>
  <c r="CL88" i="20" s="1"/>
  <c r="CM88" i="20" s="1"/>
  <c r="CN88" i="20" s="1"/>
  <c r="CO88" i="20" s="1"/>
  <c r="CP88" i="20" s="1"/>
  <c r="CQ88" i="20" s="1"/>
  <c r="CR88" i="20" s="1"/>
  <c r="CS88" i="20" s="1"/>
  <c r="CT88" i="20" s="1"/>
  <c r="CU88" i="20" s="1"/>
  <c r="CV88" i="20" s="1"/>
  <c r="CW88" i="20" s="1"/>
  <c r="CX88" i="20" s="1"/>
  <c r="CY88" i="20" s="1"/>
  <c r="CZ88" i="20" s="1"/>
  <c r="DA88" i="20" s="1"/>
  <c r="DB88" i="20" s="1"/>
  <c r="DC88" i="20" s="1"/>
  <c r="DD88" i="20" s="1"/>
  <c r="DE88" i="20" s="1"/>
  <c r="DF88" i="20" s="1"/>
  <c r="DG88" i="20" s="1"/>
  <c r="DH88" i="20" s="1"/>
  <c r="DI88" i="20" s="1"/>
  <c r="DJ88" i="20" s="1"/>
  <c r="DK88" i="20" s="1"/>
  <c r="DL88" i="20" s="1"/>
  <c r="DM88" i="20" s="1"/>
  <c r="DN88" i="20" s="1"/>
  <c r="DO88" i="20" s="1"/>
  <c r="DP88" i="20" s="1"/>
  <c r="A89" i="20" s="1"/>
  <c r="B89" i="20" s="1"/>
  <c r="C89" i="20" s="1"/>
  <c r="D89" i="20" s="1"/>
  <c r="E89" i="20" s="1"/>
  <c r="F89" i="20" s="1"/>
  <c r="G89" i="20" s="1"/>
  <c r="H89" i="20" s="1"/>
  <c r="I89" i="20" s="1"/>
  <c r="J89" i="20" s="1"/>
  <c r="K89" i="20" s="1"/>
  <c r="L89" i="20" s="1"/>
  <c r="M89" i="20" s="1"/>
  <c r="N89" i="20" s="1"/>
  <c r="O89" i="20" s="1"/>
  <c r="P89" i="20" s="1"/>
  <c r="Q89" i="20" s="1"/>
  <c r="R89" i="20" s="1"/>
  <c r="S89" i="20" s="1"/>
  <c r="T89" i="20" s="1"/>
  <c r="U89" i="20" s="1"/>
  <c r="V89" i="20" s="1"/>
  <c r="W89" i="20" s="1"/>
  <c r="X89" i="20" s="1"/>
  <c r="Y89" i="20" s="1"/>
  <c r="Z89" i="20" s="1"/>
  <c r="AA89" i="20" s="1"/>
  <c r="AB89" i="20" s="1"/>
  <c r="AC89" i="20" s="1"/>
  <c r="AD89" i="20" s="1"/>
  <c r="AE89" i="20" s="1"/>
  <c r="AF89" i="20" s="1"/>
  <c r="AG89" i="20" s="1"/>
  <c r="AH89" i="20" s="1"/>
  <c r="AI89" i="20" s="1"/>
  <c r="AJ89" i="20" s="1"/>
  <c r="AK89" i="20" s="1"/>
  <c r="AL89" i="20" s="1"/>
  <c r="AM89" i="20" s="1"/>
  <c r="AN89" i="20" s="1"/>
  <c r="AO89" i="20" s="1"/>
  <c r="AP89" i="20" s="1"/>
  <c r="AQ89" i="20" s="1"/>
  <c r="AR89" i="20" s="1"/>
  <c r="AS89" i="20" s="1"/>
  <c r="AT89" i="20" s="1"/>
  <c r="AU89" i="20" s="1"/>
  <c r="AV89" i="20" s="1"/>
  <c r="AW89" i="20" s="1"/>
  <c r="AX89" i="20" s="1"/>
  <c r="AY89" i="20" s="1"/>
  <c r="AZ89" i="20" s="1"/>
  <c r="BA89" i="20" s="1"/>
  <c r="BB89" i="20" s="1"/>
  <c r="BC89" i="20" s="1"/>
  <c r="BD89" i="20" s="1"/>
  <c r="BE89" i="20" s="1"/>
  <c r="BF89" i="20" s="1"/>
  <c r="BG89" i="20" s="1"/>
  <c r="BH89" i="20" s="1"/>
  <c r="BI89" i="20" s="1"/>
  <c r="BJ89" i="20" s="1"/>
  <c r="BK89" i="20" s="1"/>
  <c r="BL89" i="20" s="1"/>
  <c r="BM89" i="20" s="1"/>
  <c r="BN89" i="20" s="1"/>
  <c r="BO89" i="20" s="1"/>
  <c r="BP89" i="20" s="1"/>
  <c r="BQ89" i="20" s="1"/>
  <c r="BR89" i="20" s="1"/>
  <c r="BS89" i="20" s="1"/>
  <c r="BT89" i="20" s="1"/>
  <c r="BU89" i="20" s="1"/>
  <c r="BV89" i="20" s="1"/>
  <c r="BW89" i="20" s="1"/>
  <c r="BX89" i="20" s="1"/>
  <c r="BY89" i="20" s="1"/>
  <c r="BZ89" i="20" s="1"/>
  <c r="CA89" i="20" s="1"/>
  <c r="CB89" i="20" s="1"/>
  <c r="CC89" i="20" s="1"/>
  <c r="CD89" i="20" s="1"/>
  <c r="CE89" i="20" s="1"/>
  <c r="CF89" i="20" s="1"/>
  <c r="CG89" i="20" s="1"/>
  <c r="CH89" i="20" s="1"/>
  <c r="CI89" i="20" s="1"/>
  <c r="CJ89" i="20" s="1"/>
  <c r="CK89" i="20" s="1"/>
  <c r="CL89" i="20" s="1"/>
  <c r="CM89" i="20" s="1"/>
  <c r="CN89" i="20" s="1"/>
  <c r="CO89" i="20" s="1"/>
  <c r="CP89" i="20" s="1"/>
  <c r="CQ89" i="20" s="1"/>
  <c r="CR89" i="20" s="1"/>
  <c r="CS89" i="20" s="1"/>
  <c r="CT89" i="20" s="1"/>
  <c r="CU89" i="20" s="1"/>
  <c r="CV89" i="20" s="1"/>
  <c r="CW89" i="20" s="1"/>
  <c r="CX89" i="20" s="1"/>
  <c r="CY89" i="20" s="1"/>
  <c r="CZ89" i="20" s="1"/>
  <c r="DA89" i="20" s="1"/>
  <c r="DB89" i="20" s="1"/>
  <c r="DC89" i="20" s="1"/>
  <c r="DD89" i="20" s="1"/>
  <c r="DE89" i="20" s="1"/>
  <c r="DF89" i="20" s="1"/>
  <c r="DG89" i="20" s="1"/>
  <c r="DH89" i="20" s="1"/>
  <c r="DI89" i="20" s="1"/>
  <c r="DJ89" i="20" s="1"/>
  <c r="DK89" i="20" s="1"/>
  <c r="DL89" i="20" s="1"/>
  <c r="DM89" i="20" s="1"/>
  <c r="DN89" i="20" s="1"/>
  <c r="DO89" i="20" s="1"/>
  <c r="DP89" i="20" s="1"/>
  <c r="A90" i="20" s="1"/>
  <c r="B90" i="20" s="1"/>
  <c r="C90" i="20" s="1"/>
  <c r="D90" i="20" s="1"/>
  <c r="E90" i="20" s="1"/>
  <c r="F90" i="20" s="1"/>
  <c r="G90" i="20" s="1"/>
  <c r="H90" i="20" s="1"/>
  <c r="I90" i="20" s="1"/>
  <c r="J90" i="20" s="1"/>
  <c r="K90" i="20" s="1"/>
  <c r="L90" i="20" s="1"/>
  <c r="M90" i="20" s="1"/>
  <c r="N90" i="20" s="1"/>
  <c r="O90" i="20" s="1"/>
  <c r="P90" i="20" s="1"/>
  <c r="Q90" i="20" s="1"/>
  <c r="R90" i="20" s="1"/>
  <c r="S90" i="20" s="1"/>
  <c r="T90" i="20" s="1"/>
  <c r="U90" i="20" s="1"/>
  <c r="V90" i="20" s="1"/>
  <c r="W90" i="20" s="1"/>
  <c r="X90" i="20" s="1"/>
  <c r="Y90" i="20" s="1"/>
  <c r="Z90" i="20" s="1"/>
  <c r="AA90" i="20" s="1"/>
  <c r="AB90" i="20" s="1"/>
  <c r="AC90" i="20" s="1"/>
  <c r="AD90" i="20" s="1"/>
  <c r="AE90" i="20" s="1"/>
  <c r="AF90" i="20" s="1"/>
  <c r="AG90" i="20" s="1"/>
  <c r="AH90" i="20" s="1"/>
  <c r="AI90" i="20" s="1"/>
  <c r="AJ90" i="20" s="1"/>
  <c r="AK90" i="20" s="1"/>
  <c r="AL90" i="20" s="1"/>
  <c r="AM90" i="20" s="1"/>
  <c r="AN90" i="20" s="1"/>
  <c r="AO90" i="20" s="1"/>
  <c r="AP90" i="20" s="1"/>
  <c r="AQ90" i="20" s="1"/>
  <c r="AR90" i="20" s="1"/>
  <c r="AS90" i="20" s="1"/>
  <c r="AT90" i="20" s="1"/>
  <c r="AU90" i="20" s="1"/>
  <c r="AV90" i="20" s="1"/>
  <c r="AW90" i="20" s="1"/>
  <c r="AX90" i="20" s="1"/>
  <c r="AY90" i="20" s="1"/>
  <c r="AZ90" i="20" s="1"/>
  <c r="BA90" i="20" s="1"/>
  <c r="BB90" i="20" s="1"/>
  <c r="BC90" i="20" s="1"/>
  <c r="BD90" i="20" s="1"/>
  <c r="BE90" i="20" s="1"/>
  <c r="BF90" i="20" s="1"/>
  <c r="BG90" i="20" s="1"/>
  <c r="BH90" i="20" s="1"/>
  <c r="BI90" i="20" s="1"/>
  <c r="BJ90" i="20" s="1"/>
  <c r="BK90" i="20" s="1"/>
  <c r="BL90" i="20" s="1"/>
  <c r="BM90" i="20" s="1"/>
  <c r="BN90" i="20" s="1"/>
  <c r="BO90" i="20" s="1"/>
  <c r="BP90" i="20" s="1"/>
  <c r="BQ90" i="20" s="1"/>
  <c r="BR90" i="20" s="1"/>
  <c r="BS90" i="20" s="1"/>
  <c r="BT90" i="20" s="1"/>
  <c r="BU90" i="20" s="1"/>
  <c r="BV90" i="20" s="1"/>
  <c r="BW90" i="20" s="1"/>
  <c r="BX90" i="20" s="1"/>
  <c r="BY90" i="20" s="1"/>
  <c r="BZ90" i="20" s="1"/>
  <c r="CA90" i="20" s="1"/>
  <c r="CB90" i="20" s="1"/>
  <c r="CC90" i="20" s="1"/>
  <c r="CD90" i="20" s="1"/>
  <c r="CE90" i="20" s="1"/>
  <c r="CF90" i="20" s="1"/>
  <c r="CG90" i="20" s="1"/>
  <c r="CH90" i="20" s="1"/>
  <c r="CI90" i="20" s="1"/>
  <c r="CJ90" i="20" s="1"/>
  <c r="CK90" i="20" s="1"/>
  <c r="CL90" i="20" s="1"/>
  <c r="CM90" i="20" s="1"/>
  <c r="CN90" i="20" s="1"/>
  <c r="CO90" i="20" s="1"/>
  <c r="CP90" i="20" s="1"/>
  <c r="CQ90" i="20" s="1"/>
  <c r="CR90" i="20" s="1"/>
  <c r="CS90" i="20" s="1"/>
  <c r="CT90" i="20" s="1"/>
  <c r="CU90" i="20" s="1"/>
  <c r="CV90" i="20" s="1"/>
  <c r="CW90" i="20" s="1"/>
  <c r="CX90" i="20" s="1"/>
  <c r="CY90" i="20" s="1"/>
  <c r="CZ90" i="20" s="1"/>
  <c r="DA90" i="20" s="1"/>
  <c r="DB90" i="20" s="1"/>
  <c r="DC90" i="20" s="1"/>
  <c r="DD90" i="20" s="1"/>
  <c r="DE90" i="20" s="1"/>
  <c r="DF90" i="20" s="1"/>
  <c r="DG90" i="20" s="1"/>
  <c r="DH90" i="20" s="1"/>
  <c r="DI90" i="20" s="1"/>
  <c r="DJ90" i="20" s="1"/>
  <c r="DK90" i="20" s="1"/>
  <c r="DL90" i="20" s="1"/>
  <c r="DM90" i="20" s="1"/>
  <c r="DN90" i="20" s="1"/>
  <c r="DO90" i="20" s="1"/>
  <c r="DP90" i="20" s="1"/>
  <c r="A91" i="20" s="1"/>
  <c r="B91" i="20" s="1"/>
  <c r="C91" i="20" s="1"/>
  <c r="D91" i="20" s="1"/>
  <c r="E91" i="20" s="1"/>
  <c r="F91" i="20" s="1"/>
  <c r="G91" i="20" s="1"/>
  <c r="H91" i="20" s="1"/>
  <c r="I91" i="20" s="1"/>
  <c r="J91" i="20" s="1"/>
  <c r="K91" i="20" s="1"/>
  <c r="L91" i="20" s="1"/>
  <c r="M91" i="20" s="1"/>
  <c r="N91" i="20" s="1"/>
  <c r="O91" i="20" s="1"/>
  <c r="P91" i="20" s="1"/>
  <c r="Q91" i="20" s="1"/>
  <c r="R91" i="20" s="1"/>
  <c r="S91" i="20" s="1"/>
  <c r="T91" i="20" s="1"/>
  <c r="U91" i="20" s="1"/>
  <c r="V91" i="20" s="1"/>
  <c r="W91" i="20" s="1"/>
  <c r="X91" i="20" s="1"/>
  <c r="Y91" i="20" s="1"/>
  <c r="Z91" i="20" s="1"/>
  <c r="AA91" i="20" s="1"/>
  <c r="AB91" i="20" s="1"/>
  <c r="AC91" i="20" s="1"/>
  <c r="AD91" i="20" s="1"/>
  <c r="AE91" i="20" s="1"/>
  <c r="AF91" i="20" s="1"/>
  <c r="AG91" i="20" s="1"/>
  <c r="AH91" i="20" s="1"/>
  <c r="AI91" i="20" s="1"/>
  <c r="AJ91" i="20" s="1"/>
  <c r="AK91" i="20" s="1"/>
  <c r="AL91" i="20" s="1"/>
  <c r="AM91" i="20" s="1"/>
  <c r="AN91" i="20" s="1"/>
  <c r="AO91" i="20" s="1"/>
  <c r="AP91" i="20" s="1"/>
  <c r="AQ91" i="20" s="1"/>
  <c r="AR91" i="20" s="1"/>
  <c r="AS91" i="20" s="1"/>
  <c r="AT91" i="20" s="1"/>
  <c r="AU91" i="20" s="1"/>
  <c r="AV91" i="20" s="1"/>
  <c r="AW91" i="20" s="1"/>
  <c r="AX91" i="20" s="1"/>
  <c r="AY91" i="20" s="1"/>
  <c r="AZ91" i="20" s="1"/>
  <c r="BA91" i="20" s="1"/>
  <c r="BB91" i="20" s="1"/>
  <c r="BC91" i="20" s="1"/>
  <c r="BD91" i="20" s="1"/>
  <c r="BE91" i="20" s="1"/>
  <c r="BF91" i="20" s="1"/>
  <c r="BG91" i="20" s="1"/>
  <c r="BH91" i="20" s="1"/>
  <c r="BI91" i="20" s="1"/>
  <c r="BJ91" i="20" s="1"/>
  <c r="BK91" i="20" s="1"/>
  <c r="BL91" i="20" s="1"/>
  <c r="BM91" i="20" s="1"/>
  <c r="BN91" i="20" s="1"/>
  <c r="BO91" i="20" s="1"/>
  <c r="BP91" i="20" s="1"/>
  <c r="BQ91" i="20" s="1"/>
  <c r="BR91" i="20" s="1"/>
  <c r="BS91" i="20" s="1"/>
  <c r="BT91" i="20" s="1"/>
  <c r="BU91" i="20" s="1"/>
  <c r="BV91" i="20" s="1"/>
  <c r="BW91" i="20" s="1"/>
  <c r="BX91" i="20" s="1"/>
  <c r="BY91" i="20" s="1"/>
  <c r="BZ91" i="20" s="1"/>
  <c r="CA91" i="20" s="1"/>
  <c r="CB91" i="20" s="1"/>
  <c r="CC91" i="20" s="1"/>
  <c r="CD91" i="20" s="1"/>
  <c r="CE91" i="20" s="1"/>
  <c r="CF91" i="20" s="1"/>
  <c r="CG91" i="20" s="1"/>
  <c r="CH91" i="20" s="1"/>
  <c r="CI91" i="20" s="1"/>
  <c r="CJ91" i="20" s="1"/>
  <c r="CK91" i="20" s="1"/>
  <c r="CL91" i="20" s="1"/>
  <c r="CM91" i="20" s="1"/>
  <c r="CN91" i="20" s="1"/>
  <c r="CO91" i="20" s="1"/>
  <c r="CP91" i="20" s="1"/>
  <c r="CQ91" i="20" s="1"/>
  <c r="CR91" i="20" s="1"/>
  <c r="CS91" i="20" s="1"/>
  <c r="CT91" i="20" s="1"/>
  <c r="CU91" i="20" s="1"/>
  <c r="CV91" i="20" s="1"/>
  <c r="CW91" i="20" s="1"/>
  <c r="CX91" i="20" s="1"/>
  <c r="CY91" i="20" s="1"/>
  <c r="CZ91" i="20" s="1"/>
  <c r="DA91" i="20" s="1"/>
  <c r="DB91" i="20" s="1"/>
  <c r="DC91" i="20" s="1"/>
  <c r="DD91" i="20" s="1"/>
  <c r="DE91" i="20" s="1"/>
  <c r="DF91" i="20" s="1"/>
  <c r="DG91" i="20" s="1"/>
  <c r="DH91" i="20" s="1"/>
  <c r="DI91" i="20" s="1"/>
  <c r="DJ91" i="20" s="1"/>
  <c r="DK91" i="20" s="1"/>
  <c r="DL91" i="20" s="1"/>
  <c r="DM91" i="20" s="1"/>
  <c r="DN91" i="20" s="1"/>
  <c r="DO91" i="20" s="1"/>
  <c r="DP91" i="20" s="1"/>
  <c r="A92" i="20" s="1"/>
  <c r="B92" i="20" s="1"/>
  <c r="C92" i="20" s="1"/>
  <c r="D92" i="20" s="1"/>
  <c r="E92" i="20" s="1"/>
  <c r="F92" i="20" s="1"/>
  <c r="G92" i="20" s="1"/>
  <c r="H92" i="20" s="1"/>
  <c r="I92" i="20" s="1"/>
  <c r="J92" i="20" s="1"/>
  <c r="K92" i="20" s="1"/>
  <c r="L92" i="20" s="1"/>
  <c r="M92" i="20" s="1"/>
  <c r="N92" i="20" s="1"/>
  <c r="O92" i="20" s="1"/>
  <c r="P92" i="20" s="1"/>
  <c r="Q92" i="20" s="1"/>
  <c r="R92" i="20" s="1"/>
  <c r="S92" i="20" s="1"/>
  <c r="T92" i="20" s="1"/>
  <c r="U92" i="20" s="1"/>
  <c r="V92" i="20" s="1"/>
  <c r="W92" i="20" s="1"/>
  <c r="X92" i="20" s="1"/>
  <c r="Y92" i="20" s="1"/>
  <c r="Z92" i="20" s="1"/>
  <c r="AA92" i="20" s="1"/>
  <c r="AB92" i="20" s="1"/>
  <c r="AC92" i="20" s="1"/>
  <c r="AD92" i="20" s="1"/>
  <c r="AE92" i="20" s="1"/>
  <c r="AF92" i="20" s="1"/>
  <c r="AG92" i="20" s="1"/>
  <c r="AH92" i="20" s="1"/>
  <c r="AI92" i="20" s="1"/>
  <c r="AJ92" i="20" s="1"/>
  <c r="AK92" i="20" s="1"/>
  <c r="AL92" i="20" s="1"/>
  <c r="AM92" i="20" s="1"/>
  <c r="AN92" i="20" s="1"/>
  <c r="AO92" i="20" s="1"/>
  <c r="AP92" i="20" s="1"/>
  <c r="AQ92" i="20" s="1"/>
  <c r="AR92" i="20" s="1"/>
  <c r="AS92" i="20" s="1"/>
  <c r="AT92" i="20" s="1"/>
  <c r="AU92" i="20" s="1"/>
  <c r="AV92" i="20" s="1"/>
  <c r="AW92" i="20" s="1"/>
  <c r="AX92" i="20" s="1"/>
  <c r="AY92" i="20" s="1"/>
  <c r="AZ92" i="20" s="1"/>
  <c r="BA92" i="20" s="1"/>
  <c r="BB92" i="20" s="1"/>
  <c r="BC92" i="20" s="1"/>
  <c r="BD92" i="20" s="1"/>
  <c r="BE92" i="20" s="1"/>
  <c r="BF92" i="20" s="1"/>
  <c r="BG92" i="20" s="1"/>
  <c r="BH92" i="20" s="1"/>
  <c r="BI92" i="20" s="1"/>
  <c r="BJ92" i="20" s="1"/>
  <c r="BK92" i="20" s="1"/>
  <c r="BL92" i="20" s="1"/>
  <c r="BM92" i="20" s="1"/>
  <c r="BN92" i="20" s="1"/>
  <c r="BO92" i="20" s="1"/>
  <c r="BP92" i="20" s="1"/>
  <c r="BQ92" i="20" s="1"/>
  <c r="BR92" i="20" s="1"/>
  <c r="BS92" i="20" s="1"/>
  <c r="BT92" i="20" s="1"/>
  <c r="BU92" i="20" s="1"/>
  <c r="BV92" i="20" s="1"/>
  <c r="BW92" i="20" s="1"/>
  <c r="BX92" i="20" s="1"/>
  <c r="BY92" i="20" s="1"/>
  <c r="BZ92" i="20" s="1"/>
  <c r="CA92" i="20" s="1"/>
  <c r="CB92" i="20" s="1"/>
  <c r="CC92" i="20" s="1"/>
  <c r="CD92" i="20" s="1"/>
  <c r="CE92" i="20" s="1"/>
  <c r="CF92" i="20" s="1"/>
  <c r="CG92" i="20" s="1"/>
  <c r="CH92" i="20" s="1"/>
  <c r="CI92" i="20" s="1"/>
  <c r="CJ92" i="20" s="1"/>
  <c r="CK92" i="20" s="1"/>
  <c r="CL92" i="20" s="1"/>
  <c r="CM92" i="20" s="1"/>
  <c r="CN92" i="20" s="1"/>
  <c r="CO92" i="20" s="1"/>
  <c r="CP92" i="20" s="1"/>
  <c r="CQ92" i="20" s="1"/>
  <c r="CR92" i="20" s="1"/>
  <c r="CS92" i="20" s="1"/>
  <c r="CT92" i="20" s="1"/>
  <c r="CU92" i="20" s="1"/>
  <c r="CV92" i="20" s="1"/>
  <c r="CW92" i="20" s="1"/>
  <c r="CX92" i="20" s="1"/>
  <c r="CY92" i="20" s="1"/>
  <c r="CZ92" i="20" s="1"/>
  <c r="DA92" i="20" s="1"/>
  <c r="DB92" i="20" s="1"/>
  <c r="DC92" i="20" s="1"/>
  <c r="DD92" i="20" s="1"/>
  <c r="DE92" i="20" s="1"/>
  <c r="DF92" i="20" s="1"/>
  <c r="DG92" i="20" s="1"/>
  <c r="DH92" i="20" s="1"/>
  <c r="DI92" i="20" s="1"/>
  <c r="DJ92" i="20" s="1"/>
  <c r="DK92" i="20" s="1"/>
  <c r="DL92" i="20" s="1"/>
  <c r="DM92" i="20" s="1"/>
  <c r="DN92" i="20" s="1"/>
  <c r="DO92" i="20" s="1"/>
  <c r="DP92" i="20" s="1"/>
  <c r="A93" i="20" s="1"/>
  <c r="B93" i="20" s="1"/>
  <c r="C93" i="20" s="1"/>
  <c r="D93" i="20" s="1"/>
  <c r="E93" i="20" s="1"/>
  <c r="F93" i="20" s="1"/>
  <c r="G93" i="20" s="1"/>
  <c r="H93" i="20" s="1"/>
  <c r="I93" i="20" s="1"/>
  <c r="J93" i="20" s="1"/>
  <c r="K93" i="20" s="1"/>
  <c r="L93" i="20" s="1"/>
  <c r="M93" i="20" s="1"/>
  <c r="N93" i="20" s="1"/>
  <c r="O93" i="20" s="1"/>
  <c r="P93" i="20" s="1"/>
  <c r="Q93" i="20" s="1"/>
  <c r="R93" i="20" s="1"/>
  <c r="S93" i="20" s="1"/>
  <c r="T93" i="20" s="1"/>
  <c r="U93" i="20" s="1"/>
  <c r="V93" i="20" s="1"/>
  <c r="W93" i="20" s="1"/>
  <c r="X93" i="20" s="1"/>
  <c r="Y93" i="20" s="1"/>
  <c r="Z93" i="20" s="1"/>
  <c r="AA93" i="20" s="1"/>
  <c r="AB93" i="20" s="1"/>
  <c r="AC93" i="20" s="1"/>
  <c r="AD93" i="20" s="1"/>
  <c r="AE93" i="20" s="1"/>
  <c r="AF93" i="20" s="1"/>
  <c r="AG93" i="20" s="1"/>
  <c r="AH93" i="20" s="1"/>
  <c r="AI93" i="20" s="1"/>
  <c r="AJ93" i="20" s="1"/>
  <c r="AK93" i="20" s="1"/>
  <c r="AL93" i="20" s="1"/>
  <c r="AM93" i="20" s="1"/>
  <c r="AN93" i="20" s="1"/>
  <c r="AO93" i="20" s="1"/>
  <c r="AP93" i="20" s="1"/>
  <c r="AQ93" i="20" s="1"/>
  <c r="AR93" i="20" s="1"/>
  <c r="AS93" i="20" s="1"/>
  <c r="AT93" i="20" s="1"/>
  <c r="AU93" i="20" s="1"/>
  <c r="AV93" i="20" s="1"/>
  <c r="AW93" i="20" s="1"/>
  <c r="AX93" i="20" s="1"/>
  <c r="AY93" i="20" s="1"/>
  <c r="AZ93" i="20" s="1"/>
  <c r="BA93" i="20" s="1"/>
  <c r="BB93" i="20" s="1"/>
  <c r="BC93" i="20" s="1"/>
  <c r="BD93" i="20" s="1"/>
  <c r="BE93" i="20" s="1"/>
  <c r="BF93" i="20" s="1"/>
  <c r="BG93" i="20" s="1"/>
  <c r="BH93" i="20" s="1"/>
  <c r="BI93" i="20" s="1"/>
  <c r="BJ93" i="20" s="1"/>
  <c r="BK93" i="20" s="1"/>
  <c r="BL93" i="20" s="1"/>
  <c r="BM93" i="20" s="1"/>
  <c r="BN93" i="20" s="1"/>
  <c r="BO93" i="20" s="1"/>
  <c r="BP93" i="20" s="1"/>
  <c r="BQ93" i="20" s="1"/>
  <c r="BR93" i="20" s="1"/>
  <c r="BS93" i="20" s="1"/>
  <c r="BT93" i="20" s="1"/>
  <c r="BU93" i="20" s="1"/>
  <c r="BV93" i="20" s="1"/>
  <c r="BW93" i="20" s="1"/>
  <c r="BX93" i="20" s="1"/>
  <c r="BY93" i="20" s="1"/>
  <c r="BZ93" i="20" s="1"/>
  <c r="CA93" i="20" s="1"/>
  <c r="CB93" i="20" s="1"/>
  <c r="CC93" i="20" s="1"/>
  <c r="CD93" i="20" s="1"/>
  <c r="CE93" i="20" s="1"/>
  <c r="CF93" i="20" s="1"/>
  <c r="CG93" i="20" s="1"/>
  <c r="CH93" i="20" s="1"/>
  <c r="CI93" i="20" s="1"/>
  <c r="CJ93" i="20" s="1"/>
  <c r="CK93" i="20" s="1"/>
  <c r="CL93" i="20" s="1"/>
  <c r="CM93" i="20" s="1"/>
  <c r="CN93" i="20" s="1"/>
  <c r="CO93" i="20" s="1"/>
  <c r="CP93" i="20" s="1"/>
  <c r="CQ93" i="20" s="1"/>
  <c r="CR93" i="20" s="1"/>
  <c r="CS93" i="20" s="1"/>
  <c r="CT93" i="20" s="1"/>
  <c r="CU93" i="20" s="1"/>
  <c r="CV93" i="20" s="1"/>
  <c r="CW93" i="20" s="1"/>
  <c r="CX93" i="20" s="1"/>
  <c r="CY93" i="20" s="1"/>
  <c r="CZ93" i="20" s="1"/>
  <c r="DA93" i="20" s="1"/>
  <c r="DB93" i="20" s="1"/>
  <c r="DC93" i="20" s="1"/>
  <c r="DD93" i="20" s="1"/>
  <c r="DE93" i="20" s="1"/>
  <c r="DF93" i="20" s="1"/>
  <c r="DG93" i="20" s="1"/>
  <c r="DH93" i="20" s="1"/>
  <c r="DI93" i="20" s="1"/>
  <c r="DJ93" i="20" s="1"/>
  <c r="DK93" i="20" s="1"/>
  <c r="DL93" i="20" s="1"/>
  <c r="DM93" i="20" s="1"/>
  <c r="DN93" i="20" s="1"/>
  <c r="DO93" i="20" s="1"/>
  <c r="DP93" i="20" s="1"/>
  <c r="B29" i="20"/>
  <c r="C29" i="20" s="1"/>
  <c r="D29" i="20" s="1"/>
  <c r="E29" i="20" s="1"/>
  <c r="F29" i="20" s="1"/>
  <c r="G29" i="20" s="1"/>
  <c r="H29" i="20" s="1"/>
  <c r="I29" i="20" s="1"/>
  <c r="J29" i="20" s="1"/>
  <c r="K29" i="20" s="1"/>
  <c r="L29" i="20" s="1"/>
  <c r="M29" i="20" s="1"/>
  <c r="N29" i="20" s="1"/>
  <c r="O29" i="20" s="1"/>
  <c r="P29" i="20" s="1"/>
  <c r="Q29" i="20" s="1"/>
  <c r="R29" i="20" s="1"/>
  <c r="S29" i="20" s="1"/>
  <c r="T29" i="20" s="1"/>
  <c r="U29" i="20" s="1"/>
  <c r="V29" i="20" s="1"/>
  <c r="W29" i="20" s="1"/>
  <c r="X29" i="20" s="1"/>
  <c r="Y29" i="20" s="1"/>
  <c r="Z29" i="20" s="1"/>
  <c r="AA29" i="20" s="1"/>
  <c r="AB29" i="20" s="1"/>
  <c r="AC29" i="20" s="1"/>
  <c r="AD29" i="20" s="1"/>
  <c r="AE29" i="20" s="1"/>
  <c r="AF29" i="20" s="1"/>
  <c r="AG29" i="20" s="1"/>
  <c r="AH29" i="20" s="1"/>
  <c r="AI29" i="20" s="1"/>
  <c r="AJ29" i="20" s="1"/>
  <c r="AK29" i="20" s="1"/>
  <c r="AL29" i="20" s="1"/>
  <c r="AM29" i="20" s="1"/>
  <c r="AN29" i="20" s="1"/>
  <c r="AO29" i="20" s="1"/>
  <c r="AP29" i="20" s="1"/>
  <c r="AQ29" i="20" s="1"/>
  <c r="AR29" i="20" s="1"/>
  <c r="AS29" i="20" s="1"/>
  <c r="AT29" i="20" s="1"/>
  <c r="AU29" i="20" s="1"/>
  <c r="AV29" i="20" s="1"/>
  <c r="AW29" i="20" s="1"/>
  <c r="AX29" i="20" s="1"/>
  <c r="AY29" i="20" s="1"/>
  <c r="AZ29" i="20" s="1"/>
  <c r="BA29" i="20" s="1"/>
  <c r="BB29" i="20" s="1"/>
  <c r="BC29" i="20" s="1"/>
  <c r="BD29" i="20" s="1"/>
  <c r="BE29" i="20" s="1"/>
  <c r="BF29" i="20" s="1"/>
  <c r="BG29" i="20" s="1"/>
  <c r="BH29" i="20" s="1"/>
  <c r="BI29" i="20" s="1"/>
  <c r="BJ29" i="20" s="1"/>
  <c r="BK29" i="20" s="1"/>
  <c r="BL29" i="20" s="1"/>
  <c r="BM29" i="20" s="1"/>
  <c r="BN29" i="20" s="1"/>
  <c r="BO29" i="20" s="1"/>
  <c r="BP29" i="20" s="1"/>
  <c r="BQ29" i="20" s="1"/>
  <c r="BR29" i="20" s="1"/>
  <c r="BS29" i="20" s="1"/>
  <c r="BT29" i="20" s="1"/>
  <c r="BU29" i="20" s="1"/>
  <c r="BV29" i="20" s="1"/>
  <c r="BW29" i="20" s="1"/>
  <c r="BX29" i="20" s="1"/>
  <c r="BY29" i="20" s="1"/>
  <c r="BZ29" i="20" s="1"/>
  <c r="CA29" i="20" s="1"/>
  <c r="CB29" i="20" s="1"/>
  <c r="CC29" i="20" s="1"/>
  <c r="CD29" i="20" s="1"/>
  <c r="CE29" i="20" s="1"/>
  <c r="CF29" i="20" s="1"/>
  <c r="CG29" i="20" s="1"/>
  <c r="CH29" i="20" s="1"/>
  <c r="CI29" i="20" s="1"/>
  <c r="CJ29" i="20" s="1"/>
  <c r="CK29" i="20" s="1"/>
  <c r="CL29" i="20" s="1"/>
  <c r="CM29" i="20" s="1"/>
  <c r="CN29" i="20" s="1"/>
  <c r="CO29" i="20" s="1"/>
  <c r="CP29" i="20" s="1"/>
  <c r="CQ29" i="20" s="1"/>
  <c r="CR29" i="20" s="1"/>
  <c r="CS29" i="20" s="1"/>
  <c r="CT29" i="20" s="1"/>
  <c r="CU29" i="20" s="1"/>
  <c r="CV29" i="20" s="1"/>
  <c r="CW29" i="20" s="1"/>
  <c r="CX29" i="20" s="1"/>
  <c r="CY29" i="20" s="1"/>
  <c r="CZ29" i="20" s="1"/>
  <c r="DA29" i="20" s="1"/>
  <c r="DB29" i="20" s="1"/>
  <c r="DC29" i="20" s="1"/>
  <c r="DD29" i="20" s="1"/>
  <c r="DE29" i="20" s="1"/>
  <c r="DF29" i="20" s="1"/>
  <c r="DG29" i="20" s="1"/>
  <c r="DH29" i="20" s="1"/>
  <c r="DI29" i="20" s="1"/>
  <c r="DJ29" i="20" s="1"/>
  <c r="DK29" i="20" s="1"/>
  <c r="DL29" i="20" s="1"/>
  <c r="DM29" i="20" s="1"/>
  <c r="DN29" i="20" s="1"/>
  <c r="DO29" i="20" s="1"/>
  <c r="DP29" i="20" s="1"/>
  <c r="S131" i="20"/>
  <c r="A131" i="20"/>
  <c r="O129" i="20"/>
  <c r="A129" i="20"/>
  <c r="O128" i="20"/>
  <c r="A128" i="20"/>
  <c r="O127" i="20"/>
  <c r="A127" i="20"/>
  <c r="O126" i="20"/>
  <c r="A126" i="20"/>
  <c r="F156" i="20"/>
  <c r="F154" i="20"/>
  <c r="F152" i="20"/>
  <c r="BC150" i="20"/>
  <c r="AK150" i="20"/>
  <c r="F150" i="20"/>
  <c r="F148" i="20"/>
  <c r="F142" i="20"/>
  <c r="F140" i="20"/>
  <c r="F138" i="20"/>
  <c r="F136" i="20"/>
  <c r="B28" i="20"/>
  <c r="C28" i="20" s="1"/>
  <c r="D28" i="20" s="1"/>
  <c r="E28" i="20" s="1"/>
  <c r="F28" i="20" s="1"/>
  <c r="G28" i="20" s="1"/>
  <c r="H28" i="20" s="1"/>
  <c r="I28" i="20" s="1"/>
  <c r="J28" i="20" s="1"/>
  <c r="K28" i="20" s="1"/>
  <c r="L28" i="20" s="1"/>
  <c r="M28" i="20" s="1"/>
  <c r="N28" i="20" s="1"/>
  <c r="O28" i="20" s="1"/>
  <c r="P28" i="20" s="1"/>
  <c r="Q28" i="20" s="1"/>
  <c r="R28" i="20" s="1"/>
  <c r="S28" i="20" s="1"/>
  <c r="T28" i="20" s="1"/>
  <c r="U28" i="20" s="1"/>
  <c r="V28" i="20" s="1"/>
  <c r="W28" i="20" s="1"/>
  <c r="X28" i="20" s="1"/>
  <c r="Y28" i="20" s="1"/>
  <c r="Z28" i="20" s="1"/>
  <c r="AA28" i="20" s="1"/>
  <c r="AB28" i="20" s="1"/>
  <c r="AC28" i="20" s="1"/>
  <c r="AD28" i="20" s="1"/>
  <c r="AE28" i="20" s="1"/>
  <c r="AF28" i="20" s="1"/>
  <c r="AG28" i="20" s="1"/>
  <c r="AH28" i="20" s="1"/>
  <c r="AI28" i="20" s="1"/>
  <c r="AJ28" i="20" s="1"/>
  <c r="AK28" i="20" s="1"/>
  <c r="AL28" i="20" s="1"/>
  <c r="AM28" i="20" s="1"/>
  <c r="AN28" i="20" s="1"/>
  <c r="AO28" i="20" s="1"/>
  <c r="AP28" i="20" s="1"/>
  <c r="AQ28" i="20" s="1"/>
  <c r="AR28" i="20" s="1"/>
  <c r="AS28" i="20" s="1"/>
  <c r="AT28" i="20" s="1"/>
  <c r="AU28" i="20" s="1"/>
  <c r="AV28" i="20" s="1"/>
  <c r="AW28" i="20" s="1"/>
  <c r="AX28" i="20" s="1"/>
  <c r="AY28" i="20" s="1"/>
  <c r="AZ28" i="20" s="1"/>
  <c r="BA28" i="20" s="1"/>
  <c r="BB28" i="20" s="1"/>
  <c r="BC28" i="20" s="1"/>
  <c r="BD28" i="20" s="1"/>
  <c r="BE28" i="20" s="1"/>
  <c r="BF28" i="20" s="1"/>
  <c r="BG28" i="20" s="1"/>
  <c r="BH28" i="20" s="1"/>
  <c r="BI28" i="20" s="1"/>
  <c r="BJ28" i="20" s="1"/>
  <c r="BK28" i="20" s="1"/>
  <c r="BL28" i="20" s="1"/>
  <c r="BM28" i="20" s="1"/>
  <c r="BN28" i="20" s="1"/>
  <c r="BO28" i="20" s="1"/>
  <c r="BP28" i="20" s="1"/>
  <c r="BQ28" i="20" s="1"/>
  <c r="BR28" i="20" s="1"/>
  <c r="BS28" i="20" s="1"/>
  <c r="BT28" i="20" s="1"/>
  <c r="BU28" i="20" s="1"/>
  <c r="BV28" i="20" s="1"/>
  <c r="BW28" i="20" s="1"/>
  <c r="BX28" i="20" s="1"/>
  <c r="BY28" i="20" s="1"/>
  <c r="BZ28" i="20" s="1"/>
  <c r="CA28" i="20" s="1"/>
  <c r="CB28" i="20" s="1"/>
  <c r="CC28" i="20" s="1"/>
  <c r="CD28" i="20" s="1"/>
  <c r="CE28" i="20" s="1"/>
  <c r="CF28" i="20" s="1"/>
  <c r="CG28" i="20" s="1"/>
  <c r="CH28" i="20" s="1"/>
  <c r="CI28" i="20" s="1"/>
  <c r="CJ28" i="20" s="1"/>
  <c r="CK28" i="20" s="1"/>
  <c r="CL28" i="20" s="1"/>
  <c r="CM28" i="20" s="1"/>
  <c r="CN28" i="20" s="1"/>
  <c r="CO28" i="20" s="1"/>
  <c r="CP28" i="20" s="1"/>
  <c r="CQ28" i="20" s="1"/>
  <c r="CR28" i="20" s="1"/>
  <c r="CS28" i="20" s="1"/>
  <c r="CT28" i="20" s="1"/>
  <c r="CU28" i="20" s="1"/>
  <c r="CV28" i="20" s="1"/>
  <c r="CW28" i="20" s="1"/>
  <c r="CX28" i="20" s="1"/>
  <c r="CY28" i="20" s="1"/>
  <c r="CZ28" i="20" s="1"/>
  <c r="DA28" i="20" s="1"/>
  <c r="DB28" i="20" s="1"/>
  <c r="DC28" i="20" s="1"/>
  <c r="DD28" i="20" s="1"/>
  <c r="DE28" i="20" s="1"/>
  <c r="DF28" i="20" s="1"/>
  <c r="DG28" i="20" s="1"/>
  <c r="DH28" i="20" s="1"/>
  <c r="DI28" i="20" s="1"/>
  <c r="DJ28" i="20" s="1"/>
  <c r="DK28" i="20" s="1"/>
  <c r="DL28" i="20" s="1"/>
  <c r="DM28" i="20" s="1"/>
  <c r="DN28" i="20" s="1"/>
  <c r="DO28" i="20" s="1"/>
  <c r="DP28" i="20" s="1"/>
  <c r="B27" i="20"/>
  <c r="C27" i="20" s="1"/>
  <c r="D27" i="20" s="1"/>
  <c r="E27" i="20" s="1"/>
  <c r="F27" i="20" s="1"/>
  <c r="G27" i="20" s="1"/>
  <c r="H27" i="20" s="1"/>
  <c r="I27" i="20" s="1"/>
  <c r="J27" i="20" s="1"/>
  <c r="K27" i="20" s="1"/>
  <c r="L27" i="20" s="1"/>
  <c r="M27" i="20" s="1"/>
  <c r="N27" i="20" s="1"/>
  <c r="O27" i="20" s="1"/>
  <c r="P27" i="20" s="1"/>
  <c r="Q27" i="20" s="1"/>
  <c r="R27" i="20" s="1"/>
  <c r="S27" i="20" s="1"/>
  <c r="T27" i="20" s="1"/>
  <c r="U27" i="20" s="1"/>
  <c r="V27" i="20" s="1"/>
  <c r="W27" i="20" s="1"/>
  <c r="X27" i="20" s="1"/>
  <c r="Y27" i="20" s="1"/>
  <c r="Z27" i="20" s="1"/>
  <c r="AA27" i="20" s="1"/>
  <c r="AB27" i="20" s="1"/>
  <c r="AC27" i="20" s="1"/>
  <c r="AD27" i="20" s="1"/>
  <c r="AE27" i="20" s="1"/>
  <c r="AF27" i="20" s="1"/>
  <c r="AG27" i="20" s="1"/>
  <c r="AH27" i="20" s="1"/>
  <c r="AI27" i="20" s="1"/>
  <c r="AJ27" i="20" s="1"/>
  <c r="AK27" i="20" s="1"/>
  <c r="AL27" i="20" s="1"/>
  <c r="AM27" i="20" s="1"/>
  <c r="AN27" i="20" s="1"/>
  <c r="AO27" i="20" s="1"/>
  <c r="AP27" i="20" s="1"/>
  <c r="AQ27" i="20" s="1"/>
  <c r="AR27" i="20" s="1"/>
  <c r="AS27" i="20" s="1"/>
  <c r="AT27" i="20" s="1"/>
  <c r="AU27" i="20" s="1"/>
  <c r="AV27" i="20" s="1"/>
  <c r="AW27" i="20" s="1"/>
  <c r="AX27" i="20" s="1"/>
  <c r="AY27" i="20" s="1"/>
  <c r="AZ27" i="20" s="1"/>
  <c r="BA27" i="20" s="1"/>
  <c r="BB27" i="20" s="1"/>
  <c r="BC27" i="20" s="1"/>
  <c r="BD27" i="20" s="1"/>
  <c r="BE27" i="20" s="1"/>
  <c r="BF27" i="20" s="1"/>
  <c r="BG27" i="20" s="1"/>
  <c r="BH27" i="20" s="1"/>
  <c r="BI27" i="20" s="1"/>
  <c r="BJ27" i="20" s="1"/>
  <c r="BK27" i="20" s="1"/>
  <c r="BL27" i="20" s="1"/>
  <c r="BM27" i="20" s="1"/>
  <c r="BN27" i="20" s="1"/>
  <c r="BO27" i="20" s="1"/>
  <c r="BP27" i="20" s="1"/>
  <c r="BQ27" i="20" s="1"/>
  <c r="BR27" i="20" s="1"/>
  <c r="BS27" i="20" s="1"/>
  <c r="BT27" i="20" s="1"/>
  <c r="BU27" i="20" s="1"/>
  <c r="BV27" i="20" s="1"/>
  <c r="BW27" i="20" s="1"/>
  <c r="BX27" i="20" s="1"/>
  <c r="BY27" i="20" s="1"/>
  <c r="BZ27" i="20" s="1"/>
  <c r="CA27" i="20" s="1"/>
  <c r="CB27" i="20" s="1"/>
  <c r="CC27" i="20" s="1"/>
  <c r="CD27" i="20" s="1"/>
  <c r="CE27" i="20" s="1"/>
  <c r="CF27" i="20" s="1"/>
  <c r="CG27" i="20" s="1"/>
  <c r="CH27" i="20" s="1"/>
  <c r="CI27" i="20" s="1"/>
  <c r="CJ27" i="20" s="1"/>
  <c r="CK27" i="20" s="1"/>
  <c r="CL27" i="20" s="1"/>
  <c r="CM27" i="20" s="1"/>
  <c r="CN27" i="20" s="1"/>
  <c r="CO27" i="20" s="1"/>
  <c r="CP27" i="20" s="1"/>
  <c r="CQ27" i="20" s="1"/>
  <c r="CR27" i="20" s="1"/>
  <c r="CS27" i="20" s="1"/>
  <c r="CT27" i="20" s="1"/>
  <c r="CU27" i="20" s="1"/>
  <c r="CV27" i="20" s="1"/>
  <c r="CW27" i="20" s="1"/>
  <c r="CX27" i="20" s="1"/>
  <c r="CY27" i="20" s="1"/>
  <c r="CZ27" i="20" s="1"/>
  <c r="DA27" i="20" s="1"/>
  <c r="DB27" i="20" s="1"/>
  <c r="DC27" i="20" s="1"/>
  <c r="DD27" i="20" s="1"/>
  <c r="DE27" i="20" s="1"/>
  <c r="DF27" i="20" s="1"/>
  <c r="DG27" i="20" s="1"/>
  <c r="DH27" i="20" s="1"/>
  <c r="DI27" i="20" s="1"/>
  <c r="DJ27" i="20" s="1"/>
  <c r="DK27" i="20" s="1"/>
  <c r="DL27" i="20" s="1"/>
  <c r="DM27" i="20" s="1"/>
  <c r="DN27" i="20" s="1"/>
  <c r="DO27" i="20" s="1"/>
  <c r="DP27" i="20" s="1"/>
  <c r="B26" i="20"/>
  <c r="C26" i="20" s="1"/>
  <c r="D26" i="20" s="1"/>
  <c r="E26" i="20" s="1"/>
  <c r="F26" i="20" s="1"/>
  <c r="G26" i="20" s="1"/>
  <c r="H26" i="20" s="1"/>
  <c r="I26" i="20" s="1"/>
  <c r="J26" i="20" s="1"/>
  <c r="K26" i="20" s="1"/>
  <c r="L26" i="20" s="1"/>
  <c r="M26" i="20" s="1"/>
  <c r="N26" i="20" s="1"/>
  <c r="O26" i="20" s="1"/>
  <c r="P26" i="20" s="1"/>
  <c r="Q26" i="20" s="1"/>
  <c r="R26" i="20" s="1"/>
  <c r="S26" i="20" s="1"/>
  <c r="T26" i="20" s="1"/>
  <c r="U26" i="20" s="1"/>
  <c r="V26" i="20" s="1"/>
  <c r="W26" i="20" s="1"/>
  <c r="X26" i="20" s="1"/>
  <c r="Y26" i="20" s="1"/>
  <c r="Z26" i="20" s="1"/>
  <c r="AA26" i="20" s="1"/>
  <c r="AB26" i="20" s="1"/>
  <c r="AC26" i="20" s="1"/>
  <c r="AD26" i="20" s="1"/>
  <c r="AE26" i="20" s="1"/>
  <c r="AF26" i="20" s="1"/>
  <c r="AG26" i="20" s="1"/>
  <c r="AH26" i="20" s="1"/>
  <c r="AI26" i="20" s="1"/>
  <c r="AJ26" i="20" s="1"/>
  <c r="AK26" i="20" s="1"/>
  <c r="AL26" i="20" s="1"/>
  <c r="AM26" i="20" s="1"/>
  <c r="AN26" i="20" s="1"/>
  <c r="AO26" i="20" s="1"/>
  <c r="AP26" i="20" s="1"/>
  <c r="AQ26" i="20" s="1"/>
  <c r="AR26" i="20" s="1"/>
  <c r="AS26" i="20" s="1"/>
  <c r="AT26" i="20" s="1"/>
  <c r="AU26" i="20" s="1"/>
  <c r="AV26" i="20" s="1"/>
  <c r="AW26" i="20" s="1"/>
  <c r="AX26" i="20" s="1"/>
  <c r="AY26" i="20" s="1"/>
  <c r="AZ26" i="20" s="1"/>
  <c r="BA26" i="20" s="1"/>
  <c r="BB26" i="20" s="1"/>
  <c r="BC26" i="20" s="1"/>
  <c r="BD26" i="20" s="1"/>
  <c r="BE26" i="20" s="1"/>
  <c r="BF26" i="20" s="1"/>
  <c r="BG26" i="20" s="1"/>
  <c r="BH26" i="20" s="1"/>
  <c r="BI26" i="20" s="1"/>
  <c r="BJ26" i="20" s="1"/>
  <c r="BK26" i="20" s="1"/>
  <c r="BL26" i="20" s="1"/>
  <c r="BM26" i="20" s="1"/>
  <c r="BN26" i="20" s="1"/>
  <c r="BO26" i="20" s="1"/>
  <c r="BP26" i="20" s="1"/>
  <c r="BQ26" i="20" s="1"/>
  <c r="BR26" i="20" s="1"/>
  <c r="BS26" i="20" s="1"/>
  <c r="BT26" i="20" s="1"/>
  <c r="BU26" i="20" s="1"/>
  <c r="BV26" i="20" s="1"/>
  <c r="BW26" i="20" s="1"/>
  <c r="BX26" i="20" s="1"/>
  <c r="BY26" i="20" s="1"/>
  <c r="BZ26" i="20" s="1"/>
  <c r="CA26" i="20" s="1"/>
  <c r="CB26" i="20" s="1"/>
  <c r="CC26" i="20" s="1"/>
  <c r="CD26" i="20" s="1"/>
  <c r="CE26" i="20" s="1"/>
  <c r="CF26" i="20" s="1"/>
  <c r="CG26" i="20" s="1"/>
  <c r="CH26" i="20" s="1"/>
  <c r="CI26" i="20" s="1"/>
  <c r="CJ26" i="20" s="1"/>
  <c r="CK26" i="20" s="1"/>
  <c r="CL26" i="20" s="1"/>
  <c r="CM26" i="20" s="1"/>
  <c r="CN26" i="20" s="1"/>
  <c r="CO26" i="20" s="1"/>
  <c r="CP26" i="20" s="1"/>
  <c r="CQ26" i="20" s="1"/>
  <c r="CR26" i="20" s="1"/>
  <c r="CS26" i="20" s="1"/>
  <c r="CT26" i="20" s="1"/>
  <c r="CU26" i="20" s="1"/>
  <c r="CV26" i="20" s="1"/>
  <c r="CW26" i="20" s="1"/>
  <c r="CX26" i="20" s="1"/>
  <c r="CY26" i="20" s="1"/>
  <c r="CZ26" i="20" s="1"/>
  <c r="DA26" i="20" s="1"/>
  <c r="DB26" i="20" s="1"/>
  <c r="DC26" i="20" s="1"/>
  <c r="DD26" i="20" s="1"/>
  <c r="DE26" i="20" s="1"/>
  <c r="DF26" i="20" s="1"/>
  <c r="DG26" i="20" s="1"/>
  <c r="DH26" i="20" s="1"/>
  <c r="DI26" i="20" s="1"/>
  <c r="DJ26" i="20" s="1"/>
  <c r="DK26" i="20" s="1"/>
  <c r="DL26" i="20" s="1"/>
  <c r="DM26" i="20" s="1"/>
  <c r="DN26" i="20" s="1"/>
  <c r="DO26" i="20" s="1"/>
  <c r="DP26" i="20" s="1"/>
  <c r="B25" i="20"/>
  <c r="C25" i="20" s="1"/>
  <c r="D25" i="20" s="1"/>
  <c r="E25" i="20" s="1"/>
  <c r="F25" i="20" s="1"/>
  <c r="G25" i="20" s="1"/>
  <c r="H25" i="20" s="1"/>
  <c r="I25" i="20" s="1"/>
  <c r="J25" i="20" s="1"/>
  <c r="K25" i="20" s="1"/>
  <c r="L25" i="20" s="1"/>
  <c r="M25" i="20" s="1"/>
  <c r="N25" i="20" s="1"/>
  <c r="O25" i="20" s="1"/>
  <c r="P25" i="20" s="1"/>
  <c r="Q25" i="20" s="1"/>
  <c r="R25" i="20" s="1"/>
  <c r="S25" i="20" s="1"/>
  <c r="T25" i="20" s="1"/>
  <c r="U25" i="20" s="1"/>
  <c r="V25" i="20" s="1"/>
  <c r="W25" i="20" s="1"/>
  <c r="X25" i="20" s="1"/>
  <c r="Y25" i="20" s="1"/>
  <c r="Z25" i="20" s="1"/>
  <c r="AA25" i="20" s="1"/>
  <c r="AB25" i="20" s="1"/>
  <c r="AC25" i="20" s="1"/>
  <c r="AD25" i="20" s="1"/>
  <c r="AE25" i="20" s="1"/>
  <c r="AF25" i="20" s="1"/>
  <c r="AG25" i="20" s="1"/>
  <c r="AH25" i="20" s="1"/>
  <c r="AI25" i="20" s="1"/>
  <c r="AJ25" i="20" s="1"/>
  <c r="AK25" i="20" s="1"/>
  <c r="AL25" i="20" s="1"/>
  <c r="AM25" i="20" s="1"/>
  <c r="AN25" i="20" s="1"/>
  <c r="AO25" i="20" s="1"/>
  <c r="AP25" i="20" s="1"/>
  <c r="AQ25" i="20" s="1"/>
  <c r="AR25" i="20" s="1"/>
  <c r="AS25" i="20" s="1"/>
  <c r="AT25" i="20" s="1"/>
  <c r="AU25" i="20" s="1"/>
  <c r="AV25" i="20" s="1"/>
  <c r="AW25" i="20" s="1"/>
  <c r="AX25" i="20" s="1"/>
  <c r="AY25" i="20" s="1"/>
  <c r="AZ25" i="20" s="1"/>
  <c r="BA25" i="20" s="1"/>
  <c r="BB25" i="20" s="1"/>
  <c r="BC25" i="20" s="1"/>
  <c r="BD25" i="20" s="1"/>
  <c r="BE25" i="20" s="1"/>
  <c r="BF25" i="20" s="1"/>
  <c r="BG25" i="20" s="1"/>
  <c r="BH25" i="20" s="1"/>
  <c r="BI25" i="20" s="1"/>
  <c r="BJ25" i="20" s="1"/>
  <c r="BK25" i="20" s="1"/>
  <c r="BL25" i="20" s="1"/>
  <c r="BM25" i="20" s="1"/>
  <c r="BN25" i="20" s="1"/>
  <c r="BO25" i="20" s="1"/>
  <c r="BP25" i="20" s="1"/>
  <c r="BQ25" i="20" s="1"/>
  <c r="BR25" i="20" s="1"/>
  <c r="BS25" i="20" s="1"/>
  <c r="BT25" i="20" s="1"/>
  <c r="BU25" i="20" s="1"/>
  <c r="BV25" i="20" s="1"/>
  <c r="BW25" i="20" s="1"/>
  <c r="BX25" i="20" s="1"/>
  <c r="BY25" i="20" s="1"/>
  <c r="BZ25" i="20" s="1"/>
  <c r="CA25" i="20" s="1"/>
  <c r="CB25" i="20" s="1"/>
  <c r="CC25" i="20" s="1"/>
  <c r="CD25" i="20" s="1"/>
  <c r="CE25" i="20" s="1"/>
  <c r="CF25" i="20" s="1"/>
  <c r="CG25" i="20" s="1"/>
  <c r="CH25" i="20" s="1"/>
  <c r="CI25" i="20" s="1"/>
  <c r="CJ25" i="20" s="1"/>
  <c r="CK25" i="20" s="1"/>
  <c r="CL25" i="20" s="1"/>
  <c r="CM25" i="20" s="1"/>
  <c r="CN25" i="20" s="1"/>
  <c r="CO25" i="20" s="1"/>
  <c r="CP25" i="20" s="1"/>
  <c r="CQ25" i="20" s="1"/>
  <c r="CR25" i="20" s="1"/>
  <c r="CS25" i="20" s="1"/>
  <c r="CT25" i="20" s="1"/>
  <c r="CU25" i="20" s="1"/>
  <c r="CV25" i="20" s="1"/>
  <c r="CW25" i="20" s="1"/>
  <c r="CX25" i="20" s="1"/>
  <c r="CY25" i="20" s="1"/>
  <c r="CZ25" i="20" s="1"/>
  <c r="DA25" i="20" s="1"/>
  <c r="DB25" i="20" s="1"/>
  <c r="DC25" i="20" s="1"/>
  <c r="DD25" i="20" s="1"/>
  <c r="DE25" i="20" s="1"/>
  <c r="DF25" i="20" s="1"/>
  <c r="DG25" i="20" s="1"/>
  <c r="DH25" i="20" s="1"/>
  <c r="DI25" i="20" s="1"/>
  <c r="DJ25" i="20" s="1"/>
  <c r="DK25" i="20" s="1"/>
  <c r="DL25" i="20" s="1"/>
  <c r="DM25" i="20" s="1"/>
  <c r="DN25" i="20" s="1"/>
  <c r="DO25" i="20" s="1"/>
  <c r="DP25" i="20" s="1"/>
  <c r="B24" i="20"/>
  <c r="C24" i="20" s="1"/>
  <c r="D24" i="20" s="1"/>
  <c r="E24" i="20" s="1"/>
  <c r="F24" i="20" s="1"/>
  <c r="G24" i="20" s="1"/>
  <c r="H24" i="20" s="1"/>
  <c r="I24" i="20" s="1"/>
  <c r="J24" i="20" s="1"/>
  <c r="K24" i="20" s="1"/>
  <c r="L24" i="20" s="1"/>
  <c r="M24" i="20" s="1"/>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BA24" i="20" s="1"/>
  <c r="BB24" i="20" s="1"/>
  <c r="BC24" i="20" s="1"/>
  <c r="BD24" i="20" s="1"/>
  <c r="BE24" i="20" s="1"/>
  <c r="BF24" i="20" s="1"/>
  <c r="BG24" i="20" s="1"/>
  <c r="BH24" i="20" s="1"/>
  <c r="BI24" i="20" s="1"/>
  <c r="BJ24" i="20" s="1"/>
  <c r="BK24" i="20" s="1"/>
  <c r="BL24" i="20" s="1"/>
  <c r="BM24" i="20" s="1"/>
  <c r="BN24" i="20" s="1"/>
  <c r="BO24" i="20" s="1"/>
  <c r="BP24" i="20" s="1"/>
  <c r="BQ24" i="20" s="1"/>
  <c r="BR24" i="20" s="1"/>
  <c r="BS24" i="20" s="1"/>
  <c r="BT24" i="20" s="1"/>
  <c r="BU24" i="20" s="1"/>
  <c r="BV24" i="20" s="1"/>
  <c r="BW24" i="20" s="1"/>
  <c r="BX24" i="20" s="1"/>
  <c r="BY24" i="20" s="1"/>
  <c r="BZ24" i="20" s="1"/>
  <c r="CA24" i="20" s="1"/>
  <c r="CB24" i="20" s="1"/>
  <c r="CC24" i="20" s="1"/>
  <c r="CD24" i="20" s="1"/>
  <c r="CE24" i="20" s="1"/>
  <c r="CF24" i="20" s="1"/>
  <c r="CG24" i="20" s="1"/>
  <c r="CH24" i="20" s="1"/>
  <c r="CI24" i="20" s="1"/>
  <c r="CJ24" i="20" s="1"/>
  <c r="CK24" i="20" s="1"/>
  <c r="CL24" i="20" s="1"/>
  <c r="CM24" i="20" s="1"/>
  <c r="CN24" i="20" s="1"/>
  <c r="CO24" i="20" s="1"/>
  <c r="CP24" i="20" s="1"/>
  <c r="CQ24" i="20" s="1"/>
  <c r="CR24" i="20" s="1"/>
  <c r="CS24" i="20" s="1"/>
  <c r="CT24" i="20" s="1"/>
  <c r="CU24" i="20" s="1"/>
  <c r="CV24" i="20" s="1"/>
  <c r="CW24" i="20" s="1"/>
  <c r="CX24" i="20" s="1"/>
  <c r="CY24" i="20" s="1"/>
  <c r="CZ24" i="20" s="1"/>
  <c r="DA24" i="20" s="1"/>
  <c r="DB24" i="20" s="1"/>
  <c r="DC24" i="20" s="1"/>
  <c r="DD24" i="20" s="1"/>
  <c r="DE24" i="20" s="1"/>
  <c r="DF24" i="20" s="1"/>
  <c r="DG24" i="20" s="1"/>
  <c r="DH24" i="20" s="1"/>
  <c r="DI24" i="20" s="1"/>
  <c r="DJ24" i="20" s="1"/>
  <c r="DK24" i="20" s="1"/>
  <c r="DL24" i="20" s="1"/>
  <c r="DM24" i="20" s="1"/>
  <c r="DN24" i="20" s="1"/>
  <c r="DO24" i="20" s="1"/>
  <c r="DP24" i="20" s="1"/>
  <c r="B23" i="20"/>
  <c r="C23" i="20" s="1"/>
  <c r="D23" i="20" s="1"/>
  <c r="E23" i="20" s="1"/>
  <c r="F23" i="20" s="1"/>
  <c r="G23" i="20" s="1"/>
  <c r="H23" i="20" s="1"/>
  <c r="I23" i="20" s="1"/>
  <c r="J23" i="20" s="1"/>
  <c r="K23" i="20" s="1"/>
  <c r="L23" i="20" s="1"/>
  <c r="M23" i="20" s="1"/>
  <c r="N23" i="20" s="1"/>
  <c r="O23" i="20" s="1"/>
  <c r="P23" i="20" s="1"/>
  <c r="Q23" i="20" s="1"/>
  <c r="R23" i="20" s="1"/>
  <c r="S23" i="20" s="1"/>
  <c r="T23" i="20" s="1"/>
  <c r="U23" i="20" s="1"/>
  <c r="V23" i="20" s="1"/>
  <c r="W23" i="20" s="1"/>
  <c r="X23" i="20" s="1"/>
  <c r="Y23" i="20" s="1"/>
  <c r="Z23" i="20" s="1"/>
  <c r="AA23" i="20" s="1"/>
  <c r="AB23" i="20" s="1"/>
  <c r="AC23" i="20" s="1"/>
  <c r="AD23" i="20" s="1"/>
  <c r="AE23" i="20" s="1"/>
  <c r="AF23" i="20" s="1"/>
  <c r="AG23" i="20" s="1"/>
  <c r="AH23" i="20" s="1"/>
  <c r="AI23" i="20" s="1"/>
  <c r="AJ23" i="20" s="1"/>
  <c r="AK23" i="20" s="1"/>
  <c r="AL23" i="20" s="1"/>
  <c r="AM23" i="20" s="1"/>
  <c r="AN23" i="20" s="1"/>
  <c r="AO23" i="20" s="1"/>
  <c r="AP23" i="20" s="1"/>
  <c r="AQ23" i="20" s="1"/>
  <c r="AR23" i="20" s="1"/>
  <c r="AS23" i="20" s="1"/>
  <c r="AT23" i="20" s="1"/>
  <c r="AU23" i="20" s="1"/>
  <c r="AV23" i="20" s="1"/>
  <c r="AW23" i="20" s="1"/>
  <c r="AX23" i="20" s="1"/>
  <c r="AY23" i="20" s="1"/>
  <c r="AZ23" i="20" s="1"/>
  <c r="BA23" i="20" s="1"/>
  <c r="BB23" i="20" s="1"/>
  <c r="BC23" i="20" s="1"/>
  <c r="BD23" i="20" s="1"/>
  <c r="BE23" i="20" s="1"/>
  <c r="BF23" i="20" s="1"/>
  <c r="BG23" i="20" s="1"/>
  <c r="BH23" i="20" s="1"/>
  <c r="BI23" i="20" s="1"/>
  <c r="BJ23" i="20" s="1"/>
  <c r="BK23" i="20" s="1"/>
  <c r="BL23" i="20" s="1"/>
  <c r="BM23" i="20" s="1"/>
  <c r="BN23" i="20" s="1"/>
  <c r="BO23" i="20" s="1"/>
  <c r="BP23" i="20" s="1"/>
  <c r="BQ23" i="20" s="1"/>
  <c r="BR23" i="20" s="1"/>
  <c r="BS23" i="20" s="1"/>
  <c r="BT23" i="20" s="1"/>
  <c r="BU23" i="20" s="1"/>
  <c r="BV23" i="20" s="1"/>
  <c r="BW23" i="20" s="1"/>
  <c r="BX23" i="20" s="1"/>
  <c r="BY23" i="20" s="1"/>
  <c r="BZ23" i="20" s="1"/>
  <c r="CA23" i="20" s="1"/>
  <c r="CB23" i="20" s="1"/>
  <c r="CC23" i="20" s="1"/>
  <c r="CD23" i="20" s="1"/>
  <c r="CE23" i="20" s="1"/>
  <c r="CF23" i="20" s="1"/>
  <c r="CG23" i="20" s="1"/>
  <c r="CH23" i="20" s="1"/>
  <c r="CI23" i="20" s="1"/>
  <c r="CJ23" i="20" s="1"/>
  <c r="CK23" i="20" s="1"/>
  <c r="CL23" i="20" s="1"/>
  <c r="CM23" i="20" s="1"/>
  <c r="CN23" i="20" s="1"/>
  <c r="CO23" i="20" s="1"/>
  <c r="CP23" i="20" s="1"/>
  <c r="CQ23" i="20" s="1"/>
  <c r="CR23" i="20" s="1"/>
  <c r="CS23" i="20" s="1"/>
  <c r="CT23" i="20" s="1"/>
  <c r="CU23" i="20" s="1"/>
  <c r="CV23" i="20" s="1"/>
  <c r="CW23" i="20" s="1"/>
  <c r="CX23" i="20" s="1"/>
  <c r="CY23" i="20" s="1"/>
  <c r="CZ23" i="20" s="1"/>
  <c r="DA23" i="20" s="1"/>
  <c r="DB23" i="20" s="1"/>
  <c r="DC23" i="20" s="1"/>
  <c r="DD23" i="20" s="1"/>
  <c r="DE23" i="20" s="1"/>
  <c r="DF23" i="20" s="1"/>
  <c r="DG23" i="20" s="1"/>
  <c r="DH23" i="20" s="1"/>
  <c r="DI23" i="20" s="1"/>
  <c r="DJ23" i="20" s="1"/>
  <c r="DK23" i="20" s="1"/>
  <c r="DL23" i="20" s="1"/>
  <c r="DM23" i="20" s="1"/>
  <c r="DN23" i="20" s="1"/>
  <c r="DO23" i="20" s="1"/>
  <c r="DP23" i="20" s="1"/>
  <c r="B22" i="20"/>
  <c r="C22" i="20" s="1"/>
  <c r="D22" i="20" s="1"/>
  <c r="E22" i="20" s="1"/>
  <c r="F22" i="20" s="1"/>
  <c r="G22" i="20" s="1"/>
  <c r="H22" i="20" s="1"/>
  <c r="I22" i="20" s="1"/>
  <c r="J22" i="20" s="1"/>
  <c r="K22" i="20" s="1"/>
  <c r="L22" i="20" s="1"/>
  <c r="M22" i="20" s="1"/>
  <c r="N22" i="20" s="1"/>
  <c r="O22" i="20" s="1"/>
  <c r="P22" i="20" s="1"/>
  <c r="Q22" i="20" s="1"/>
  <c r="R22" i="20" s="1"/>
  <c r="S22" i="20" s="1"/>
  <c r="T22" i="20" s="1"/>
  <c r="U22" i="20" s="1"/>
  <c r="V22" i="20" s="1"/>
  <c r="W22" i="20" s="1"/>
  <c r="X22" i="20" s="1"/>
  <c r="Y22" i="20" s="1"/>
  <c r="Z22" i="20" s="1"/>
  <c r="AA22" i="20" s="1"/>
  <c r="AB22" i="20" s="1"/>
  <c r="AC22" i="20" s="1"/>
  <c r="AD22" i="20" s="1"/>
  <c r="AE22" i="20" s="1"/>
  <c r="AF22" i="20" s="1"/>
  <c r="AG22" i="20" s="1"/>
  <c r="AH22" i="20" s="1"/>
  <c r="AI22" i="20" s="1"/>
  <c r="AJ22" i="20" s="1"/>
  <c r="AK22" i="20" s="1"/>
  <c r="AL22" i="20" s="1"/>
  <c r="AM22" i="20" s="1"/>
  <c r="AN22" i="20" s="1"/>
  <c r="AO22" i="20" s="1"/>
  <c r="AP22" i="20" s="1"/>
  <c r="AQ22" i="20" s="1"/>
  <c r="AR22" i="20" s="1"/>
  <c r="AS22" i="20" s="1"/>
  <c r="AT22" i="20" s="1"/>
  <c r="AU22" i="20" s="1"/>
  <c r="AV22" i="20" s="1"/>
  <c r="AW22" i="20" s="1"/>
  <c r="AX22" i="20" s="1"/>
  <c r="AY22" i="20" s="1"/>
  <c r="AZ22" i="20" s="1"/>
  <c r="BA22" i="20" s="1"/>
  <c r="BB22" i="20" s="1"/>
  <c r="BC22" i="20" s="1"/>
  <c r="BD22" i="20" s="1"/>
  <c r="BE22" i="20" s="1"/>
  <c r="BF22" i="20" s="1"/>
  <c r="BG22" i="20" s="1"/>
  <c r="BH22" i="20" s="1"/>
  <c r="BI22" i="20" s="1"/>
  <c r="BJ22" i="20" s="1"/>
  <c r="BK22" i="20" s="1"/>
  <c r="BL22" i="20" s="1"/>
  <c r="BM22" i="20" s="1"/>
  <c r="BN22" i="20" s="1"/>
  <c r="BO22" i="20" s="1"/>
  <c r="BP22" i="20" s="1"/>
  <c r="BQ22" i="20" s="1"/>
  <c r="BR22" i="20" s="1"/>
  <c r="BS22" i="20" s="1"/>
  <c r="BT22" i="20" s="1"/>
  <c r="BU22" i="20" s="1"/>
  <c r="BV22" i="20" s="1"/>
  <c r="BW22" i="20" s="1"/>
  <c r="BX22" i="20" s="1"/>
  <c r="BY22" i="20" s="1"/>
  <c r="BZ22" i="20" s="1"/>
  <c r="CA22" i="20" s="1"/>
  <c r="CB22" i="20" s="1"/>
  <c r="CC22" i="20" s="1"/>
  <c r="CD22" i="20" s="1"/>
  <c r="CE22" i="20" s="1"/>
  <c r="CF22" i="20" s="1"/>
  <c r="CG22" i="20" s="1"/>
  <c r="CH22" i="20" s="1"/>
  <c r="CI22" i="20" s="1"/>
  <c r="CJ22" i="20" s="1"/>
  <c r="CK22" i="20" s="1"/>
  <c r="CL22" i="20" s="1"/>
  <c r="CM22" i="20" s="1"/>
  <c r="CN22" i="20" s="1"/>
  <c r="CO22" i="20" s="1"/>
  <c r="CP22" i="20" s="1"/>
  <c r="CQ22" i="20" s="1"/>
  <c r="CR22" i="20" s="1"/>
  <c r="CS22" i="20" s="1"/>
  <c r="CT22" i="20" s="1"/>
  <c r="CU22" i="20" s="1"/>
  <c r="CV22" i="20" s="1"/>
  <c r="CW22" i="20" s="1"/>
  <c r="CX22" i="20" s="1"/>
  <c r="CY22" i="20" s="1"/>
  <c r="CZ22" i="20" s="1"/>
  <c r="DA22" i="20" s="1"/>
  <c r="DB22" i="20" s="1"/>
  <c r="DC22" i="20" s="1"/>
  <c r="DD22" i="20" s="1"/>
  <c r="DE22" i="20" s="1"/>
  <c r="DF22" i="20" s="1"/>
  <c r="DG22" i="20" s="1"/>
  <c r="DH22" i="20" s="1"/>
  <c r="DI22" i="20" s="1"/>
  <c r="DJ22" i="20" s="1"/>
  <c r="DK22" i="20" s="1"/>
  <c r="DL22" i="20" s="1"/>
  <c r="DM22" i="20" s="1"/>
  <c r="DN22" i="20" s="1"/>
  <c r="DO22" i="20" s="1"/>
  <c r="DP22" i="20" s="1"/>
  <c r="B21" i="20"/>
  <c r="C21" i="20" s="1"/>
  <c r="D21" i="20" s="1"/>
  <c r="E21" i="20" s="1"/>
  <c r="F21" i="20" s="1"/>
  <c r="G21" i="20" s="1"/>
  <c r="H21" i="20" s="1"/>
  <c r="I21" i="20" s="1"/>
  <c r="J21" i="20" s="1"/>
  <c r="K21" i="20" s="1"/>
  <c r="L21" i="20" s="1"/>
  <c r="M21" i="20" s="1"/>
  <c r="N21" i="20" s="1"/>
  <c r="O21" i="20" s="1"/>
  <c r="P21" i="20" s="1"/>
  <c r="Q21" i="20" s="1"/>
  <c r="R21" i="20" s="1"/>
  <c r="S21" i="20" s="1"/>
  <c r="T21" i="20" s="1"/>
  <c r="U21" i="20" s="1"/>
  <c r="V21" i="20" s="1"/>
  <c r="W21" i="20" s="1"/>
  <c r="X21" i="20" s="1"/>
  <c r="Y21" i="20" s="1"/>
  <c r="Z21" i="20" s="1"/>
  <c r="AA21" i="20" s="1"/>
  <c r="AB21" i="20" s="1"/>
  <c r="AC21" i="20" s="1"/>
  <c r="AD21" i="20" s="1"/>
  <c r="AE21" i="20" s="1"/>
  <c r="AF21" i="20" s="1"/>
  <c r="AG21" i="20" s="1"/>
  <c r="AH21" i="20" s="1"/>
  <c r="AI21" i="20" s="1"/>
  <c r="AJ21" i="20" s="1"/>
  <c r="AK21" i="20" s="1"/>
  <c r="AL21" i="20" s="1"/>
  <c r="AM21" i="20" s="1"/>
  <c r="AN21" i="20" s="1"/>
  <c r="AO21" i="20" s="1"/>
  <c r="AP21" i="20" s="1"/>
  <c r="AQ21" i="20" s="1"/>
  <c r="AR21" i="20" s="1"/>
  <c r="AS21" i="20" s="1"/>
  <c r="AT21" i="20" s="1"/>
  <c r="AU21" i="20" s="1"/>
  <c r="AV21" i="20" s="1"/>
  <c r="AW21" i="20" s="1"/>
  <c r="AX21" i="20" s="1"/>
  <c r="AY21" i="20" s="1"/>
  <c r="AZ21" i="20" s="1"/>
  <c r="BA21" i="20" s="1"/>
  <c r="BB21" i="20" s="1"/>
  <c r="BC21" i="20" s="1"/>
  <c r="BD21" i="20" s="1"/>
  <c r="BE21" i="20" s="1"/>
  <c r="BF21" i="20" s="1"/>
  <c r="BG21" i="20" s="1"/>
  <c r="BH21" i="20" s="1"/>
  <c r="BI21" i="20" s="1"/>
  <c r="BJ21" i="20" s="1"/>
  <c r="BK21" i="20" s="1"/>
  <c r="BL21" i="20" s="1"/>
  <c r="BM21" i="20" s="1"/>
  <c r="BN21" i="20" s="1"/>
  <c r="BO21" i="20" s="1"/>
  <c r="BP21" i="20" s="1"/>
  <c r="BQ21" i="20" s="1"/>
  <c r="BR21" i="20" s="1"/>
  <c r="BS21" i="20" s="1"/>
  <c r="BT21" i="20" s="1"/>
  <c r="BU21" i="20" s="1"/>
  <c r="BV21" i="20" s="1"/>
  <c r="BW21" i="20" s="1"/>
  <c r="BX21" i="20" s="1"/>
  <c r="BY21" i="20" s="1"/>
  <c r="BZ21" i="20" s="1"/>
  <c r="CA21" i="20" s="1"/>
  <c r="CB21" i="20" s="1"/>
  <c r="CC21" i="20" s="1"/>
  <c r="CD21" i="20" s="1"/>
  <c r="CE21" i="20" s="1"/>
  <c r="CF21" i="20" s="1"/>
  <c r="CG21" i="20" s="1"/>
  <c r="CH21" i="20" s="1"/>
  <c r="CI21" i="20" s="1"/>
  <c r="CJ21" i="20" s="1"/>
  <c r="CK21" i="20" s="1"/>
  <c r="CL21" i="20" s="1"/>
  <c r="CM21" i="20" s="1"/>
  <c r="CN21" i="20" s="1"/>
  <c r="CO21" i="20" s="1"/>
  <c r="CP21" i="20" s="1"/>
  <c r="CQ21" i="20" s="1"/>
  <c r="CR21" i="20" s="1"/>
  <c r="CS21" i="20" s="1"/>
  <c r="CT21" i="20" s="1"/>
  <c r="CU21" i="20" s="1"/>
  <c r="CV21" i="20" s="1"/>
  <c r="CW21" i="20" s="1"/>
  <c r="CX21" i="20" s="1"/>
  <c r="CY21" i="20" s="1"/>
  <c r="CZ21" i="20" s="1"/>
  <c r="DA21" i="20" s="1"/>
  <c r="DB21" i="20" s="1"/>
  <c r="DC21" i="20" s="1"/>
  <c r="DD21" i="20" s="1"/>
  <c r="DE21" i="20" s="1"/>
  <c r="DF21" i="20" s="1"/>
  <c r="DG21" i="20" s="1"/>
  <c r="DH21" i="20" s="1"/>
  <c r="DI21" i="20" s="1"/>
  <c r="DJ21" i="20" s="1"/>
  <c r="DK21" i="20" s="1"/>
  <c r="DL21" i="20" s="1"/>
  <c r="DM21" i="20" s="1"/>
  <c r="DN21" i="20" s="1"/>
  <c r="DO21" i="20" s="1"/>
  <c r="DP21" i="20" s="1"/>
  <c r="B20" i="20"/>
  <c r="C20" i="20" s="1"/>
  <c r="D20" i="20" s="1"/>
  <c r="E20" i="20" s="1"/>
  <c r="F20" i="20" s="1"/>
  <c r="G20" i="20" s="1"/>
  <c r="H20" i="20" s="1"/>
  <c r="I20" i="20" s="1"/>
  <c r="J20" i="20" s="1"/>
  <c r="K20" i="20" s="1"/>
  <c r="L20" i="20" s="1"/>
  <c r="M20" i="20" s="1"/>
  <c r="N20" i="20" s="1"/>
  <c r="O20" i="20" s="1"/>
  <c r="P20" i="20" s="1"/>
  <c r="Q20" i="20" s="1"/>
  <c r="R20" i="20" s="1"/>
  <c r="S20" i="20" s="1"/>
  <c r="T20" i="20" s="1"/>
  <c r="U20" i="20" s="1"/>
  <c r="V20" i="20" s="1"/>
  <c r="W20" i="20" s="1"/>
  <c r="X20" i="20" s="1"/>
  <c r="Y20" i="20" s="1"/>
  <c r="Z20" i="20" s="1"/>
  <c r="AA20" i="20" s="1"/>
  <c r="AB20" i="20" s="1"/>
  <c r="AC20" i="20" s="1"/>
  <c r="AD20" i="20" s="1"/>
  <c r="AE20" i="20" s="1"/>
  <c r="AF20" i="20" s="1"/>
  <c r="AG20" i="20" s="1"/>
  <c r="AH20" i="20" s="1"/>
  <c r="AI20" i="20" s="1"/>
  <c r="AJ20" i="20" s="1"/>
  <c r="AK20" i="20" s="1"/>
  <c r="AL20" i="20" s="1"/>
  <c r="AM20" i="20" s="1"/>
  <c r="AN20" i="20" s="1"/>
  <c r="AO20" i="20" s="1"/>
  <c r="AP20" i="20" s="1"/>
  <c r="AQ20" i="20" s="1"/>
  <c r="AR20" i="20" s="1"/>
  <c r="AS20" i="20" s="1"/>
  <c r="AT20" i="20" s="1"/>
  <c r="AU20" i="20" s="1"/>
  <c r="AV20" i="20" s="1"/>
  <c r="AW20" i="20" s="1"/>
  <c r="AX20" i="20" s="1"/>
  <c r="AY20" i="20" s="1"/>
  <c r="AZ20" i="20" s="1"/>
  <c r="BA20" i="20" s="1"/>
  <c r="BB20" i="20" s="1"/>
  <c r="BC20" i="20" s="1"/>
  <c r="BD20" i="20" s="1"/>
  <c r="BE20" i="20" s="1"/>
  <c r="BF20" i="20" s="1"/>
  <c r="BG20" i="20" s="1"/>
  <c r="BH20" i="20" s="1"/>
  <c r="BI20" i="20" s="1"/>
  <c r="BJ20" i="20" s="1"/>
  <c r="BK20" i="20" s="1"/>
  <c r="BL20" i="20" s="1"/>
  <c r="BM20" i="20" s="1"/>
  <c r="BN20" i="20" s="1"/>
  <c r="BO20" i="20" s="1"/>
  <c r="BP20" i="20" s="1"/>
  <c r="BQ20" i="20" s="1"/>
  <c r="BR20" i="20" s="1"/>
  <c r="BS20" i="20" s="1"/>
  <c r="BT20" i="20" s="1"/>
  <c r="BU20" i="20" s="1"/>
  <c r="BV20" i="20" s="1"/>
  <c r="BW20" i="20" s="1"/>
  <c r="BX20" i="20" s="1"/>
  <c r="BY20" i="20" s="1"/>
  <c r="BZ20" i="20" s="1"/>
  <c r="CA20" i="20" s="1"/>
  <c r="CB20" i="20" s="1"/>
  <c r="CC20" i="20" s="1"/>
  <c r="CD20" i="20" s="1"/>
  <c r="CE20" i="20" s="1"/>
  <c r="CF20" i="20" s="1"/>
  <c r="CG20" i="20" s="1"/>
  <c r="CH20" i="20" s="1"/>
  <c r="CI20" i="20" s="1"/>
  <c r="CJ20" i="20" s="1"/>
  <c r="CK20" i="20" s="1"/>
  <c r="CL20" i="20" s="1"/>
  <c r="CM20" i="20" s="1"/>
  <c r="CN20" i="20" s="1"/>
  <c r="CO20" i="20" s="1"/>
  <c r="CP20" i="20" s="1"/>
  <c r="CQ20" i="20" s="1"/>
  <c r="CR20" i="20" s="1"/>
  <c r="CS20" i="20" s="1"/>
  <c r="CT20" i="20" s="1"/>
  <c r="CU20" i="20" s="1"/>
  <c r="CV20" i="20" s="1"/>
  <c r="CW20" i="20" s="1"/>
  <c r="CX20" i="20" s="1"/>
  <c r="CY20" i="20" s="1"/>
  <c r="CZ20" i="20" s="1"/>
  <c r="DA20" i="20" s="1"/>
  <c r="DB20" i="20" s="1"/>
  <c r="DC20" i="20" s="1"/>
  <c r="DD20" i="20" s="1"/>
  <c r="DE20" i="20" s="1"/>
  <c r="DF20" i="20" s="1"/>
  <c r="DG20" i="20" s="1"/>
  <c r="DH20" i="20" s="1"/>
  <c r="DI20" i="20" s="1"/>
  <c r="DJ20" i="20" s="1"/>
  <c r="DK20" i="20" s="1"/>
  <c r="DL20" i="20" s="1"/>
  <c r="DM20" i="20" s="1"/>
  <c r="DN20" i="20" s="1"/>
  <c r="DO20" i="20" s="1"/>
  <c r="DP20" i="20" s="1"/>
  <c r="B19" i="20"/>
  <c r="C19" i="20" s="1"/>
  <c r="D19" i="20" s="1"/>
  <c r="E19" i="20" s="1"/>
  <c r="F19" i="20" s="1"/>
  <c r="G19" i="20" s="1"/>
  <c r="H19" i="20" s="1"/>
  <c r="I19" i="20" s="1"/>
  <c r="J19" i="20" s="1"/>
  <c r="K19" i="20" s="1"/>
  <c r="L19" i="20" s="1"/>
  <c r="M19" i="20" s="1"/>
  <c r="N19" i="20" s="1"/>
  <c r="O19" i="20" s="1"/>
  <c r="P19" i="20" s="1"/>
  <c r="Q19" i="20" s="1"/>
  <c r="R19" i="20" s="1"/>
  <c r="S19" i="20" s="1"/>
  <c r="T19" i="20" s="1"/>
  <c r="U19" i="20" s="1"/>
  <c r="V19" i="20" s="1"/>
  <c r="W19" i="20" s="1"/>
  <c r="X19" i="20" s="1"/>
  <c r="Y19" i="20" s="1"/>
  <c r="Z19" i="20" s="1"/>
  <c r="AA19" i="20" s="1"/>
  <c r="AB19" i="20" s="1"/>
  <c r="AC19" i="20" s="1"/>
  <c r="AD19" i="20" s="1"/>
  <c r="AE19" i="20" s="1"/>
  <c r="AF19" i="20" s="1"/>
  <c r="AG19" i="20" s="1"/>
  <c r="AH19" i="20" s="1"/>
  <c r="AI19" i="20" s="1"/>
  <c r="AJ19" i="20" s="1"/>
  <c r="AK19" i="20" s="1"/>
  <c r="AL19" i="20" s="1"/>
  <c r="AM19" i="20" s="1"/>
  <c r="AN19" i="20" s="1"/>
  <c r="AO19" i="20" s="1"/>
  <c r="AP19" i="20" s="1"/>
  <c r="AQ19" i="20" s="1"/>
  <c r="AR19" i="20" s="1"/>
  <c r="AS19" i="20" s="1"/>
  <c r="AT19" i="20" s="1"/>
  <c r="AU19" i="20" s="1"/>
  <c r="AV19" i="20" s="1"/>
  <c r="AW19" i="20" s="1"/>
  <c r="AX19" i="20" s="1"/>
  <c r="AY19" i="20" s="1"/>
  <c r="AZ19" i="20" s="1"/>
  <c r="BA19" i="20" s="1"/>
  <c r="BB19" i="20" s="1"/>
  <c r="BC19" i="20" s="1"/>
  <c r="BD19" i="20" s="1"/>
  <c r="BE19" i="20" s="1"/>
  <c r="BF19" i="20" s="1"/>
  <c r="BG19" i="20" s="1"/>
  <c r="BH19" i="20" s="1"/>
  <c r="BI19" i="20" s="1"/>
  <c r="BJ19" i="20" s="1"/>
  <c r="BK19" i="20" s="1"/>
  <c r="BL19" i="20" s="1"/>
  <c r="BM19" i="20" s="1"/>
  <c r="BN19" i="20" s="1"/>
  <c r="BO19" i="20" s="1"/>
  <c r="BP19" i="20" s="1"/>
  <c r="BQ19" i="20" s="1"/>
  <c r="BR19" i="20" s="1"/>
  <c r="BS19" i="20" s="1"/>
  <c r="BT19" i="20" s="1"/>
  <c r="BU19" i="20" s="1"/>
  <c r="BV19" i="20" s="1"/>
  <c r="BW19" i="20" s="1"/>
  <c r="BX19" i="20" s="1"/>
  <c r="BY19" i="20" s="1"/>
  <c r="BZ19" i="20" s="1"/>
  <c r="CA19" i="20" s="1"/>
  <c r="CB19" i="20" s="1"/>
  <c r="CC19" i="20" s="1"/>
  <c r="CD19" i="20" s="1"/>
  <c r="CE19" i="20" s="1"/>
  <c r="CF19" i="20" s="1"/>
  <c r="CG19" i="20" s="1"/>
  <c r="CH19" i="20" s="1"/>
  <c r="CI19" i="20" s="1"/>
  <c r="CJ19" i="20" s="1"/>
  <c r="CK19" i="20" s="1"/>
  <c r="CL19" i="20" s="1"/>
  <c r="CM19" i="20" s="1"/>
  <c r="CN19" i="20" s="1"/>
  <c r="CO19" i="20" s="1"/>
  <c r="CP19" i="20" s="1"/>
  <c r="CQ19" i="20" s="1"/>
  <c r="CR19" i="20" s="1"/>
  <c r="CS19" i="20" s="1"/>
  <c r="CT19" i="20" s="1"/>
  <c r="CU19" i="20" s="1"/>
  <c r="CV19" i="20" s="1"/>
  <c r="CW19" i="20" s="1"/>
  <c r="CX19" i="20" s="1"/>
  <c r="CY19" i="20" s="1"/>
  <c r="CZ19" i="20" s="1"/>
  <c r="DA19" i="20" s="1"/>
  <c r="DB19" i="20" s="1"/>
  <c r="DC19" i="20" s="1"/>
  <c r="DD19" i="20" s="1"/>
  <c r="DE19" i="20" s="1"/>
  <c r="DF19" i="20" s="1"/>
  <c r="DG19" i="20" s="1"/>
  <c r="DH19" i="20" s="1"/>
  <c r="DI19" i="20" s="1"/>
  <c r="DJ19" i="20" s="1"/>
  <c r="DK19" i="20" s="1"/>
  <c r="DL19" i="20" s="1"/>
  <c r="DM19" i="20" s="1"/>
  <c r="DN19" i="20" s="1"/>
  <c r="DO19" i="20" s="1"/>
  <c r="DP19" i="20" s="1"/>
  <c r="B18" i="20"/>
  <c r="C18" i="20" s="1"/>
  <c r="D18" i="20" s="1"/>
  <c r="E18" i="20" s="1"/>
  <c r="F18" i="20" s="1"/>
  <c r="G18" i="20" s="1"/>
  <c r="H18" i="20" s="1"/>
  <c r="I18" i="20" s="1"/>
  <c r="J18" i="20" s="1"/>
  <c r="K18" i="20" s="1"/>
  <c r="L18" i="20" s="1"/>
  <c r="M18" i="20" s="1"/>
  <c r="N18" i="20" s="1"/>
  <c r="O18" i="20" s="1"/>
  <c r="P18" i="20" s="1"/>
  <c r="Q18" i="20" s="1"/>
  <c r="R18" i="20" s="1"/>
  <c r="S18" i="20" s="1"/>
  <c r="T18" i="20" s="1"/>
  <c r="U18" i="20" s="1"/>
  <c r="V18" i="20" s="1"/>
  <c r="W18" i="20" s="1"/>
  <c r="X18" i="20" s="1"/>
  <c r="Y18" i="20" s="1"/>
  <c r="Z18" i="20" s="1"/>
  <c r="AA18" i="20" s="1"/>
  <c r="AB18" i="20" s="1"/>
  <c r="AC18" i="20" s="1"/>
  <c r="AD18" i="20" s="1"/>
  <c r="AE18" i="20" s="1"/>
  <c r="AF18" i="20" s="1"/>
  <c r="AG18" i="20" s="1"/>
  <c r="AH18" i="20" s="1"/>
  <c r="AI18" i="20" s="1"/>
  <c r="AJ18" i="20" s="1"/>
  <c r="AK18" i="20" s="1"/>
  <c r="AL18" i="20" s="1"/>
  <c r="AM18" i="20" s="1"/>
  <c r="AN18" i="20" s="1"/>
  <c r="AO18" i="20" s="1"/>
  <c r="AP18" i="20" s="1"/>
  <c r="AQ18" i="20" s="1"/>
  <c r="AR18" i="20" s="1"/>
  <c r="AS18" i="20" s="1"/>
  <c r="AT18" i="20" s="1"/>
  <c r="AU18" i="20" s="1"/>
  <c r="AV18" i="20" s="1"/>
  <c r="AW18" i="20" s="1"/>
  <c r="AX18" i="20" s="1"/>
  <c r="AY18" i="20" s="1"/>
  <c r="AZ18" i="20" s="1"/>
  <c r="BA18" i="20" s="1"/>
  <c r="BB18" i="20" s="1"/>
  <c r="BC18" i="20" s="1"/>
  <c r="BD18" i="20" s="1"/>
  <c r="BE18" i="20" s="1"/>
  <c r="BF18" i="20" s="1"/>
  <c r="BG18" i="20" s="1"/>
  <c r="BH18" i="20" s="1"/>
  <c r="BI18" i="20" s="1"/>
  <c r="BJ18" i="20" s="1"/>
  <c r="BK18" i="20" s="1"/>
  <c r="BL18" i="20" s="1"/>
  <c r="BM18" i="20" s="1"/>
  <c r="BN18" i="20" s="1"/>
  <c r="BO18" i="20" s="1"/>
  <c r="BP18" i="20" s="1"/>
  <c r="BQ18" i="20" s="1"/>
  <c r="BR18" i="20" s="1"/>
  <c r="BS18" i="20" s="1"/>
  <c r="BT18" i="20" s="1"/>
  <c r="BU18" i="20" s="1"/>
  <c r="BV18" i="20" s="1"/>
  <c r="BW18" i="20" s="1"/>
  <c r="BX18" i="20" s="1"/>
  <c r="BY18" i="20" s="1"/>
  <c r="BZ18" i="20" s="1"/>
  <c r="CA18" i="20" s="1"/>
  <c r="CB18" i="20" s="1"/>
  <c r="CC18" i="20" s="1"/>
  <c r="CD18" i="20" s="1"/>
  <c r="CE18" i="20" s="1"/>
  <c r="CF18" i="20" s="1"/>
  <c r="CG18" i="20" s="1"/>
  <c r="CH18" i="20" s="1"/>
  <c r="CI18" i="20" s="1"/>
  <c r="CJ18" i="20" s="1"/>
  <c r="CK18" i="20" s="1"/>
  <c r="CL18" i="20" s="1"/>
  <c r="CM18" i="20" s="1"/>
  <c r="CN18" i="20" s="1"/>
  <c r="CO18" i="20" s="1"/>
  <c r="CP18" i="20" s="1"/>
  <c r="CQ18" i="20" s="1"/>
  <c r="CR18" i="20" s="1"/>
  <c r="CS18" i="20" s="1"/>
  <c r="CT18" i="20" s="1"/>
  <c r="CU18" i="20" s="1"/>
  <c r="CV18" i="20" s="1"/>
  <c r="CW18" i="20" s="1"/>
  <c r="CX18" i="20" s="1"/>
  <c r="CY18" i="20" s="1"/>
  <c r="CZ18" i="20" s="1"/>
  <c r="DA18" i="20" s="1"/>
  <c r="DB18" i="20" s="1"/>
  <c r="DC18" i="20" s="1"/>
  <c r="DD18" i="20" s="1"/>
  <c r="DE18" i="20" s="1"/>
  <c r="DF18" i="20" s="1"/>
  <c r="DG18" i="20" s="1"/>
  <c r="DH18" i="20" s="1"/>
  <c r="DI18" i="20" s="1"/>
  <c r="DJ18" i="20" s="1"/>
  <c r="DK18" i="20" s="1"/>
  <c r="DL18" i="20" s="1"/>
  <c r="DM18" i="20" s="1"/>
  <c r="DN18" i="20" s="1"/>
  <c r="DO18" i="20" s="1"/>
  <c r="DP18" i="20" s="1"/>
  <c r="B17" i="20"/>
  <c r="C17" i="20" s="1"/>
  <c r="D17" i="20" s="1"/>
  <c r="E17" i="20" s="1"/>
  <c r="F17" i="20" s="1"/>
  <c r="G17" i="20" s="1"/>
  <c r="H17" i="20" s="1"/>
  <c r="I17" i="20" s="1"/>
  <c r="J17" i="20" s="1"/>
  <c r="K17" i="20" s="1"/>
  <c r="L17" i="20" s="1"/>
  <c r="M17" i="20" s="1"/>
  <c r="N17" i="20" s="1"/>
  <c r="O17" i="20" s="1"/>
  <c r="P17" i="20" s="1"/>
  <c r="Q17" i="20" s="1"/>
  <c r="R17" i="20" s="1"/>
  <c r="S17" i="20" s="1"/>
  <c r="T17" i="20" s="1"/>
  <c r="U17" i="20" s="1"/>
  <c r="V17" i="20" s="1"/>
  <c r="W17" i="20" s="1"/>
  <c r="X17" i="20" s="1"/>
  <c r="Y17" i="20" s="1"/>
  <c r="Z17" i="20" s="1"/>
  <c r="AA17" i="20" s="1"/>
  <c r="AB17" i="20" s="1"/>
  <c r="AC17" i="20" s="1"/>
  <c r="AD17" i="20" s="1"/>
  <c r="AE17" i="20" s="1"/>
  <c r="AF17" i="20" s="1"/>
  <c r="AG17" i="20" s="1"/>
  <c r="AH17" i="20" s="1"/>
  <c r="AI17" i="20" s="1"/>
  <c r="AJ17" i="20" s="1"/>
  <c r="AK17" i="20" s="1"/>
  <c r="AL17" i="20" s="1"/>
  <c r="AM17" i="20" s="1"/>
  <c r="AN17" i="20" s="1"/>
  <c r="AO17" i="20" s="1"/>
  <c r="AP17" i="20" s="1"/>
  <c r="AQ17" i="20" s="1"/>
  <c r="AR17" i="20" s="1"/>
  <c r="AS17" i="20" s="1"/>
  <c r="AT17" i="20" s="1"/>
  <c r="AU17" i="20" s="1"/>
  <c r="AV17" i="20" s="1"/>
  <c r="AW17" i="20" s="1"/>
  <c r="AX17" i="20" s="1"/>
  <c r="AY17" i="20" s="1"/>
  <c r="AZ17" i="20" s="1"/>
  <c r="BA17" i="20" s="1"/>
  <c r="BB17" i="20" s="1"/>
  <c r="BC17" i="20" s="1"/>
  <c r="BD17" i="20" s="1"/>
  <c r="BE17" i="20" s="1"/>
  <c r="BF17" i="20" s="1"/>
  <c r="BG17" i="20" s="1"/>
  <c r="BH17" i="20" s="1"/>
  <c r="BI17" i="20" s="1"/>
  <c r="BJ17" i="20" s="1"/>
  <c r="BK17" i="20" s="1"/>
  <c r="BL17" i="20" s="1"/>
  <c r="BM17" i="20" s="1"/>
  <c r="BN17" i="20" s="1"/>
  <c r="BO17" i="20" s="1"/>
  <c r="BP17" i="20" s="1"/>
  <c r="BQ17" i="20" s="1"/>
  <c r="BR17" i="20" s="1"/>
  <c r="BS17" i="20" s="1"/>
  <c r="BT17" i="20" s="1"/>
  <c r="BU17" i="20" s="1"/>
  <c r="BV17" i="20" s="1"/>
  <c r="BW17" i="20" s="1"/>
  <c r="BX17" i="20" s="1"/>
  <c r="BY17" i="20" s="1"/>
  <c r="BZ17" i="20" s="1"/>
  <c r="CA17" i="20" s="1"/>
  <c r="CB17" i="20" s="1"/>
  <c r="CC17" i="20" s="1"/>
  <c r="CD17" i="20" s="1"/>
  <c r="CE17" i="20" s="1"/>
  <c r="CF17" i="20" s="1"/>
  <c r="CG17" i="20" s="1"/>
  <c r="CH17" i="20" s="1"/>
  <c r="CI17" i="20" s="1"/>
  <c r="CJ17" i="20" s="1"/>
  <c r="CK17" i="20" s="1"/>
  <c r="CL17" i="20" s="1"/>
  <c r="CM17" i="20" s="1"/>
  <c r="CN17" i="20" s="1"/>
  <c r="CO17" i="20" s="1"/>
  <c r="CP17" i="20" s="1"/>
  <c r="CQ17" i="20" s="1"/>
  <c r="CR17" i="20" s="1"/>
  <c r="CS17" i="20" s="1"/>
  <c r="CT17" i="20" s="1"/>
  <c r="CU17" i="20" s="1"/>
  <c r="CV17" i="20" s="1"/>
  <c r="CW17" i="20" s="1"/>
  <c r="CX17" i="20" s="1"/>
  <c r="CY17" i="20" s="1"/>
  <c r="CZ17" i="20" s="1"/>
  <c r="DA17" i="20" s="1"/>
  <c r="DB17" i="20" s="1"/>
  <c r="DC17" i="20" s="1"/>
  <c r="DD17" i="20" s="1"/>
  <c r="DE17" i="20" s="1"/>
  <c r="DF17" i="20" s="1"/>
  <c r="DG17" i="20" s="1"/>
  <c r="DH17" i="20" s="1"/>
  <c r="DI17" i="20" s="1"/>
  <c r="DJ17" i="20" s="1"/>
  <c r="DK17" i="20" s="1"/>
  <c r="DL17" i="20" s="1"/>
  <c r="DM17" i="20" s="1"/>
  <c r="DN17" i="20" s="1"/>
  <c r="DO17" i="20" s="1"/>
  <c r="DP17" i="20" s="1"/>
  <c r="B16" i="20"/>
  <c r="C16" i="20" s="1"/>
  <c r="D16" i="20" s="1"/>
  <c r="E16" i="20" s="1"/>
  <c r="F16" i="20" s="1"/>
  <c r="G16" i="20" s="1"/>
  <c r="H16" i="20" s="1"/>
  <c r="I16" i="20" s="1"/>
  <c r="J16" i="20" s="1"/>
  <c r="K16" i="20" s="1"/>
  <c r="L16" i="20" s="1"/>
  <c r="M16" i="20" s="1"/>
  <c r="N16" i="20" s="1"/>
  <c r="O16" i="20" s="1"/>
  <c r="P16" i="20" s="1"/>
  <c r="Q16" i="20" s="1"/>
  <c r="R16" i="20" s="1"/>
  <c r="S16" i="20" s="1"/>
  <c r="T16" i="20" s="1"/>
  <c r="U16" i="20" s="1"/>
  <c r="V16" i="20" s="1"/>
  <c r="W16" i="20" s="1"/>
  <c r="X16" i="20" s="1"/>
  <c r="Y16" i="20" s="1"/>
  <c r="Z16" i="20" s="1"/>
  <c r="AA16" i="20" s="1"/>
  <c r="AB16" i="20" s="1"/>
  <c r="AC16" i="20" s="1"/>
  <c r="AD16" i="20" s="1"/>
  <c r="AE16" i="20" s="1"/>
  <c r="AF16" i="20" s="1"/>
  <c r="AG16" i="20" s="1"/>
  <c r="AH16" i="20" s="1"/>
  <c r="AI16" i="20" s="1"/>
  <c r="AJ16" i="20" s="1"/>
  <c r="AK16" i="20" s="1"/>
  <c r="AL16" i="20" s="1"/>
  <c r="AM16" i="20" s="1"/>
  <c r="AN16" i="20" s="1"/>
  <c r="AO16" i="20" s="1"/>
  <c r="AP16" i="20" s="1"/>
  <c r="AQ16" i="20" s="1"/>
  <c r="AR16" i="20" s="1"/>
  <c r="AS16" i="20" s="1"/>
  <c r="AT16" i="20" s="1"/>
  <c r="AU16" i="20" s="1"/>
  <c r="AV16" i="20" s="1"/>
  <c r="AW16" i="20" s="1"/>
  <c r="AX16" i="20" s="1"/>
  <c r="AY16" i="20" s="1"/>
  <c r="AZ16" i="20" s="1"/>
  <c r="BA16" i="20" s="1"/>
  <c r="BB16" i="20" s="1"/>
  <c r="BC16" i="20" s="1"/>
  <c r="BD16" i="20" s="1"/>
  <c r="BE16" i="20" s="1"/>
  <c r="BF16" i="20" s="1"/>
  <c r="BG16" i="20" s="1"/>
  <c r="BH16" i="20" s="1"/>
  <c r="BI16" i="20" s="1"/>
  <c r="BJ16" i="20" s="1"/>
  <c r="BK16" i="20" s="1"/>
  <c r="BL16" i="20" s="1"/>
  <c r="BM16" i="20" s="1"/>
  <c r="BN16" i="20" s="1"/>
  <c r="BO16" i="20" s="1"/>
  <c r="BP16" i="20" s="1"/>
  <c r="BQ16" i="20" s="1"/>
  <c r="BR16" i="20" s="1"/>
  <c r="BS16" i="20" s="1"/>
  <c r="BT16" i="20" s="1"/>
  <c r="BU16" i="20" s="1"/>
  <c r="BV16" i="20" s="1"/>
  <c r="BW16" i="20" s="1"/>
  <c r="BX16" i="20" s="1"/>
  <c r="BY16" i="20" s="1"/>
  <c r="BZ16" i="20" s="1"/>
  <c r="CA16" i="20" s="1"/>
  <c r="CB16" i="20" s="1"/>
  <c r="CC16" i="20" s="1"/>
  <c r="CD16" i="20" s="1"/>
  <c r="CE16" i="20" s="1"/>
  <c r="CF16" i="20" s="1"/>
  <c r="CG16" i="20" s="1"/>
  <c r="CH16" i="20" s="1"/>
  <c r="CI16" i="20" s="1"/>
  <c r="CJ16" i="20" s="1"/>
  <c r="CK16" i="20" s="1"/>
  <c r="CL16" i="20" s="1"/>
  <c r="CM16" i="20" s="1"/>
  <c r="CN16" i="20" s="1"/>
  <c r="CO16" i="20" s="1"/>
  <c r="CP16" i="20" s="1"/>
  <c r="CQ16" i="20" s="1"/>
  <c r="CR16" i="20" s="1"/>
  <c r="CS16" i="20" s="1"/>
  <c r="CT16" i="20" s="1"/>
  <c r="CU16" i="20" s="1"/>
  <c r="CV16" i="20" s="1"/>
  <c r="CW16" i="20" s="1"/>
  <c r="CX16" i="20" s="1"/>
  <c r="CY16" i="20" s="1"/>
  <c r="CZ16" i="20" s="1"/>
  <c r="DA16" i="20" s="1"/>
  <c r="DB16" i="20" s="1"/>
  <c r="DC16" i="20" s="1"/>
  <c r="DD16" i="20" s="1"/>
  <c r="DE16" i="20" s="1"/>
  <c r="DF16" i="20" s="1"/>
  <c r="DG16" i="20" s="1"/>
  <c r="DH16" i="20" s="1"/>
  <c r="DI16" i="20" s="1"/>
  <c r="DJ16" i="20" s="1"/>
  <c r="DK16" i="20" s="1"/>
  <c r="DL16" i="20" s="1"/>
  <c r="DM16" i="20" s="1"/>
  <c r="DN16" i="20" s="1"/>
  <c r="DO16" i="20" s="1"/>
  <c r="DP16" i="20" s="1"/>
  <c r="B15" i="20"/>
  <c r="C15" i="20" s="1"/>
  <c r="D15" i="20" s="1"/>
  <c r="E15" i="20" s="1"/>
  <c r="F15" i="20" s="1"/>
  <c r="G15" i="20" s="1"/>
  <c r="H15" i="20" s="1"/>
  <c r="I15" i="20" s="1"/>
  <c r="J15" i="20" s="1"/>
  <c r="K15" i="20" s="1"/>
  <c r="L15" i="20" s="1"/>
  <c r="M15" i="20" s="1"/>
  <c r="N15" i="20" s="1"/>
  <c r="O15" i="20" s="1"/>
  <c r="P15" i="20" s="1"/>
  <c r="Q15" i="20" s="1"/>
  <c r="R15" i="20" s="1"/>
  <c r="S15" i="20" s="1"/>
  <c r="T15" i="20" s="1"/>
  <c r="U15" i="20" s="1"/>
  <c r="V15" i="20" s="1"/>
  <c r="W15" i="20" s="1"/>
  <c r="X15" i="20" s="1"/>
  <c r="Y15" i="20" s="1"/>
  <c r="Z15" i="20" s="1"/>
  <c r="AA15" i="20" s="1"/>
  <c r="AB15" i="20" s="1"/>
  <c r="AC15" i="20" s="1"/>
  <c r="AD15" i="20" s="1"/>
  <c r="AE15" i="20" s="1"/>
  <c r="AF15" i="20" s="1"/>
  <c r="AG15" i="20" s="1"/>
  <c r="AH15" i="20" s="1"/>
  <c r="AI15" i="20" s="1"/>
  <c r="AJ15" i="20" s="1"/>
  <c r="AK15" i="20" s="1"/>
  <c r="AL15" i="20" s="1"/>
  <c r="AM15" i="20" s="1"/>
  <c r="AN15" i="20" s="1"/>
  <c r="AO15" i="20" s="1"/>
  <c r="AP15" i="20" s="1"/>
  <c r="AQ15" i="20" s="1"/>
  <c r="AR15" i="20" s="1"/>
  <c r="AS15" i="20" s="1"/>
  <c r="AT15" i="20" s="1"/>
  <c r="AU15" i="20" s="1"/>
  <c r="AV15" i="20" s="1"/>
  <c r="AW15" i="20" s="1"/>
  <c r="AX15" i="20" s="1"/>
  <c r="AY15" i="20" s="1"/>
  <c r="AZ15" i="20" s="1"/>
  <c r="BA15" i="20" s="1"/>
  <c r="BB15" i="20" s="1"/>
  <c r="BC15" i="20" s="1"/>
  <c r="BD15" i="20" s="1"/>
  <c r="BE15" i="20" s="1"/>
  <c r="BF15" i="20" s="1"/>
  <c r="BG15" i="20" s="1"/>
  <c r="BH15" i="20" s="1"/>
  <c r="BI15" i="20" s="1"/>
  <c r="BJ15" i="20" s="1"/>
  <c r="BK15" i="20" s="1"/>
  <c r="BL15" i="20" s="1"/>
  <c r="BM15" i="20" s="1"/>
  <c r="BN15" i="20" s="1"/>
  <c r="BO15" i="20" s="1"/>
  <c r="BP15" i="20" s="1"/>
  <c r="BQ15" i="20" s="1"/>
  <c r="BR15" i="20" s="1"/>
  <c r="BS15" i="20" s="1"/>
  <c r="BT15" i="20" s="1"/>
  <c r="BU15" i="20" s="1"/>
  <c r="BV15" i="20" s="1"/>
  <c r="BW15" i="20" s="1"/>
  <c r="BX15" i="20" s="1"/>
  <c r="BY15" i="20" s="1"/>
  <c r="BZ15" i="20" s="1"/>
  <c r="CA15" i="20" s="1"/>
  <c r="CB15" i="20" s="1"/>
  <c r="CC15" i="20" s="1"/>
  <c r="CD15" i="20" s="1"/>
  <c r="CE15" i="20" s="1"/>
  <c r="CF15" i="20" s="1"/>
  <c r="CG15" i="20" s="1"/>
  <c r="CH15" i="20" s="1"/>
  <c r="CI15" i="20" s="1"/>
  <c r="CJ15" i="20" s="1"/>
  <c r="CK15" i="20" s="1"/>
  <c r="CL15" i="20" s="1"/>
  <c r="CM15" i="20" s="1"/>
  <c r="CN15" i="20" s="1"/>
  <c r="CO15" i="20" s="1"/>
  <c r="CP15" i="20" s="1"/>
  <c r="CQ15" i="20" s="1"/>
  <c r="CR15" i="20" s="1"/>
  <c r="CS15" i="20" s="1"/>
  <c r="CT15" i="20" s="1"/>
  <c r="CU15" i="20" s="1"/>
  <c r="CV15" i="20" s="1"/>
  <c r="CW15" i="20" s="1"/>
  <c r="CX15" i="20" s="1"/>
  <c r="CY15" i="20" s="1"/>
  <c r="CZ15" i="20" s="1"/>
  <c r="DA15" i="20" s="1"/>
  <c r="DB15" i="20" s="1"/>
  <c r="DC15" i="20" s="1"/>
  <c r="DD15" i="20" s="1"/>
  <c r="DE15" i="20" s="1"/>
  <c r="DF15" i="20" s="1"/>
  <c r="DG15" i="20" s="1"/>
  <c r="DH15" i="20" s="1"/>
  <c r="DI15" i="20" s="1"/>
  <c r="DJ15" i="20" s="1"/>
  <c r="DK15" i="20" s="1"/>
  <c r="DL15" i="20" s="1"/>
  <c r="DM15" i="20" s="1"/>
  <c r="DN15" i="20" s="1"/>
  <c r="DO15" i="20" s="1"/>
  <c r="DP15" i="20" s="1"/>
  <c r="B14" i="20"/>
  <c r="C14" i="20" s="1"/>
  <c r="D14" i="20" s="1"/>
  <c r="E14" i="20" s="1"/>
  <c r="F14" i="20" s="1"/>
  <c r="G14" i="20" s="1"/>
  <c r="H14" i="20" s="1"/>
  <c r="I14" i="20" s="1"/>
  <c r="J14" i="20" s="1"/>
  <c r="K14" i="20" s="1"/>
  <c r="L14" i="20" s="1"/>
  <c r="M14" i="20" s="1"/>
  <c r="N14" i="20" s="1"/>
  <c r="O14" i="20" s="1"/>
  <c r="P14" i="20" s="1"/>
  <c r="Q14" i="20" s="1"/>
  <c r="R14" i="20" s="1"/>
  <c r="S14" i="20" s="1"/>
  <c r="T14" i="20" s="1"/>
  <c r="U14" i="20" s="1"/>
  <c r="V14" i="20" s="1"/>
  <c r="W14" i="20" s="1"/>
  <c r="X14" i="20" s="1"/>
  <c r="Y14" i="20" s="1"/>
  <c r="Z14" i="20" s="1"/>
  <c r="AA14" i="20" s="1"/>
  <c r="AB14" i="20" s="1"/>
  <c r="AC14" i="20" s="1"/>
  <c r="AD14" i="20" s="1"/>
  <c r="AE14" i="20" s="1"/>
  <c r="AF14" i="20" s="1"/>
  <c r="AG14" i="20" s="1"/>
  <c r="AH14" i="20" s="1"/>
  <c r="AI14" i="20" s="1"/>
  <c r="AJ14" i="20" s="1"/>
  <c r="AK14" i="20" s="1"/>
  <c r="AL14" i="20" s="1"/>
  <c r="AM14" i="20" s="1"/>
  <c r="AN14" i="20" s="1"/>
  <c r="AO14" i="20" s="1"/>
  <c r="AP14" i="20" s="1"/>
  <c r="AQ14" i="20" s="1"/>
  <c r="AR14" i="20" s="1"/>
  <c r="AS14" i="20" s="1"/>
  <c r="AT14" i="20" s="1"/>
  <c r="AU14" i="20" s="1"/>
  <c r="AV14" i="20" s="1"/>
  <c r="AW14" i="20" s="1"/>
  <c r="AX14" i="20" s="1"/>
  <c r="AY14" i="20" s="1"/>
  <c r="AZ14" i="20" s="1"/>
  <c r="BA14" i="20" s="1"/>
  <c r="BB14" i="20" s="1"/>
  <c r="BC14" i="20" s="1"/>
  <c r="BD14" i="20" s="1"/>
  <c r="BE14" i="20" s="1"/>
  <c r="BF14" i="20" s="1"/>
  <c r="BG14" i="20" s="1"/>
  <c r="BH14" i="20" s="1"/>
  <c r="BI14" i="20" s="1"/>
  <c r="BJ14" i="20" s="1"/>
  <c r="BK14" i="20" s="1"/>
  <c r="BL14" i="20" s="1"/>
  <c r="BM14" i="20" s="1"/>
  <c r="BN14" i="20" s="1"/>
  <c r="BO14" i="20" s="1"/>
  <c r="BP14" i="20" s="1"/>
  <c r="BQ14" i="20" s="1"/>
  <c r="BR14" i="20" s="1"/>
  <c r="BS14" i="20" s="1"/>
  <c r="BT14" i="20" s="1"/>
  <c r="BU14" i="20" s="1"/>
  <c r="BV14" i="20" s="1"/>
  <c r="BW14" i="20" s="1"/>
  <c r="BX14" i="20" s="1"/>
  <c r="BY14" i="20" s="1"/>
  <c r="BZ14" i="20" s="1"/>
  <c r="CA14" i="20" s="1"/>
  <c r="CB14" i="20" s="1"/>
  <c r="CC14" i="20" s="1"/>
  <c r="CD14" i="20" s="1"/>
  <c r="CE14" i="20" s="1"/>
  <c r="CF14" i="20" s="1"/>
  <c r="CG14" i="20" s="1"/>
  <c r="CH14" i="20" s="1"/>
  <c r="CI14" i="20" s="1"/>
  <c r="CJ14" i="20" s="1"/>
  <c r="CK14" i="20" s="1"/>
  <c r="CL14" i="20" s="1"/>
  <c r="CM14" i="20" s="1"/>
  <c r="CN14" i="20" s="1"/>
  <c r="CO14" i="20" s="1"/>
  <c r="CP14" i="20" s="1"/>
  <c r="CQ14" i="20" s="1"/>
  <c r="CR14" i="20" s="1"/>
  <c r="CS14" i="20" s="1"/>
  <c r="CT14" i="20" s="1"/>
  <c r="CU14" i="20" s="1"/>
  <c r="CV14" i="20" s="1"/>
  <c r="CW14" i="20" s="1"/>
  <c r="CX14" i="20" s="1"/>
  <c r="CY14" i="20" s="1"/>
  <c r="CZ14" i="20" s="1"/>
  <c r="DA14" i="20" s="1"/>
  <c r="DB14" i="20" s="1"/>
  <c r="DC14" i="20" s="1"/>
  <c r="DD14" i="20" s="1"/>
  <c r="DE14" i="20" s="1"/>
  <c r="DF14" i="20" s="1"/>
  <c r="DG14" i="20" s="1"/>
  <c r="DH14" i="20" s="1"/>
  <c r="DI14" i="20" s="1"/>
  <c r="DJ14" i="20" s="1"/>
  <c r="DK14" i="20" s="1"/>
  <c r="DL14" i="20" s="1"/>
  <c r="DM14" i="20" s="1"/>
  <c r="DN14" i="20" s="1"/>
  <c r="DO14" i="20" s="1"/>
  <c r="DP14" i="20" s="1"/>
  <c r="B13" i="20"/>
  <c r="C13" i="20" s="1"/>
  <c r="D13" i="20" s="1"/>
  <c r="E13" i="20" s="1"/>
  <c r="F13" i="20" s="1"/>
  <c r="G13" i="20" s="1"/>
  <c r="H13" i="20" s="1"/>
  <c r="I13" i="20" s="1"/>
  <c r="J13" i="20" s="1"/>
  <c r="K13" i="20" s="1"/>
  <c r="L13" i="20" s="1"/>
  <c r="M13" i="20" s="1"/>
  <c r="N13" i="20" s="1"/>
  <c r="O13" i="20" s="1"/>
  <c r="P13" i="20" s="1"/>
  <c r="Q13" i="20" s="1"/>
  <c r="R13" i="20" s="1"/>
  <c r="S13" i="20" s="1"/>
  <c r="T13" i="20" s="1"/>
  <c r="U13" i="20" s="1"/>
  <c r="V13" i="20" s="1"/>
  <c r="W13" i="20" s="1"/>
  <c r="X13" i="20" s="1"/>
  <c r="Y13" i="20" s="1"/>
  <c r="Z13" i="20" s="1"/>
  <c r="AA13" i="20" s="1"/>
  <c r="AB13" i="20" s="1"/>
  <c r="AC13" i="20" s="1"/>
  <c r="AD13" i="20" s="1"/>
  <c r="AE13" i="20" s="1"/>
  <c r="AF13" i="20" s="1"/>
  <c r="AG13" i="20" s="1"/>
  <c r="AH13" i="20" s="1"/>
  <c r="AI13" i="20" s="1"/>
  <c r="AJ13" i="20" s="1"/>
  <c r="AK13" i="20" s="1"/>
  <c r="AL13" i="20" s="1"/>
  <c r="AM13" i="20" s="1"/>
  <c r="AN13" i="20" s="1"/>
  <c r="AO13" i="20" s="1"/>
  <c r="AP13" i="20" s="1"/>
  <c r="AQ13" i="20" s="1"/>
  <c r="AR13" i="20" s="1"/>
  <c r="AS13" i="20" s="1"/>
  <c r="AT13" i="20" s="1"/>
  <c r="AU13" i="20" s="1"/>
  <c r="AV13" i="20" s="1"/>
  <c r="AW13" i="20" s="1"/>
  <c r="AX13" i="20" s="1"/>
  <c r="AY13" i="20" s="1"/>
  <c r="AZ13" i="20" s="1"/>
  <c r="BA13" i="20" s="1"/>
  <c r="BB13" i="20" s="1"/>
  <c r="BC13" i="20" s="1"/>
  <c r="BD13" i="20" s="1"/>
  <c r="BE13" i="20" s="1"/>
  <c r="BF13" i="20" s="1"/>
  <c r="BG13" i="20" s="1"/>
  <c r="BH13" i="20" s="1"/>
  <c r="BI13" i="20" s="1"/>
  <c r="BJ13" i="20" s="1"/>
  <c r="BK13" i="20" s="1"/>
  <c r="BL13" i="20" s="1"/>
  <c r="BM13" i="20" s="1"/>
  <c r="BN13" i="20" s="1"/>
  <c r="BO13" i="20" s="1"/>
  <c r="BP13" i="20" s="1"/>
  <c r="BQ13" i="20" s="1"/>
  <c r="BR13" i="20" s="1"/>
  <c r="BS13" i="20" s="1"/>
  <c r="BT13" i="20" s="1"/>
  <c r="BU13" i="20" s="1"/>
  <c r="BV13" i="20" s="1"/>
  <c r="BW13" i="20" s="1"/>
  <c r="BX13" i="20" s="1"/>
  <c r="BY13" i="20" s="1"/>
  <c r="BZ13" i="20" s="1"/>
  <c r="CA13" i="20" s="1"/>
  <c r="CB13" i="20" s="1"/>
  <c r="CC13" i="20" s="1"/>
  <c r="CD13" i="20" s="1"/>
  <c r="CE13" i="20" s="1"/>
  <c r="CF13" i="20" s="1"/>
  <c r="CG13" i="20" s="1"/>
  <c r="CH13" i="20" s="1"/>
  <c r="CI13" i="20" s="1"/>
  <c r="CJ13" i="20" s="1"/>
  <c r="CK13" i="20" s="1"/>
  <c r="CL13" i="20" s="1"/>
  <c r="CM13" i="20" s="1"/>
  <c r="CN13" i="20" s="1"/>
  <c r="CO13" i="20" s="1"/>
  <c r="CP13" i="20" s="1"/>
  <c r="CQ13" i="20" s="1"/>
  <c r="CR13" i="20" s="1"/>
  <c r="CS13" i="20" s="1"/>
  <c r="CT13" i="20" s="1"/>
  <c r="CU13" i="20" s="1"/>
  <c r="CV13" i="20" s="1"/>
  <c r="CW13" i="20" s="1"/>
  <c r="CX13" i="20" s="1"/>
  <c r="CY13" i="20" s="1"/>
  <c r="CZ13" i="20" s="1"/>
  <c r="DA13" i="20" s="1"/>
  <c r="DB13" i="20" s="1"/>
  <c r="DC13" i="20" s="1"/>
  <c r="DD13" i="20" s="1"/>
  <c r="DE13" i="20" s="1"/>
  <c r="DF13" i="20" s="1"/>
  <c r="DG13" i="20" s="1"/>
  <c r="DH13" i="20" s="1"/>
  <c r="DI13" i="20" s="1"/>
  <c r="DJ13" i="20" s="1"/>
  <c r="DK13" i="20" s="1"/>
  <c r="DL13" i="20" s="1"/>
  <c r="DM13" i="20" s="1"/>
  <c r="DN13" i="20" s="1"/>
  <c r="DO13" i="20" s="1"/>
  <c r="DP13" i="20" s="1"/>
  <c r="B12" i="20"/>
  <c r="C12" i="20" s="1"/>
  <c r="D12" i="20" s="1"/>
  <c r="E12" i="20" s="1"/>
  <c r="F12" i="20" s="1"/>
  <c r="G12" i="20" s="1"/>
  <c r="H12" i="20" s="1"/>
  <c r="I12" i="20" s="1"/>
  <c r="J12" i="20" s="1"/>
  <c r="K12" i="20" s="1"/>
  <c r="L12" i="20" s="1"/>
  <c r="M12" i="20" s="1"/>
  <c r="N12" i="20" s="1"/>
  <c r="O12" i="20" s="1"/>
  <c r="P12" i="20" s="1"/>
  <c r="Q12" i="20" s="1"/>
  <c r="R12" i="20" s="1"/>
  <c r="S12" i="20" s="1"/>
  <c r="T12" i="20" s="1"/>
  <c r="U12" i="20" s="1"/>
  <c r="V12" i="20" s="1"/>
  <c r="W12" i="20" s="1"/>
  <c r="X12" i="20" s="1"/>
  <c r="Y12" i="20" s="1"/>
  <c r="Z12" i="20" s="1"/>
  <c r="AA12" i="20" s="1"/>
  <c r="AB12" i="20" s="1"/>
  <c r="AC12" i="20" s="1"/>
  <c r="AD12" i="20" s="1"/>
  <c r="AE12" i="20" s="1"/>
  <c r="AF12" i="20" s="1"/>
  <c r="AG12" i="20" s="1"/>
  <c r="AH12" i="20" s="1"/>
  <c r="AI12" i="20" s="1"/>
  <c r="AJ12" i="20" s="1"/>
  <c r="AK12" i="20" s="1"/>
  <c r="AL12" i="20" s="1"/>
  <c r="AM12" i="20" s="1"/>
  <c r="AN12" i="20" s="1"/>
  <c r="AO12" i="20" s="1"/>
  <c r="AP12" i="20" s="1"/>
  <c r="AQ12" i="20" s="1"/>
  <c r="AR12" i="20" s="1"/>
  <c r="AS12" i="20" s="1"/>
  <c r="AT12" i="20" s="1"/>
  <c r="AU12" i="20" s="1"/>
  <c r="AV12" i="20" s="1"/>
  <c r="AW12" i="20" s="1"/>
  <c r="AX12" i="20" s="1"/>
  <c r="AY12" i="20" s="1"/>
  <c r="AZ12" i="20" s="1"/>
  <c r="BA12" i="20" s="1"/>
  <c r="BB12" i="20" s="1"/>
  <c r="BC12" i="20" s="1"/>
  <c r="BD12" i="20" s="1"/>
  <c r="BE12" i="20" s="1"/>
  <c r="BF12" i="20" s="1"/>
  <c r="BG12" i="20" s="1"/>
  <c r="BH12" i="20" s="1"/>
  <c r="BI12" i="20" s="1"/>
  <c r="BJ12" i="20" s="1"/>
  <c r="BK12" i="20" s="1"/>
  <c r="BL12" i="20" s="1"/>
  <c r="BM12" i="20" s="1"/>
  <c r="BN12" i="20" s="1"/>
  <c r="BO12" i="20" s="1"/>
  <c r="BP12" i="20" s="1"/>
  <c r="BQ12" i="20" s="1"/>
  <c r="BR12" i="20" s="1"/>
  <c r="BS12" i="20" s="1"/>
  <c r="BT12" i="20" s="1"/>
  <c r="BU12" i="20" s="1"/>
  <c r="BV12" i="20" s="1"/>
  <c r="BW12" i="20" s="1"/>
  <c r="BX12" i="20" s="1"/>
  <c r="BY12" i="20" s="1"/>
  <c r="BZ12" i="20" s="1"/>
  <c r="CA12" i="20" s="1"/>
  <c r="CB12" i="20" s="1"/>
  <c r="CC12" i="20" s="1"/>
  <c r="CD12" i="20" s="1"/>
  <c r="CE12" i="20" s="1"/>
  <c r="CF12" i="20" s="1"/>
  <c r="CG12" i="20" s="1"/>
  <c r="CH12" i="20" s="1"/>
  <c r="CI12" i="20" s="1"/>
  <c r="CJ12" i="20" s="1"/>
  <c r="CK12" i="20" s="1"/>
  <c r="CL12" i="20" s="1"/>
  <c r="CM12" i="20" s="1"/>
  <c r="CN12" i="20" s="1"/>
  <c r="CO12" i="20" s="1"/>
  <c r="CP12" i="20" s="1"/>
  <c r="CQ12" i="20" s="1"/>
  <c r="CR12" i="20" s="1"/>
  <c r="CS12" i="20" s="1"/>
  <c r="CT12" i="20" s="1"/>
  <c r="CU12" i="20" s="1"/>
  <c r="CV12" i="20" s="1"/>
  <c r="CW12" i="20" s="1"/>
  <c r="CX12" i="20" s="1"/>
  <c r="CY12" i="20" s="1"/>
  <c r="CZ12" i="20" s="1"/>
  <c r="DA12" i="20" s="1"/>
  <c r="DB12" i="20" s="1"/>
  <c r="DC12" i="20" s="1"/>
  <c r="DD12" i="20" s="1"/>
  <c r="DE12" i="20" s="1"/>
  <c r="DF12" i="20" s="1"/>
  <c r="DG12" i="20" s="1"/>
  <c r="DH12" i="20" s="1"/>
  <c r="DI12" i="20" s="1"/>
  <c r="DJ12" i="20" s="1"/>
  <c r="DK12" i="20" s="1"/>
  <c r="DL12" i="20" s="1"/>
  <c r="DM12" i="20" s="1"/>
  <c r="DN12" i="20" s="1"/>
  <c r="DO12" i="20" s="1"/>
  <c r="DP12" i="20" s="1"/>
  <c r="B11" i="20"/>
  <c r="C11" i="20" s="1"/>
  <c r="D11" i="20" s="1"/>
  <c r="E11" i="20" s="1"/>
  <c r="F11" i="20" s="1"/>
  <c r="G11" i="20" s="1"/>
  <c r="H11" i="20" s="1"/>
  <c r="I11" i="20" s="1"/>
  <c r="J11" i="20" s="1"/>
  <c r="K11" i="20" s="1"/>
  <c r="L11" i="20" s="1"/>
  <c r="M11" i="20" s="1"/>
  <c r="N11" i="20" s="1"/>
  <c r="O11" i="20" s="1"/>
  <c r="P11" i="20" s="1"/>
  <c r="Q11" i="20" s="1"/>
  <c r="R11" i="20" s="1"/>
  <c r="S11" i="20" s="1"/>
  <c r="T11" i="20" s="1"/>
  <c r="U11" i="20" s="1"/>
  <c r="V11" i="20" s="1"/>
  <c r="W11" i="20" s="1"/>
  <c r="X11" i="20" s="1"/>
  <c r="Y11" i="20" s="1"/>
  <c r="Z11" i="20" s="1"/>
  <c r="AA11" i="20" s="1"/>
  <c r="AB11" i="20" s="1"/>
  <c r="AC11" i="20" s="1"/>
  <c r="AD11" i="20" s="1"/>
  <c r="AE11" i="20" s="1"/>
  <c r="AF11" i="20" s="1"/>
  <c r="AG11" i="20" s="1"/>
  <c r="AH11" i="20" s="1"/>
  <c r="AI11" i="20" s="1"/>
  <c r="AJ11" i="20" s="1"/>
  <c r="AK11" i="20" s="1"/>
  <c r="AL11" i="20" s="1"/>
  <c r="AM11" i="20" s="1"/>
  <c r="AN11" i="20" s="1"/>
  <c r="AO11" i="20" s="1"/>
  <c r="AP11" i="20" s="1"/>
  <c r="AQ11" i="20" s="1"/>
  <c r="AR11" i="20" s="1"/>
  <c r="AS11" i="20" s="1"/>
  <c r="AT11" i="20" s="1"/>
  <c r="AU11" i="20" s="1"/>
  <c r="AV11" i="20" s="1"/>
  <c r="AW11" i="20" s="1"/>
  <c r="AX11" i="20" s="1"/>
  <c r="AY11" i="20" s="1"/>
  <c r="AZ11" i="20" s="1"/>
  <c r="BA11" i="20" s="1"/>
  <c r="BB11" i="20" s="1"/>
  <c r="BC11" i="20" s="1"/>
  <c r="BD11" i="20" s="1"/>
  <c r="BE11" i="20" s="1"/>
  <c r="BF11" i="20" s="1"/>
  <c r="BG11" i="20" s="1"/>
  <c r="BH11" i="20" s="1"/>
  <c r="BI11" i="20" s="1"/>
  <c r="BJ11" i="20" s="1"/>
  <c r="BK11" i="20" s="1"/>
  <c r="BL11" i="20" s="1"/>
  <c r="BM11" i="20" s="1"/>
  <c r="BN11" i="20" s="1"/>
  <c r="BO11" i="20" s="1"/>
  <c r="BP11" i="20" s="1"/>
  <c r="BQ11" i="20" s="1"/>
  <c r="BR11" i="20" s="1"/>
  <c r="BS11" i="20" s="1"/>
  <c r="BT11" i="20" s="1"/>
  <c r="BU11" i="20" s="1"/>
  <c r="BV11" i="20" s="1"/>
  <c r="BW11" i="20" s="1"/>
  <c r="BX11" i="20" s="1"/>
  <c r="BY11" i="20" s="1"/>
  <c r="BZ11" i="20" s="1"/>
  <c r="CA11" i="20" s="1"/>
  <c r="CB11" i="20" s="1"/>
  <c r="CC11" i="20" s="1"/>
  <c r="CD11" i="20" s="1"/>
  <c r="CE11" i="20" s="1"/>
  <c r="CF11" i="20" s="1"/>
  <c r="CG11" i="20" s="1"/>
  <c r="CH11" i="20" s="1"/>
  <c r="CI11" i="20" s="1"/>
  <c r="CJ11" i="20" s="1"/>
  <c r="CK11" i="20" s="1"/>
  <c r="CL11" i="20" s="1"/>
  <c r="CM11" i="20" s="1"/>
  <c r="CN11" i="20" s="1"/>
  <c r="CO11" i="20" s="1"/>
  <c r="CP11" i="20" s="1"/>
  <c r="CQ11" i="20" s="1"/>
  <c r="CR11" i="20" s="1"/>
  <c r="CS11" i="20" s="1"/>
  <c r="CT11" i="20" s="1"/>
  <c r="CU11" i="20" s="1"/>
  <c r="CV11" i="20" s="1"/>
  <c r="CW11" i="20" s="1"/>
  <c r="CX11" i="20" s="1"/>
  <c r="CY11" i="20" s="1"/>
  <c r="CZ11" i="20" s="1"/>
  <c r="DA11" i="20" s="1"/>
  <c r="DB11" i="20" s="1"/>
  <c r="DC11" i="20" s="1"/>
  <c r="DD11" i="20" s="1"/>
  <c r="DE11" i="20" s="1"/>
  <c r="DF11" i="20" s="1"/>
  <c r="DG11" i="20" s="1"/>
  <c r="DH11" i="20" s="1"/>
  <c r="DI11" i="20" s="1"/>
  <c r="DJ11" i="20" s="1"/>
  <c r="DK11" i="20" s="1"/>
  <c r="DL11" i="20" s="1"/>
  <c r="DM11" i="20" s="1"/>
  <c r="DN11" i="20" s="1"/>
  <c r="DO11" i="20" s="1"/>
  <c r="DP11" i="20" s="1"/>
  <c r="B10" i="20"/>
  <c r="C10" i="20" s="1"/>
  <c r="D10" i="20" s="1"/>
  <c r="E10" i="20" s="1"/>
  <c r="F10" i="20" s="1"/>
  <c r="G10" i="20" s="1"/>
  <c r="H10" i="20" s="1"/>
  <c r="I10" i="20" s="1"/>
  <c r="J10" i="20" s="1"/>
  <c r="K10" i="20" s="1"/>
  <c r="L10" i="20" s="1"/>
  <c r="M10" i="20" s="1"/>
  <c r="N10" i="20" s="1"/>
  <c r="O10" i="20" s="1"/>
  <c r="P10" i="20" s="1"/>
  <c r="Q10" i="20" s="1"/>
  <c r="R10" i="20" s="1"/>
  <c r="S10" i="20" s="1"/>
  <c r="T10" i="20" s="1"/>
  <c r="U10" i="20" s="1"/>
  <c r="V10" i="20" s="1"/>
  <c r="W10" i="20" s="1"/>
  <c r="X10" i="20" s="1"/>
  <c r="Y10" i="20" s="1"/>
  <c r="Z10" i="20" s="1"/>
  <c r="AA10" i="20" s="1"/>
  <c r="AB10" i="20" s="1"/>
  <c r="AC10" i="20" s="1"/>
  <c r="AD10" i="20" s="1"/>
  <c r="AE10" i="20" s="1"/>
  <c r="AF10" i="20" s="1"/>
  <c r="AG10" i="20" s="1"/>
  <c r="AH10" i="20" s="1"/>
  <c r="AI10" i="20" s="1"/>
  <c r="AJ10" i="20" s="1"/>
  <c r="AK10" i="20" s="1"/>
  <c r="AL10" i="20" s="1"/>
  <c r="AM10" i="20" s="1"/>
  <c r="AN10" i="20" s="1"/>
  <c r="AO10" i="20" s="1"/>
  <c r="AP10" i="20" s="1"/>
  <c r="AQ10" i="20" s="1"/>
  <c r="AR10" i="20" s="1"/>
  <c r="AS10" i="20" s="1"/>
  <c r="AT10" i="20" s="1"/>
  <c r="AU10" i="20" s="1"/>
  <c r="AV10" i="20" s="1"/>
  <c r="AW10" i="20" s="1"/>
  <c r="AX10" i="20" s="1"/>
  <c r="AY10" i="20" s="1"/>
  <c r="AZ10" i="20" s="1"/>
  <c r="BA10" i="20" s="1"/>
  <c r="BB10" i="20" s="1"/>
  <c r="BC10" i="20" s="1"/>
  <c r="BD10" i="20" s="1"/>
  <c r="BE10" i="20" s="1"/>
  <c r="BF10" i="20" s="1"/>
  <c r="BG10" i="20" s="1"/>
  <c r="BH10" i="20" s="1"/>
  <c r="BI10" i="20" s="1"/>
  <c r="BJ10" i="20" s="1"/>
  <c r="BK10" i="20" s="1"/>
  <c r="BL10" i="20" s="1"/>
  <c r="BM10" i="20" s="1"/>
  <c r="BN10" i="20" s="1"/>
  <c r="BO10" i="20" s="1"/>
  <c r="BP10" i="20" s="1"/>
  <c r="BQ10" i="20" s="1"/>
  <c r="BR10" i="20" s="1"/>
  <c r="BS10" i="20" s="1"/>
  <c r="BT10" i="20" s="1"/>
  <c r="BU10" i="20" s="1"/>
  <c r="BV10" i="20" s="1"/>
  <c r="BW10" i="20" s="1"/>
  <c r="BX10" i="20" s="1"/>
  <c r="BY10" i="20" s="1"/>
  <c r="BZ10" i="20" s="1"/>
  <c r="CA10" i="20" s="1"/>
  <c r="CB10" i="20" s="1"/>
  <c r="CC10" i="20" s="1"/>
  <c r="CD10" i="20" s="1"/>
  <c r="CE10" i="20" s="1"/>
  <c r="CF10" i="20" s="1"/>
  <c r="CG10" i="20" s="1"/>
  <c r="CH10" i="20" s="1"/>
  <c r="CI10" i="20" s="1"/>
  <c r="CJ10" i="20" s="1"/>
  <c r="CK10" i="20" s="1"/>
  <c r="CL10" i="20" s="1"/>
  <c r="CM10" i="20" s="1"/>
  <c r="CN10" i="20" s="1"/>
  <c r="CO10" i="20" s="1"/>
  <c r="CP10" i="20" s="1"/>
  <c r="CQ10" i="20" s="1"/>
  <c r="CR10" i="20" s="1"/>
  <c r="CS10" i="20" s="1"/>
  <c r="CT10" i="20" s="1"/>
  <c r="CU10" i="20" s="1"/>
  <c r="CV10" i="20" s="1"/>
  <c r="CW10" i="20" s="1"/>
  <c r="CX10" i="20" s="1"/>
  <c r="CY10" i="20" s="1"/>
  <c r="CZ10" i="20" s="1"/>
  <c r="DA10" i="20" s="1"/>
  <c r="DB10" i="20" s="1"/>
  <c r="DC10" i="20" s="1"/>
  <c r="DD10" i="20" s="1"/>
  <c r="DE10" i="20" s="1"/>
  <c r="DF10" i="20" s="1"/>
  <c r="DG10" i="20" s="1"/>
  <c r="DH10" i="20" s="1"/>
  <c r="DI10" i="20" s="1"/>
  <c r="DJ10" i="20" s="1"/>
  <c r="DK10" i="20" s="1"/>
  <c r="DL10" i="20" s="1"/>
  <c r="DM10" i="20" s="1"/>
  <c r="DN10" i="20" s="1"/>
  <c r="DO10" i="20" s="1"/>
  <c r="DP10" i="20" s="1"/>
  <c r="B9" i="20"/>
  <c r="C9" i="20" s="1"/>
  <c r="D9" i="20" s="1"/>
  <c r="E9" i="20" s="1"/>
  <c r="F9" i="20" s="1"/>
  <c r="G9" i="20" s="1"/>
  <c r="H9" i="20" s="1"/>
  <c r="I9" i="20" s="1"/>
  <c r="J9" i="20" s="1"/>
  <c r="K9" i="20" s="1"/>
  <c r="L9" i="20" s="1"/>
  <c r="M9" i="20" s="1"/>
  <c r="N9" i="20" s="1"/>
  <c r="O9" i="20" s="1"/>
  <c r="P9" i="20" s="1"/>
  <c r="Q9" i="20" s="1"/>
  <c r="R9" i="20" s="1"/>
  <c r="S9" i="20" s="1"/>
  <c r="T9" i="20" s="1"/>
  <c r="U9" i="20" s="1"/>
  <c r="V9" i="20" s="1"/>
  <c r="W9" i="20" s="1"/>
  <c r="X9" i="20" s="1"/>
  <c r="Y9" i="20" s="1"/>
  <c r="Z9" i="20" s="1"/>
  <c r="AA9" i="20" s="1"/>
  <c r="AB9" i="20" s="1"/>
  <c r="AC9" i="20" s="1"/>
  <c r="AD9" i="20" s="1"/>
  <c r="AE9" i="20" s="1"/>
  <c r="AF9" i="20" s="1"/>
  <c r="AG9" i="20" s="1"/>
  <c r="AH9" i="20" s="1"/>
  <c r="AI9" i="20" s="1"/>
  <c r="AJ9" i="20" s="1"/>
  <c r="AK9" i="20" s="1"/>
  <c r="AL9" i="20" s="1"/>
  <c r="AM9" i="20" s="1"/>
  <c r="AN9" i="20" s="1"/>
  <c r="AO9" i="20" s="1"/>
  <c r="AP9" i="20" s="1"/>
  <c r="AQ9" i="20" s="1"/>
  <c r="AR9" i="20" s="1"/>
  <c r="AS9" i="20" s="1"/>
  <c r="AT9" i="20" s="1"/>
  <c r="AU9" i="20" s="1"/>
  <c r="AV9" i="20" s="1"/>
  <c r="AW9" i="20" s="1"/>
  <c r="AX9" i="20" s="1"/>
  <c r="AY9" i="20" s="1"/>
  <c r="AZ9" i="20" s="1"/>
  <c r="BA9" i="20" s="1"/>
  <c r="BB9" i="20" s="1"/>
  <c r="BC9" i="20" s="1"/>
  <c r="BD9" i="20" s="1"/>
  <c r="BE9" i="20" s="1"/>
  <c r="BF9" i="20" s="1"/>
  <c r="BG9" i="20" s="1"/>
  <c r="BH9" i="20" s="1"/>
  <c r="BI9" i="20" s="1"/>
  <c r="BJ9" i="20" s="1"/>
  <c r="BK9" i="20" s="1"/>
  <c r="BL9" i="20" s="1"/>
  <c r="BM9" i="20" s="1"/>
  <c r="BN9" i="20" s="1"/>
  <c r="BO9" i="20" s="1"/>
  <c r="BP9" i="20" s="1"/>
  <c r="BQ9" i="20" s="1"/>
  <c r="BR9" i="20" s="1"/>
  <c r="BS9" i="20" s="1"/>
  <c r="BT9" i="20" s="1"/>
  <c r="BU9" i="20" s="1"/>
  <c r="BV9" i="20" s="1"/>
  <c r="BW9" i="20" s="1"/>
  <c r="BX9" i="20" s="1"/>
  <c r="BY9" i="20" s="1"/>
  <c r="BZ9" i="20" s="1"/>
  <c r="CA9" i="20" s="1"/>
  <c r="CB9" i="20" s="1"/>
  <c r="CC9" i="20" s="1"/>
  <c r="CD9" i="20" s="1"/>
  <c r="CE9" i="20" s="1"/>
  <c r="CF9" i="20" s="1"/>
  <c r="CG9" i="20" s="1"/>
  <c r="CH9" i="20" s="1"/>
  <c r="CI9" i="20" s="1"/>
  <c r="CJ9" i="20" s="1"/>
  <c r="CK9" i="20" s="1"/>
  <c r="CL9" i="20" s="1"/>
  <c r="CM9" i="20" s="1"/>
  <c r="CN9" i="20" s="1"/>
  <c r="CO9" i="20" s="1"/>
  <c r="CP9" i="20" s="1"/>
  <c r="CQ9" i="20" s="1"/>
  <c r="CR9" i="20" s="1"/>
  <c r="CS9" i="20" s="1"/>
  <c r="CT9" i="20" s="1"/>
  <c r="CU9" i="20" s="1"/>
  <c r="CV9" i="20" s="1"/>
  <c r="CW9" i="20" s="1"/>
  <c r="CX9" i="20" s="1"/>
  <c r="CY9" i="20" s="1"/>
  <c r="CZ9" i="20" s="1"/>
  <c r="DA9" i="20" s="1"/>
  <c r="DB9" i="20" s="1"/>
  <c r="DC9" i="20" s="1"/>
  <c r="DD9" i="20" s="1"/>
  <c r="DE9" i="20" s="1"/>
  <c r="DF9" i="20" s="1"/>
  <c r="DG9" i="20" s="1"/>
  <c r="DH9" i="20" s="1"/>
  <c r="DI9" i="20" s="1"/>
  <c r="DJ9" i="20" s="1"/>
  <c r="DK9" i="20" s="1"/>
  <c r="DL9" i="20" s="1"/>
  <c r="DM9" i="20" s="1"/>
  <c r="DN9" i="20" s="1"/>
  <c r="DO9" i="20" s="1"/>
  <c r="DP9" i="20" s="1"/>
  <c r="B8" i="20"/>
  <c r="C8" i="20" s="1"/>
  <c r="D8" i="20" s="1"/>
  <c r="E8" i="20" s="1"/>
  <c r="F8" i="20" s="1"/>
  <c r="G8" i="20" s="1"/>
  <c r="H8" i="20" s="1"/>
  <c r="I8" i="20" s="1"/>
  <c r="J8" i="20" s="1"/>
  <c r="K8" i="20" s="1"/>
  <c r="L8" i="20" s="1"/>
  <c r="M8" i="20" s="1"/>
  <c r="N8" i="20" s="1"/>
  <c r="O8" i="20" s="1"/>
  <c r="P8" i="20" s="1"/>
  <c r="Q8" i="20" s="1"/>
  <c r="R8" i="20" s="1"/>
  <c r="S8" i="20" s="1"/>
  <c r="T8" i="20" s="1"/>
  <c r="U8" i="20" s="1"/>
  <c r="V8" i="20" s="1"/>
  <c r="W8" i="20" s="1"/>
  <c r="X8" i="20" s="1"/>
  <c r="Y8" i="20" s="1"/>
  <c r="Z8" i="20" s="1"/>
  <c r="AA8" i="20" s="1"/>
  <c r="AB8" i="20" s="1"/>
  <c r="AC8" i="20" s="1"/>
  <c r="AD8" i="20" s="1"/>
  <c r="AE8" i="20" s="1"/>
  <c r="AF8" i="20" s="1"/>
  <c r="AG8" i="20" s="1"/>
  <c r="AH8" i="20" s="1"/>
  <c r="AI8" i="20" s="1"/>
  <c r="AJ8" i="20" s="1"/>
  <c r="AK8" i="20" s="1"/>
  <c r="AL8" i="20" s="1"/>
  <c r="AM8" i="20" s="1"/>
  <c r="AN8" i="20" s="1"/>
  <c r="AO8" i="20" s="1"/>
  <c r="AP8" i="20" s="1"/>
  <c r="AQ8" i="20" s="1"/>
  <c r="AR8" i="20" s="1"/>
  <c r="AS8" i="20" s="1"/>
  <c r="AT8" i="20" s="1"/>
  <c r="AU8" i="20" s="1"/>
  <c r="AV8" i="20" s="1"/>
  <c r="AW8" i="20" s="1"/>
  <c r="AX8" i="20" s="1"/>
  <c r="AY8" i="20" s="1"/>
  <c r="AZ8" i="20" s="1"/>
  <c r="BA8" i="20" s="1"/>
  <c r="BB8" i="20" s="1"/>
  <c r="BC8" i="20" s="1"/>
  <c r="BD8" i="20" s="1"/>
  <c r="BE8" i="20" s="1"/>
  <c r="BF8" i="20" s="1"/>
  <c r="BG8" i="20" s="1"/>
  <c r="BH8" i="20" s="1"/>
  <c r="BI8" i="20" s="1"/>
  <c r="BJ8" i="20" s="1"/>
  <c r="BK8" i="20" s="1"/>
  <c r="BL8" i="20" s="1"/>
  <c r="BM8" i="20" s="1"/>
  <c r="BN8" i="20" s="1"/>
  <c r="BO8" i="20" s="1"/>
  <c r="BP8" i="20" s="1"/>
  <c r="BQ8" i="20" s="1"/>
  <c r="BR8" i="20" s="1"/>
  <c r="BS8" i="20" s="1"/>
  <c r="BT8" i="20" s="1"/>
  <c r="BU8" i="20" s="1"/>
  <c r="BV8" i="20" s="1"/>
  <c r="BW8" i="20" s="1"/>
  <c r="BX8" i="20" s="1"/>
  <c r="BY8" i="20" s="1"/>
  <c r="BZ8" i="20" s="1"/>
  <c r="CA8" i="20" s="1"/>
  <c r="CB8" i="20" s="1"/>
  <c r="CC8" i="20" s="1"/>
  <c r="CD8" i="20" s="1"/>
  <c r="CE8" i="20" s="1"/>
  <c r="CF8" i="20" s="1"/>
  <c r="CG8" i="20" s="1"/>
  <c r="CH8" i="20" s="1"/>
  <c r="CI8" i="20" s="1"/>
  <c r="CJ8" i="20" s="1"/>
  <c r="CK8" i="20" s="1"/>
  <c r="CL8" i="20" s="1"/>
  <c r="CM8" i="20" s="1"/>
  <c r="CN8" i="20" s="1"/>
  <c r="CO8" i="20" s="1"/>
  <c r="CP8" i="20" s="1"/>
  <c r="CQ8" i="20" s="1"/>
  <c r="CR8" i="20" s="1"/>
  <c r="CS8" i="20" s="1"/>
  <c r="CT8" i="20" s="1"/>
  <c r="CU8" i="20" s="1"/>
  <c r="CV8" i="20" s="1"/>
  <c r="CW8" i="20" s="1"/>
  <c r="CX8" i="20" s="1"/>
  <c r="CY8" i="20" s="1"/>
  <c r="CZ8" i="20" s="1"/>
  <c r="DA8" i="20" s="1"/>
  <c r="DB8" i="20" s="1"/>
  <c r="DC8" i="20" s="1"/>
  <c r="DD8" i="20" s="1"/>
  <c r="DE8" i="20" s="1"/>
  <c r="DF8" i="20" s="1"/>
  <c r="DG8" i="20" s="1"/>
  <c r="DH8" i="20" s="1"/>
  <c r="DI8" i="20" s="1"/>
  <c r="DJ8" i="20" s="1"/>
  <c r="DK8" i="20" s="1"/>
  <c r="DL8" i="20" s="1"/>
  <c r="DM8" i="20" s="1"/>
  <c r="DN8" i="20" s="1"/>
  <c r="DO8" i="20" s="1"/>
  <c r="DP8" i="20" s="1"/>
  <c r="B7" i="20"/>
  <c r="C7" i="20" s="1"/>
  <c r="D7" i="20" s="1"/>
  <c r="E7" i="20" s="1"/>
  <c r="F7" i="20" s="1"/>
  <c r="G7" i="20" s="1"/>
  <c r="H7" i="20" s="1"/>
  <c r="I7" i="20" s="1"/>
  <c r="J7" i="20" s="1"/>
  <c r="K7" i="20" s="1"/>
  <c r="L7" i="20" s="1"/>
  <c r="M7" i="20" s="1"/>
  <c r="N7" i="20" s="1"/>
  <c r="O7" i="20" s="1"/>
  <c r="P7" i="20" s="1"/>
  <c r="Q7" i="20" s="1"/>
  <c r="R7" i="20" s="1"/>
  <c r="S7" i="20" s="1"/>
  <c r="T7" i="20" s="1"/>
  <c r="U7" i="20" s="1"/>
  <c r="V7" i="20" s="1"/>
  <c r="W7" i="20" s="1"/>
  <c r="X7" i="20" s="1"/>
  <c r="Y7" i="20" s="1"/>
  <c r="Z7" i="20" s="1"/>
  <c r="AA7" i="20" s="1"/>
  <c r="AB7" i="20" s="1"/>
  <c r="AC7" i="20" s="1"/>
  <c r="AD7" i="20" s="1"/>
  <c r="AE7" i="20" s="1"/>
  <c r="AF7" i="20" s="1"/>
  <c r="AG7" i="20" s="1"/>
  <c r="AH7" i="20" s="1"/>
  <c r="AI7" i="20" s="1"/>
  <c r="AJ7" i="20" s="1"/>
  <c r="AK7" i="20" s="1"/>
  <c r="AL7" i="20" s="1"/>
  <c r="AM7" i="20" s="1"/>
  <c r="AN7" i="20" s="1"/>
  <c r="AO7" i="20" s="1"/>
  <c r="AP7" i="20" s="1"/>
  <c r="AQ7" i="20" s="1"/>
  <c r="AR7" i="20" s="1"/>
  <c r="AS7" i="20" s="1"/>
  <c r="AT7" i="20" s="1"/>
  <c r="AU7" i="20" s="1"/>
  <c r="AV7" i="20" s="1"/>
  <c r="AW7" i="20" s="1"/>
  <c r="AX7" i="20" s="1"/>
  <c r="AY7" i="20" s="1"/>
  <c r="AZ7" i="20" s="1"/>
  <c r="BA7" i="20" s="1"/>
  <c r="BB7" i="20" s="1"/>
  <c r="BC7" i="20" s="1"/>
  <c r="BD7" i="20" s="1"/>
  <c r="BE7" i="20" s="1"/>
  <c r="BF7" i="20" s="1"/>
  <c r="BG7" i="20" s="1"/>
  <c r="BH7" i="20" s="1"/>
  <c r="BI7" i="20" s="1"/>
  <c r="BJ7" i="20" s="1"/>
  <c r="BK7" i="20" s="1"/>
  <c r="BL7" i="20" s="1"/>
  <c r="BM7" i="20" s="1"/>
  <c r="BN7" i="20" s="1"/>
  <c r="BO7" i="20" s="1"/>
  <c r="BP7" i="20" s="1"/>
  <c r="BQ7" i="20" s="1"/>
  <c r="BR7" i="20" s="1"/>
  <c r="BS7" i="20" s="1"/>
  <c r="BT7" i="20" s="1"/>
  <c r="BU7" i="20" s="1"/>
  <c r="BV7" i="20" s="1"/>
  <c r="BW7" i="20" s="1"/>
  <c r="BX7" i="20" s="1"/>
  <c r="BY7" i="20" s="1"/>
  <c r="BZ7" i="20" s="1"/>
  <c r="CA7" i="20" s="1"/>
  <c r="CB7" i="20" s="1"/>
  <c r="CC7" i="20" s="1"/>
  <c r="CD7" i="20" s="1"/>
  <c r="CE7" i="20" s="1"/>
  <c r="CF7" i="20" s="1"/>
  <c r="CG7" i="20" s="1"/>
  <c r="CH7" i="20" s="1"/>
  <c r="CI7" i="20" s="1"/>
  <c r="CJ7" i="20" s="1"/>
  <c r="CK7" i="20" s="1"/>
  <c r="CL7" i="20" s="1"/>
  <c r="CM7" i="20" s="1"/>
  <c r="CN7" i="20" s="1"/>
  <c r="CO7" i="20" s="1"/>
  <c r="CP7" i="20" s="1"/>
  <c r="CQ7" i="20" s="1"/>
  <c r="CR7" i="20" s="1"/>
  <c r="CS7" i="20" s="1"/>
  <c r="CT7" i="20" s="1"/>
  <c r="CU7" i="20" s="1"/>
  <c r="CV7" i="20" s="1"/>
  <c r="CW7" i="20" s="1"/>
  <c r="CX7" i="20" s="1"/>
  <c r="CY7" i="20" s="1"/>
  <c r="CZ7" i="20" s="1"/>
  <c r="DA7" i="20" s="1"/>
  <c r="DB7" i="20" s="1"/>
  <c r="DC7" i="20" s="1"/>
  <c r="DD7" i="20" s="1"/>
  <c r="DE7" i="20" s="1"/>
  <c r="DF7" i="20" s="1"/>
  <c r="DG7" i="20" s="1"/>
  <c r="DH7" i="20" s="1"/>
  <c r="DI7" i="20" s="1"/>
  <c r="DJ7" i="20" s="1"/>
  <c r="DK7" i="20" s="1"/>
  <c r="DL7" i="20" s="1"/>
  <c r="DM7" i="20" s="1"/>
  <c r="DN7" i="20" s="1"/>
  <c r="DO7" i="20" s="1"/>
  <c r="DP7" i="20" s="1"/>
  <c r="B6" i="20"/>
  <c r="C6" i="20" s="1"/>
  <c r="D6" i="20" s="1"/>
  <c r="E6" i="20" s="1"/>
  <c r="F6" i="20" s="1"/>
  <c r="G6" i="20" s="1"/>
  <c r="H6" i="20" s="1"/>
  <c r="I6" i="20" s="1"/>
  <c r="J6" i="20" s="1"/>
  <c r="K6" i="20" s="1"/>
  <c r="L6" i="20" s="1"/>
  <c r="M6" i="20" s="1"/>
  <c r="N6" i="20" s="1"/>
  <c r="O6" i="20" s="1"/>
  <c r="P6" i="20" s="1"/>
  <c r="Q6" i="20" s="1"/>
  <c r="R6" i="20" s="1"/>
  <c r="S6" i="20" s="1"/>
  <c r="T6" i="20" s="1"/>
  <c r="U6" i="20" s="1"/>
  <c r="V6" i="20" s="1"/>
  <c r="W6" i="20" s="1"/>
  <c r="X6" i="20" s="1"/>
  <c r="Y6" i="20" s="1"/>
  <c r="Z6" i="20" s="1"/>
  <c r="AA6" i="20" s="1"/>
  <c r="AB6" i="20" s="1"/>
  <c r="AC6" i="20" s="1"/>
  <c r="AD6" i="20" s="1"/>
  <c r="AE6" i="20" s="1"/>
  <c r="AF6" i="20" s="1"/>
  <c r="AG6" i="20" s="1"/>
  <c r="AH6" i="20" s="1"/>
  <c r="AI6" i="20" s="1"/>
  <c r="AJ6" i="20" s="1"/>
  <c r="AK6" i="20" s="1"/>
  <c r="AL6" i="20" s="1"/>
  <c r="AM6" i="20" s="1"/>
  <c r="AN6" i="20" s="1"/>
  <c r="AO6" i="20" s="1"/>
  <c r="AP6" i="20" s="1"/>
  <c r="AQ6" i="20" s="1"/>
  <c r="AR6" i="20" s="1"/>
  <c r="AS6" i="20" s="1"/>
  <c r="AT6" i="20" s="1"/>
  <c r="AU6" i="20" s="1"/>
  <c r="AV6" i="20" s="1"/>
  <c r="AW6" i="20" s="1"/>
  <c r="AX6" i="20" s="1"/>
  <c r="AY6" i="20" s="1"/>
  <c r="AZ6" i="20" s="1"/>
  <c r="BA6" i="20" s="1"/>
  <c r="BB6" i="20" s="1"/>
  <c r="BC6" i="20" s="1"/>
  <c r="BD6" i="20" s="1"/>
  <c r="BE6" i="20" s="1"/>
  <c r="BF6" i="20" s="1"/>
  <c r="BG6" i="20" s="1"/>
  <c r="BH6" i="20" s="1"/>
  <c r="BI6" i="20" s="1"/>
  <c r="BJ6" i="20" s="1"/>
  <c r="BK6" i="20" s="1"/>
  <c r="BL6" i="20" s="1"/>
  <c r="BM6" i="20" s="1"/>
  <c r="BN6" i="20" s="1"/>
  <c r="BO6" i="20" s="1"/>
  <c r="BP6" i="20" s="1"/>
  <c r="BQ6" i="20" s="1"/>
  <c r="BR6" i="20" s="1"/>
  <c r="BS6" i="20" s="1"/>
  <c r="BT6" i="20" s="1"/>
  <c r="BU6" i="20" s="1"/>
  <c r="BV6" i="20" s="1"/>
  <c r="BW6" i="20" s="1"/>
  <c r="BX6" i="20" s="1"/>
  <c r="BY6" i="20" s="1"/>
  <c r="BZ6" i="20" s="1"/>
  <c r="CA6" i="20" s="1"/>
  <c r="CB6" i="20" s="1"/>
  <c r="CC6" i="20" s="1"/>
  <c r="CD6" i="20" s="1"/>
  <c r="CE6" i="20" s="1"/>
  <c r="CF6" i="20" s="1"/>
  <c r="CG6" i="20" s="1"/>
  <c r="CH6" i="20" s="1"/>
  <c r="CI6" i="20" s="1"/>
  <c r="CJ6" i="20" s="1"/>
  <c r="CK6" i="20" s="1"/>
  <c r="CL6" i="20" s="1"/>
  <c r="CM6" i="20" s="1"/>
  <c r="CN6" i="20" s="1"/>
  <c r="CO6" i="20" s="1"/>
  <c r="CP6" i="20" s="1"/>
  <c r="CQ6" i="20" s="1"/>
  <c r="CR6" i="20" s="1"/>
  <c r="CS6" i="20" s="1"/>
  <c r="CT6" i="20" s="1"/>
  <c r="CU6" i="20" s="1"/>
  <c r="CV6" i="20" s="1"/>
  <c r="CW6" i="20" s="1"/>
  <c r="CX6" i="20" s="1"/>
  <c r="CY6" i="20" s="1"/>
  <c r="CZ6" i="20" s="1"/>
  <c r="DA6" i="20" s="1"/>
  <c r="DB6" i="20" s="1"/>
  <c r="DC6" i="20" s="1"/>
  <c r="DD6" i="20" s="1"/>
  <c r="DE6" i="20" s="1"/>
  <c r="DF6" i="20" s="1"/>
  <c r="DG6" i="20" s="1"/>
  <c r="DH6" i="20" s="1"/>
  <c r="DI6" i="20" s="1"/>
  <c r="DJ6" i="20" s="1"/>
  <c r="DK6" i="20" s="1"/>
  <c r="DL6" i="20" s="1"/>
  <c r="DM6" i="20" s="1"/>
  <c r="DN6" i="20" s="1"/>
  <c r="DO6" i="20" s="1"/>
  <c r="DP6" i="20" s="1"/>
  <c r="B5" i="20"/>
  <c r="C5" i="20" s="1"/>
  <c r="D5" i="20" s="1"/>
  <c r="E5" i="20" s="1"/>
  <c r="F5" i="20" s="1"/>
  <c r="G5" i="20" s="1"/>
  <c r="H5" i="20" s="1"/>
  <c r="I5" i="20" s="1"/>
  <c r="J5" i="20" s="1"/>
  <c r="K5" i="20" s="1"/>
  <c r="L5" i="20" s="1"/>
  <c r="M5" i="20" s="1"/>
  <c r="N5" i="20" s="1"/>
  <c r="O5" i="20" s="1"/>
  <c r="P5" i="20" s="1"/>
  <c r="Q5" i="20" s="1"/>
  <c r="R5" i="20" s="1"/>
  <c r="S5" i="20" s="1"/>
  <c r="T5" i="20" s="1"/>
  <c r="U5" i="20" s="1"/>
  <c r="V5" i="20" s="1"/>
  <c r="W5" i="20" s="1"/>
  <c r="X5" i="20" s="1"/>
  <c r="Y5" i="20" s="1"/>
  <c r="Z5" i="20" s="1"/>
  <c r="AA5" i="20" s="1"/>
  <c r="AB5" i="20" s="1"/>
  <c r="AC5" i="20" s="1"/>
  <c r="AD5" i="20" s="1"/>
  <c r="AE5" i="20" s="1"/>
  <c r="AF5" i="20" s="1"/>
  <c r="AG5" i="20" s="1"/>
  <c r="AH5" i="20" s="1"/>
  <c r="AI5" i="20" s="1"/>
  <c r="AJ5" i="20" s="1"/>
  <c r="AK5" i="20" s="1"/>
  <c r="AL5" i="20" s="1"/>
  <c r="AM5" i="20" s="1"/>
  <c r="AN5" i="20" s="1"/>
  <c r="AO5" i="20" s="1"/>
  <c r="AP5" i="20" s="1"/>
  <c r="AQ5" i="20" s="1"/>
  <c r="AR5" i="20" s="1"/>
  <c r="AS5" i="20" s="1"/>
  <c r="AT5" i="20" s="1"/>
  <c r="AU5" i="20" s="1"/>
  <c r="AV5" i="20" s="1"/>
  <c r="AW5" i="20" s="1"/>
  <c r="AX5" i="20" s="1"/>
  <c r="AY5" i="20" s="1"/>
  <c r="AZ5" i="20" s="1"/>
  <c r="BA5" i="20" s="1"/>
  <c r="BB5" i="20" s="1"/>
  <c r="BC5" i="20" s="1"/>
  <c r="BD5" i="20" s="1"/>
  <c r="BE5" i="20" s="1"/>
  <c r="BF5" i="20" s="1"/>
  <c r="BG5" i="20" s="1"/>
  <c r="BH5" i="20" s="1"/>
  <c r="BI5" i="20" s="1"/>
  <c r="BJ5" i="20" s="1"/>
  <c r="BK5" i="20" s="1"/>
  <c r="BL5" i="20" s="1"/>
  <c r="BM5" i="20" s="1"/>
  <c r="BN5" i="20" s="1"/>
  <c r="BO5" i="20" s="1"/>
  <c r="BP5" i="20" s="1"/>
  <c r="BQ5" i="20" s="1"/>
  <c r="BR5" i="20" s="1"/>
  <c r="BS5" i="20" s="1"/>
  <c r="BT5" i="20" s="1"/>
  <c r="BU5" i="20" s="1"/>
  <c r="BV5" i="20" s="1"/>
  <c r="BW5" i="20" s="1"/>
  <c r="BX5" i="20" s="1"/>
  <c r="BY5" i="20" s="1"/>
  <c r="BZ5" i="20" s="1"/>
  <c r="CA5" i="20" s="1"/>
  <c r="CB5" i="20" s="1"/>
  <c r="CC5" i="20" s="1"/>
  <c r="CD5" i="20" s="1"/>
  <c r="CE5" i="20" s="1"/>
  <c r="CF5" i="20" s="1"/>
  <c r="CG5" i="20" s="1"/>
  <c r="CH5" i="20" s="1"/>
  <c r="CI5" i="20" s="1"/>
  <c r="CJ5" i="20" s="1"/>
  <c r="CK5" i="20" s="1"/>
  <c r="CL5" i="20" s="1"/>
  <c r="CM5" i="20" s="1"/>
  <c r="CN5" i="20" s="1"/>
  <c r="CO5" i="20" s="1"/>
  <c r="CP5" i="20" s="1"/>
  <c r="CQ5" i="20" s="1"/>
  <c r="CR5" i="20" s="1"/>
  <c r="CS5" i="20" s="1"/>
  <c r="CT5" i="20" s="1"/>
  <c r="CU5" i="20" s="1"/>
  <c r="CV5" i="20" s="1"/>
  <c r="CW5" i="20" s="1"/>
  <c r="CX5" i="20" s="1"/>
  <c r="CY5" i="20" s="1"/>
  <c r="CZ5" i="20" s="1"/>
  <c r="DA5" i="20" s="1"/>
  <c r="DB5" i="20" s="1"/>
  <c r="DC5" i="20" s="1"/>
  <c r="DD5" i="20" s="1"/>
  <c r="DE5" i="20" s="1"/>
  <c r="DF5" i="20" s="1"/>
  <c r="DG5" i="20" s="1"/>
  <c r="DH5" i="20" s="1"/>
  <c r="DI5" i="20" s="1"/>
  <c r="DJ5" i="20" s="1"/>
  <c r="DK5" i="20" s="1"/>
  <c r="DL5" i="20" s="1"/>
  <c r="DM5" i="20" s="1"/>
  <c r="DN5" i="20" s="1"/>
  <c r="DO5" i="20" s="1"/>
  <c r="DP5" i="20" s="1"/>
  <c r="B4" i="20"/>
  <c r="C4" i="20" s="1"/>
  <c r="D4" i="20" s="1"/>
  <c r="E4" i="20" s="1"/>
  <c r="F4" i="20" s="1"/>
  <c r="G4" i="20" s="1"/>
  <c r="H4" i="20" s="1"/>
  <c r="I4" i="20" s="1"/>
  <c r="J4" i="20" s="1"/>
  <c r="K4" i="20" s="1"/>
  <c r="L4" i="20" s="1"/>
  <c r="M4" i="20" s="1"/>
  <c r="N4" i="20" s="1"/>
  <c r="O4" i="20" s="1"/>
  <c r="P4" i="20" s="1"/>
  <c r="Q4" i="20" s="1"/>
  <c r="R4" i="20" s="1"/>
  <c r="S4" i="20" s="1"/>
  <c r="T4" i="20" s="1"/>
  <c r="U4" i="20" s="1"/>
  <c r="V4" i="20" s="1"/>
  <c r="W4" i="20" s="1"/>
  <c r="X4" i="20" s="1"/>
  <c r="Y4" i="20" s="1"/>
  <c r="Z4" i="20" s="1"/>
  <c r="AA4" i="20" s="1"/>
  <c r="AB4" i="20" s="1"/>
  <c r="AC4" i="20" s="1"/>
  <c r="AD4" i="20" s="1"/>
  <c r="AE4" i="20" s="1"/>
  <c r="AF4" i="20" s="1"/>
  <c r="AG4" i="20" s="1"/>
  <c r="AH4" i="20" s="1"/>
  <c r="AI4" i="20" s="1"/>
  <c r="AJ4" i="20" s="1"/>
  <c r="AK4" i="20" s="1"/>
  <c r="AL4" i="20" s="1"/>
  <c r="AM4" i="20" s="1"/>
  <c r="AN4" i="20" s="1"/>
  <c r="AO4" i="20" s="1"/>
  <c r="AP4" i="20" s="1"/>
  <c r="AQ4" i="20" s="1"/>
  <c r="AR4" i="20" s="1"/>
  <c r="AS4" i="20" s="1"/>
  <c r="AT4" i="20" s="1"/>
  <c r="AU4" i="20" s="1"/>
  <c r="AV4" i="20" s="1"/>
  <c r="AW4" i="20" s="1"/>
  <c r="AX4" i="20" s="1"/>
  <c r="AY4" i="20" s="1"/>
  <c r="AZ4" i="20" s="1"/>
  <c r="BA4" i="20" s="1"/>
  <c r="BB4" i="20" s="1"/>
  <c r="BC4" i="20" s="1"/>
  <c r="BD4" i="20" s="1"/>
  <c r="BE4" i="20" s="1"/>
  <c r="BF4" i="20" s="1"/>
  <c r="BG4" i="20" s="1"/>
  <c r="BH4" i="20" s="1"/>
  <c r="BI4" i="20" s="1"/>
  <c r="BJ4" i="20" s="1"/>
  <c r="BK4" i="20" s="1"/>
  <c r="BL4" i="20" s="1"/>
  <c r="BM4" i="20" s="1"/>
  <c r="BN4" i="20" s="1"/>
  <c r="BO4" i="20" s="1"/>
  <c r="BP4" i="20" s="1"/>
  <c r="BQ4" i="20" s="1"/>
  <c r="BR4" i="20" s="1"/>
  <c r="BS4" i="20" s="1"/>
  <c r="BT4" i="20" s="1"/>
  <c r="BU4" i="20" s="1"/>
  <c r="BV4" i="20" s="1"/>
  <c r="BW4" i="20" s="1"/>
  <c r="BX4" i="20" s="1"/>
  <c r="BY4" i="20" s="1"/>
  <c r="BZ4" i="20" s="1"/>
  <c r="CA4" i="20" s="1"/>
  <c r="CB4" i="20" s="1"/>
  <c r="CC4" i="20" s="1"/>
  <c r="CD4" i="20" s="1"/>
  <c r="CE4" i="20" s="1"/>
  <c r="CF4" i="20" s="1"/>
  <c r="CG4" i="20" s="1"/>
  <c r="CH4" i="20" s="1"/>
  <c r="CI4" i="20" s="1"/>
  <c r="CJ4" i="20" s="1"/>
  <c r="CK4" i="20" s="1"/>
  <c r="CL4" i="20" s="1"/>
  <c r="CM4" i="20" s="1"/>
  <c r="CN4" i="20" s="1"/>
  <c r="CO4" i="20" s="1"/>
  <c r="CP4" i="20" s="1"/>
  <c r="CQ4" i="20" s="1"/>
  <c r="CR4" i="20" s="1"/>
  <c r="CS4" i="20" s="1"/>
  <c r="CT4" i="20" s="1"/>
  <c r="CU4" i="20" s="1"/>
  <c r="CV4" i="20" s="1"/>
  <c r="CW4" i="20" s="1"/>
  <c r="CX4" i="20" s="1"/>
  <c r="CY4" i="20" s="1"/>
  <c r="CZ4" i="20" s="1"/>
  <c r="DA4" i="20" s="1"/>
  <c r="DB4" i="20" s="1"/>
  <c r="DC4" i="20" s="1"/>
  <c r="DD4" i="20" s="1"/>
  <c r="DE4" i="20" s="1"/>
  <c r="DF4" i="20" s="1"/>
  <c r="DG4" i="20" s="1"/>
  <c r="DH4" i="20" s="1"/>
  <c r="DI4" i="20" s="1"/>
  <c r="DJ4" i="20" s="1"/>
  <c r="DK4" i="20" s="1"/>
  <c r="DL4" i="20" s="1"/>
  <c r="DM4" i="20" s="1"/>
  <c r="DN4" i="20" s="1"/>
  <c r="DO4" i="20" s="1"/>
  <c r="DP4" i="20" s="1"/>
  <c r="BZ2" i="20"/>
  <c r="H30" i="13"/>
  <c r="I353" i="21" s="1"/>
  <c r="S54" i="4"/>
  <c r="AH14" i="19"/>
  <c r="AG14" i="19"/>
  <c r="AG13" i="19"/>
  <c r="AH13" i="19" s="1"/>
  <c r="H45" i="3"/>
  <c r="D45" i="3"/>
  <c r="D14" i="3"/>
  <c r="AC75" i="3"/>
  <c r="K45" i="3"/>
  <c r="H44" i="3"/>
  <c r="F45" i="3"/>
  <c r="F43" i="3" s="1"/>
  <c r="AC66" i="3"/>
  <c r="H46" i="13"/>
  <c r="H44" i="13"/>
  <c r="H42" i="13"/>
  <c r="H40" i="13"/>
  <c r="H38" i="13"/>
  <c r="A10" i="8"/>
  <c r="AC66" i="7"/>
  <c r="S69" i="7" s="1"/>
  <c r="A32" i="7"/>
  <c r="V9" i="3"/>
  <c r="V8" i="3"/>
  <c r="AA14" i="3"/>
  <c r="AA13" i="3"/>
  <c r="AM134" i="19"/>
  <c r="L33" i="19"/>
  <c r="J123" i="21" s="1"/>
  <c r="N34" i="19"/>
  <c r="I124" i="21" s="1"/>
  <c r="L34" i="19"/>
  <c r="J124" i="21" s="1"/>
  <c r="N33" i="19"/>
  <c r="I123" i="21" s="1"/>
  <c r="L32" i="19"/>
  <c r="J122" i="21" s="1"/>
  <c r="N32" i="19"/>
  <c r="I122" i="21" s="1"/>
  <c r="L22" i="4"/>
  <c r="F22" i="4"/>
  <c r="J30" i="21" s="1"/>
  <c r="E22" i="4"/>
  <c r="D53" i="13"/>
  <c r="T42" i="13" s="1"/>
  <c r="Y19" i="7"/>
  <c r="W8" i="11" s="1"/>
  <c r="AZ23" i="19"/>
  <c r="Z107" i="19"/>
  <c r="AV107" i="19"/>
  <c r="AU107" i="19"/>
  <c r="AT107" i="19"/>
  <c r="AS107" i="19"/>
  <c r="AQ107" i="19"/>
  <c r="AP107" i="19"/>
  <c r="AO107" i="19"/>
  <c r="AN107" i="19"/>
  <c r="AM107" i="19"/>
  <c r="AL107" i="19"/>
  <c r="AK107" i="19"/>
  <c r="AJ107" i="19"/>
  <c r="AI107" i="19"/>
  <c r="AH107" i="19"/>
  <c r="AG107" i="19"/>
  <c r="AF107" i="19"/>
  <c r="AE107" i="19"/>
  <c r="BB28" i="19"/>
  <c r="T15" i="19" s="1"/>
  <c r="BI103" i="19"/>
  <c r="BC119" i="19"/>
  <c r="BD119" i="19"/>
  <c r="BF119" i="19"/>
  <c r="BG119" i="19"/>
  <c r="BH119" i="19"/>
  <c r="BI119" i="19"/>
  <c r="BL119" i="19"/>
  <c r="BK119" i="19" s="1"/>
  <c r="BC120" i="19"/>
  <c r="BD120" i="19"/>
  <c r="BF120" i="19"/>
  <c r="BG120" i="19"/>
  <c r="BH120" i="19"/>
  <c r="BI120" i="19"/>
  <c r="BL120" i="19"/>
  <c r="BK120" i="19" s="1"/>
  <c r="BC121" i="19"/>
  <c r="BD121" i="19"/>
  <c r="BF121" i="19"/>
  <c r="BG121" i="19"/>
  <c r="BH121" i="19"/>
  <c r="BI121" i="19"/>
  <c r="BL121" i="19"/>
  <c r="BK121" i="19" s="1"/>
  <c r="H31" i="1"/>
  <c r="B3" i="11" s="1"/>
  <c r="G31" i="1"/>
  <c r="B3" i="2" s="1"/>
  <c r="B3" i="3" s="1"/>
  <c r="I27" i="1"/>
  <c r="I26" i="1"/>
  <c r="I31" i="1" s="1"/>
  <c r="U16" i="13"/>
  <c r="S13" i="13"/>
  <c r="H48" i="13"/>
  <c r="H32" i="13"/>
  <c r="I354" i="21" s="1"/>
  <c r="H22" i="13"/>
  <c r="H345" i="21" s="1"/>
  <c r="H26" i="13"/>
  <c r="H18" i="13"/>
  <c r="H341" i="21" s="1"/>
  <c r="I347" i="21"/>
  <c r="D12" i="12"/>
  <c r="G92" i="21" l="1"/>
  <c r="G97" i="21" s="1"/>
  <c r="H351" i="21"/>
  <c r="H347" i="21"/>
  <c r="H343" i="21"/>
  <c r="E4" i="21"/>
  <c r="E5" i="21"/>
  <c r="AW9" i="10"/>
  <c r="F4" i="21"/>
  <c r="F55" i="7"/>
  <c r="I356" i="21"/>
  <c r="Q31" i="10"/>
  <c r="BA6" i="10" s="1"/>
  <c r="J165" i="21" s="1"/>
  <c r="Q27" i="10"/>
  <c r="BA2" i="10" s="1"/>
  <c r="J161" i="21" s="1"/>
  <c r="Q29" i="10"/>
  <c r="BA4" i="10" s="1"/>
  <c r="J163" i="21" s="1"/>
  <c r="Q36" i="10"/>
  <c r="BA11" i="10" s="1"/>
  <c r="J170" i="21" s="1"/>
  <c r="AX2" i="10"/>
  <c r="C40" i="1"/>
  <c r="E40" i="1" s="1"/>
  <c r="H41" i="13"/>
  <c r="I357" i="21" s="1"/>
  <c r="F29" i="2"/>
  <c r="J15" i="21" s="1"/>
  <c r="A132" i="20"/>
  <c r="B27" i="6"/>
  <c r="E27" i="6"/>
  <c r="T45" i="6" s="1"/>
  <c r="G259" i="21"/>
  <c r="G260" i="21" s="1"/>
  <c r="I36" i="21"/>
  <c r="S41" i="5"/>
  <c r="S38" i="5"/>
  <c r="S37" i="5"/>
  <c r="H352" i="21"/>
  <c r="H350" i="21"/>
  <c r="H348" i="21"/>
  <c r="H346" i="21"/>
  <c r="G346" i="21" s="1"/>
  <c r="I349" i="21"/>
  <c r="I345" i="21"/>
  <c r="H43" i="13"/>
  <c r="I358" i="21" s="1"/>
  <c r="H81" i="21"/>
  <c r="I341" i="21"/>
  <c r="H344" i="21"/>
  <c r="G344" i="21" s="1"/>
  <c r="H342" i="21"/>
  <c r="F39" i="13"/>
  <c r="J356" i="21" s="1"/>
  <c r="S16" i="13"/>
  <c r="S15" i="13"/>
  <c r="T14" i="13"/>
  <c r="Q35" i="10"/>
  <c r="BA10" i="10" s="1"/>
  <c r="J169" i="21" s="1"/>
  <c r="AZ9" i="10"/>
  <c r="AZ5" i="10"/>
  <c r="Q34" i="10"/>
  <c r="BA9" i="10" s="1"/>
  <c r="J168" i="21" s="1"/>
  <c r="Q30" i="10"/>
  <c r="BA5" i="10" s="1"/>
  <c r="J164" i="21" s="1"/>
  <c r="AZ2" i="10"/>
  <c r="H161" i="21" s="1"/>
  <c r="AZ4" i="10"/>
  <c r="Q33" i="10"/>
  <c r="BA8" i="10" s="1"/>
  <c r="J167" i="21" s="1"/>
  <c r="Q32" i="10"/>
  <c r="BA7" i="10" s="1"/>
  <c r="J166" i="21" s="1"/>
  <c r="AZ11" i="10"/>
  <c r="AZ7" i="10"/>
  <c r="AZ3" i="10"/>
  <c r="AZ6" i="10"/>
  <c r="Q28" i="10"/>
  <c r="BA3" i="10" s="1"/>
  <c r="J162" i="21" s="1"/>
  <c r="AZ10" i="10"/>
  <c r="AZ8" i="10"/>
  <c r="X3" i="10"/>
  <c r="Y3" i="10" s="1"/>
  <c r="U57" i="6"/>
  <c r="S58" i="6" s="1"/>
  <c r="H49" i="21" s="1"/>
  <c r="H49" i="13"/>
  <c r="F49" i="13" s="1"/>
  <c r="J361" i="21" s="1"/>
  <c r="H47" i="13"/>
  <c r="F47" i="13" s="1"/>
  <c r="J360" i="21" s="1"/>
  <c r="H45" i="13"/>
  <c r="I359" i="21" s="1"/>
  <c r="F41" i="13"/>
  <c r="J357" i="21" s="1"/>
  <c r="T15" i="13"/>
  <c r="T16" i="13"/>
  <c r="I30" i="21"/>
  <c r="I15" i="21"/>
  <c r="S73" i="7"/>
  <c r="S74" i="7"/>
  <c r="S71" i="7"/>
  <c r="S72" i="7"/>
  <c r="S70" i="7"/>
  <c r="S66" i="7"/>
  <c r="AC67" i="7"/>
  <c r="S67" i="7"/>
  <c r="S68" i="7"/>
  <c r="D18" i="11"/>
  <c r="F27" i="2"/>
  <c r="C18" i="11"/>
  <c r="B3" i="4"/>
  <c r="F18" i="4"/>
  <c r="J28" i="21" s="1"/>
  <c r="F8" i="2"/>
  <c r="J3" i="21" s="1"/>
  <c r="BS29" i="17"/>
  <c r="S14" i="13"/>
  <c r="E49" i="3"/>
  <c r="E47" i="3"/>
  <c r="E48" i="3"/>
  <c r="B4" i="19"/>
  <c r="AB13" i="19"/>
  <c r="AB9" i="19"/>
  <c r="T37" i="12"/>
  <c r="T36" i="12"/>
  <c r="T35" i="12"/>
  <c r="X106" i="7"/>
  <c r="I49" i="7"/>
  <c r="X120" i="7"/>
  <c r="X119" i="7"/>
  <c r="X118" i="7"/>
  <c r="X121" i="7"/>
  <c r="X117" i="7"/>
  <c r="X113" i="7"/>
  <c r="X109" i="7"/>
  <c r="X104" i="7"/>
  <c r="E52" i="7"/>
  <c r="F51" i="7"/>
  <c r="J78" i="21" s="1"/>
  <c r="D50" i="7"/>
  <c r="F48" i="7"/>
  <c r="J75" i="21" s="1"/>
  <c r="X116" i="7"/>
  <c r="X115" i="7"/>
  <c r="X114" i="7"/>
  <c r="X112" i="7"/>
  <c r="X111" i="7"/>
  <c r="X110" i="7"/>
  <c r="K15" i="2"/>
  <c r="K16" i="2"/>
  <c r="H15" i="2"/>
  <c r="I6" i="21" s="1"/>
  <c r="E15" i="2"/>
  <c r="B15" i="2"/>
  <c r="H17" i="2"/>
  <c r="I8" i="21" s="1"/>
  <c r="E16" i="2"/>
  <c r="B16" i="2"/>
  <c r="AB48" i="2"/>
  <c r="AB46" i="2"/>
  <c r="U48" i="2"/>
  <c r="F16" i="2" s="1"/>
  <c r="J7" i="21" s="1"/>
  <c r="T48" i="2"/>
  <c r="H16" i="2" s="1"/>
  <c r="I7" i="21" s="1"/>
  <c r="W28" i="11"/>
  <c r="W27" i="11"/>
  <c r="V33" i="10"/>
  <c r="U33" i="10"/>
  <c r="B86" i="16"/>
  <c r="B88" i="16"/>
  <c r="C28" i="11"/>
  <c r="H254" i="21"/>
  <c r="G254" i="21" s="1"/>
  <c r="H85" i="16"/>
  <c r="I254" i="21" s="1"/>
  <c r="H75" i="16"/>
  <c r="I250" i="21" s="1"/>
  <c r="F75" i="16"/>
  <c r="J250" i="21" s="1"/>
  <c r="D74" i="16"/>
  <c r="H73" i="16"/>
  <c r="I248" i="21" s="1"/>
  <c r="K73" i="16"/>
  <c r="F73" i="16"/>
  <c r="J248" i="21" s="1"/>
  <c r="E126" i="16"/>
  <c r="E125" i="16"/>
  <c r="E124" i="16"/>
  <c r="E123" i="16"/>
  <c r="E84" i="16"/>
  <c r="F84" i="16" s="1"/>
  <c r="J253" i="21" s="1"/>
  <c r="E83" i="16"/>
  <c r="H83" i="16" s="1"/>
  <c r="I252" i="21" s="1"/>
  <c r="E82" i="16"/>
  <c r="H82" i="16" s="1"/>
  <c r="I251" i="21" s="1"/>
  <c r="E74" i="16"/>
  <c r="E72" i="16"/>
  <c r="E66" i="16"/>
  <c r="F66" i="16" s="1"/>
  <c r="J246" i="21" s="1"/>
  <c r="F72" i="16"/>
  <c r="J247" i="21" s="1"/>
  <c r="H72" i="16"/>
  <c r="I247" i="21" s="1"/>
  <c r="K74" i="16"/>
  <c r="H74" i="16"/>
  <c r="I249" i="21" s="1"/>
  <c r="F74" i="16"/>
  <c r="J249" i="21" s="1"/>
  <c r="D73" i="16"/>
  <c r="S17" i="16"/>
  <c r="H29" i="16"/>
  <c r="I224" i="21" s="1"/>
  <c r="H28" i="16"/>
  <c r="I223" i="21" s="1"/>
  <c r="H27" i="16"/>
  <c r="H26" i="16"/>
  <c r="I221" i="21" s="1"/>
  <c r="H25" i="16"/>
  <c r="I220" i="21" s="1"/>
  <c r="H24" i="16"/>
  <c r="I219" i="21" s="1"/>
  <c r="H23" i="16"/>
  <c r="I218" i="21" s="1"/>
  <c r="H22" i="16"/>
  <c r="I217" i="21" s="1"/>
  <c r="H21" i="16"/>
  <c r="H20" i="16"/>
  <c r="I215" i="21" s="1"/>
  <c r="H19" i="16"/>
  <c r="I214" i="21" s="1"/>
  <c r="H18" i="16"/>
  <c r="I213" i="21" s="1"/>
  <c r="E13" i="16"/>
  <c r="E12" i="16"/>
  <c r="H13" i="16"/>
  <c r="I212" i="21" s="1"/>
  <c r="H12" i="16"/>
  <c r="I211" i="21" s="1"/>
  <c r="E11" i="16"/>
  <c r="H11" i="16"/>
  <c r="I210" i="21" s="1"/>
  <c r="E10" i="16"/>
  <c r="H10" i="16"/>
  <c r="I209" i="21" s="1"/>
  <c r="H126" i="16"/>
  <c r="H125" i="16"/>
  <c r="H124" i="16"/>
  <c r="H123" i="16"/>
  <c r="H118" i="16"/>
  <c r="H117" i="16"/>
  <c r="H111" i="16"/>
  <c r="I281" i="21" s="1"/>
  <c r="H112" i="16"/>
  <c r="I282" i="21" s="1"/>
  <c r="T108" i="16"/>
  <c r="N21" i="1" s="1"/>
  <c r="T98" i="16"/>
  <c r="O21" i="1" s="1"/>
  <c r="A97" i="16"/>
  <c r="W41" i="8"/>
  <c r="L21" i="1" s="1"/>
  <c r="H109" i="16"/>
  <c r="I280" i="21" s="1"/>
  <c r="H108" i="16"/>
  <c r="I279" i="21" s="1"/>
  <c r="H105" i="16"/>
  <c r="H104" i="16"/>
  <c r="H103" i="16"/>
  <c r="H102" i="16"/>
  <c r="H101" i="16"/>
  <c r="K5" i="19"/>
  <c r="U3" i="6"/>
  <c r="U4" i="6"/>
  <c r="B1" i="2"/>
  <c r="F7" i="1"/>
  <c r="F6" i="1"/>
  <c r="F5" i="1"/>
  <c r="W33" i="11" s="1"/>
  <c r="R19" i="11" s="1"/>
  <c r="H97" i="16"/>
  <c r="I269" i="21" s="1"/>
  <c r="H93" i="16"/>
  <c r="I266" i="21" s="1"/>
  <c r="H94" i="16"/>
  <c r="I267" i="21" s="1"/>
  <c r="H92" i="16"/>
  <c r="I265" i="21" s="1"/>
  <c r="H91" i="16"/>
  <c r="I264" i="21" s="1"/>
  <c r="X8" i="8"/>
  <c r="K16" i="8"/>
  <c r="F28" i="8"/>
  <c r="J96" i="21" s="1"/>
  <c r="F13" i="7"/>
  <c r="F9" i="7"/>
  <c r="D9" i="7"/>
  <c r="D13" i="7"/>
  <c r="Y14" i="7"/>
  <c r="CC1" i="17"/>
  <c r="AG1" i="17"/>
  <c r="A1" i="17"/>
  <c r="BU46" i="17"/>
  <c r="T31" i="19"/>
  <c r="T30" i="19"/>
  <c r="T29" i="19"/>
  <c r="T28" i="19"/>
  <c r="T27" i="19"/>
  <c r="T26" i="19"/>
  <c r="T25" i="19"/>
  <c r="T24" i="19"/>
  <c r="T23" i="19"/>
  <c r="T22" i="19"/>
  <c r="T21" i="19"/>
  <c r="T20" i="19"/>
  <c r="T19" i="19"/>
  <c r="T18" i="19"/>
  <c r="T17" i="19"/>
  <c r="V2" i="11"/>
  <c r="T52" i="2"/>
  <c r="H36" i="2" s="1"/>
  <c r="I16" i="21" s="1"/>
  <c r="AB11" i="19"/>
  <c r="AB10" i="19"/>
  <c r="V35" i="3"/>
  <c r="G99" i="21" l="1"/>
  <c r="I222" i="21"/>
  <c r="D27" i="16"/>
  <c r="E6" i="21"/>
  <c r="F5" i="21"/>
  <c r="AX3" i="10"/>
  <c r="AW10" i="10"/>
  <c r="J81" i="21"/>
  <c r="X17" i="2"/>
  <c r="Y4" i="10"/>
  <c r="Y5" i="10" s="1"/>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3" i="10" s="1"/>
  <c r="Y44" i="10" s="1"/>
  <c r="Y45" i="10" s="1"/>
  <c r="Y46" i="10" s="1"/>
  <c r="Y47" i="10" s="1"/>
  <c r="Y48" i="10" s="1"/>
  <c r="Y49" i="10" s="1"/>
  <c r="Y50" i="10" s="1"/>
  <c r="Y51" i="10" s="1"/>
  <c r="Y52" i="10" s="1"/>
  <c r="Y53" i="10" s="1"/>
  <c r="Y54" i="10" s="1"/>
  <c r="Y55" i="10" s="1"/>
  <c r="Y56" i="10" s="1"/>
  <c r="Y57" i="10" s="1"/>
  <c r="Y58" i="10" s="1"/>
  <c r="Y59" i="10" s="1"/>
  <c r="Y60" i="10" s="1"/>
  <c r="Y61" i="10" s="1"/>
  <c r="Y62" i="10" s="1"/>
  <c r="Y63" i="10" s="1"/>
  <c r="Y64" i="10" s="1"/>
  <c r="Y65" i="10" s="1"/>
  <c r="Y66" i="10" s="1"/>
  <c r="Y67" i="10" s="1"/>
  <c r="Y68" i="10" s="1"/>
  <c r="Y69" i="10" s="1"/>
  <c r="Y70" i="10" s="1"/>
  <c r="Y71" i="10" s="1"/>
  <c r="Y72" i="10" s="1"/>
  <c r="Y73" i="10" s="1"/>
  <c r="Y74" i="10" s="1"/>
  <c r="Y75" i="10" s="1"/>
  <c r="Y76" i="10" s="1"/>
  <c r="Y77" i="10" s="1"/>
  <c r="Y78" i="10" s="1"/>
  <c r="Y79" i="10" s="1"/>
  <c r="Y80" i="10" s="1"/>
  <c r="Y81" i="10" s="1"/>
  <c r="Y82" i="10" s="1"/>
  <c r="Y83" i="10" s="1"/>
  <c r="Y84" i="10" s="1"/>
  <c r="Y85" i="10" s="1"/>
  <c r="Y86" i="10" s="1"/>
  <c r="Y87" i="10" s="1"/>
  <c r="Y88" i="10" s="1"/>
  <c r="Y89" i="10" s="1"/>
  <c r="Y90" i="10" s="1"/>
  <c r="Y91" i="10" s="1"/>
  <c r="Y92" i="10" s="1"/>
  <c r="Y93" i="10" s="1"/>
  <c r="Y94" i="10" s="1"/>
  <c r="Y95" i="10" s="1"/>
  <c r="Y96" i="10" s="1"/>
  <c r="Y97" i="10" s="1"/>
  <c r="Y98" i="10" s="1"/>
  <c r="Y99" i="10" s="1"/>
  <c r="Y100" i="10" s="1"/>
  <c r="Y101" i="10" s="1"/>
  <c r="Y102" i="10" s="1"/>
  <c r="Y103" i="10" s="1"/>
  <c r="Y104" i="10" s="1"/>
  <c r="Y105" i="10" s="1"/>
  <c r="Y106" i="10" s="1"/>
  <c r="Y107" i="10" s="1"/>
  <c r="Y108" i="10" s="1"/>
  <c r="Y109" i="10" s="1"/>
  <c r="Y110" i="10" s="1"/>
  <c r="Y111" i="10" s="1"/>
  <c r="Y112" i="10" s="1"/>
  <c r="Y113" i="10" s="1"/>
  <c r="Y114" i="10" s="1"/>
  <c r="Y115" i="10" s="1"/>
  <c r="Y116" i="10" s="1"/>
  <c r="Y117" i="10" s="1"/>
  <c r="Y118" i="10" s="1"/>
  <c r="Y119" i="10" s="1"/>
  <c r="Y120" i="10" s="1"/>
  <c r="Y121" i="10" s="1"/>
  <c r="Y122" i="10" s="1"/>
  <c r="Y123" i="10" s="1"/>
  <c r="Y124" i="10" s="1"/>
  <c r="Y125" i="10" s="1"/>
  <c r="Y126" i="10" s="1"/>
  <c r="Y127" i="10" s="1"/>
  <c r="Y128" i="10" s="1"/>
  <c r="Y129" i="10" s="1"/>
  <c r="Y130" i="10" s="1"/>
  <c r="Y131" i="10" s="1"/>
  <c r="Y132" i="10" s="1"/>
  <c r="Y133" i="10" s="1"/>
  <c r="Y134" i="10" s="1"/>
  <c r="Y135" i="10" s="1"/>
  <c r="Y136" i="10" s="1"/>
  <c r="Y137" i="10" s="1"/>
  <c r="Y138" i="10" s="1"/>
  <c r="Y139" i="10" s="1"/>
  <c r="Y140" i="10" s="1"/>
  <c r="Y141" i="10" s="1"/>
  <c r="Y142" i="10" s="1"/>
  <c r="Y143" i="10" s="1"/>
  <c r="Y144" i="10" s="1"/>
  <c r="Y145" i="10" s="1"/>
  <c r="Y146" i="10" s="1"/>
  <c r="Y147" i="10" s="1"/>
  <c r="Y148" i="10" s="1"/>
  <c r="Y149" i="10" s="1"/>
  <c r="Y150" i="10" s="1"/>
  <c r="Y151" i="10" s="1"/>
  <c r="Y152" i="10" s="1"/>
  <c r="Y153" i="10" s="1"/>
  <c r="Y154" i="10" s="1"/>
  <c r="Y155" i="10" s="1"/>
  <c r="Y156" i="10" s="1"/>
  <c r="Y157" i="10" s="1"/>
  <c r="Y158" i="10" s="1"/>
  <c r="Y159" i="10" s="1"/>
  <c r="Y160" i="10" s="1"/>
  <c r="Y161" i="10" s="1"/>
  <c r="Y162" i="10" s="1"/>
  <c r="Y163" i="10" s="1"/>
  <c r="Y164" i="10" s="1"/>
  <c r="Y165" i="10" s="1"/>
  <c r="Y166" i="10" s="1"/>
  <c r="Y167" i="10" s="1"/>
  <c r="Y168" i="10" s="1"/>
  <c r="Y169" i="10" s="1"/>
  <c r="Y170" i="10" s="1"/>
  <c r="Y171" i="10" s="1"/>
  <c r="Y172" i="10" s="1"/>
  <c r="Y173" i="10" s="1"/>
  <c r="Y174" i="10" s="1"/>
  <c r="Y175" i="10" s="1"/>
  <c r="Y176" i="10" s="1"/>
  <c r="Y177" i="10" s="1"/>
  <c r="Y178" i="10" s="1"/>
  <c r="Y179" i="10" s="1"/>
  <c r="Y180" i="10" s="1"/>
  <c r="Y181" i="10" s="1"/>
  <c r="Y182" i="10" s="1"/>
  <c r="Y183" i="10" s="1"/>
  <c r="Y184" i="10" s="1"/>
  <c r="Y185" i="10" s="1"/>
  <c r="Y186" i="10" s="1"/>
  <c r="Y187" i="10" s="1"/>
  <c r="Y188" i="10" s="1"/>
  <c r="Y189" i="10" s="1"/>
  <c r="Y190" i="10" s="1"/>
  <c r="Y191" i="10" s="1"/>
  <c r="Y192" i="10" s="1"/>
  <c r="Y193" i="10" s="1"/>
  <c r="Y194" i="10" s="1"/>
  <c r="Y195" i="10" s="1"/>
  <c r="Y196" i="10" s="1"/>
  <c r="Y197" i="10" s="1"/>
  <c r="Y198" i="10" s="1"/>
  <c r="Y199" i="10" s="1"/>
  <c r="Y200" i="10" s="1"/>
  <c r="Y201" i="10" s="1"/>
  <c r="Y202" i="10" s="1"/>
  <c r="Y203" i="10" s="1"/>
  <c r="Y204" i="10" s="1"/>
  <c r="Y205" i="10" s="1"/>
  <c r="Y206" i="10" s="1"/>
  <c r="Y207" i="10" s="1"/>
  <c r="Y208" i="10" s="1"/>
  <c r="Y209" i="10" s="1"/>
  <c r="Y210" i="10" s="1"/>
  <c r="Y211" i="10" s="1"/>
  <c r="Y212" i="10" s="1"/>
  <c r="Y213" i="10" s="1"/>
  <c r="Y214" i="10" s="1"/>
  <c r="Y215" i="10" s="1"/>
  <c r="Y216" i="10" s="1"/>
  <c r="Y217" i="10" s="1"/>
  <c r="Y218" i="10" s="1"/>
  <c r="Y219" i="10" s="1"/>
  <c r="Y220" i="10" s="1"/>
  <c r="Y221" i="10" s="1"/>
  <c r="Y222" i="10" s="1"/>
  <c r="Y223" i="10" s="1"/>
  <c r="Y224" i="10" s="1"/>
  <c r="Y225" i="10" s="1"/>
  <c r="Y226" i="10" s="1"/>
  <c r="Y227" i="10" s="1"/>
  <c r="Y228" i="10" s="1"/>
  <c r="Y229" i="10" s="1"/>
  <c r="Y230" i="10" s="1"/>
  <c r="Y231" i="10" s="1"/>
  <c r="Y232" i="10" s="1"/>
  <c r="Y233" i="10" s="1"/>
  <c r="Y234" i="10" s="1"/>
  <c r="Y235" i="10" s="1"/>
  <c r="Y236" i="10" s="1"/>
  <c r="Y237" i="10" s="1"/>
  <c r="Y238" i="10" s="1"/>
  <c r="Y239" i="10" s="1"/>
  <c r="Y240" i="10" s="1"/>
  <c r="Y241" i="10" s="1"/>
  <c r="Y242" i="10" s="1"/>
  <c r="Y243" i="10" s="1"/>
  <c r="Y244" i="10" s="1"/>
  <c r="Y245" i="10" s="1"/>
  <c r="Y246" i="10" s="1"/>
  <c r="Y247" i="10" s="1"/>
  <c r="Y248" i="10" s="1"/>
  <c r="Y249" i="10" s="1"/>
  <c r="Y250" i="10" s="1"/>
  <c r="Y251" i="10" s="1"/>
  <c r="Y252" i="10" s="1"/>
  <c r="Y253" i="10" s="1"/>
  <c r="Y254" i="10" s="1"/>
  <c r="Y255" i="10" s="1"/>
  <c r="Y256" i="10" s="1"/>
  <c r="Y257" i="10" s="1"/>
  <c r="Y258" i="10" s="1"/>
  <c r="Y259" i="10" s="1"/>
  <c r="Y260" i="10" s="1"/>
  <c r="Y261" i="10" s="1"/>
  <c r="Y262" i="10" s="1"/>
  <c r="Y263" i="10" s="1"/>
  <c r="Y264" i="10" s="1"/>
  <c r="Y265" i="10" s="1"/>
  <c r="Y266" i="10" s="1"/>
  <c r="Y267" i="10" s="1"/>
  <c r="Y268" i="10" s="1"/>
  <c r="Y269" i="10" s="1"/>
  <c r="Y270" i="10" s="1"/>
  <c r="Y271" i="10" s="1"/>
  <c r="Y272" i="10" s="1"/>
  <c r="Y273" i="10" s="1"/>
  <c r="Y274" i="10" s="1"/>
  <c r="Y275" i="10" s="1"/>
  <c r="Y276" i="10" s="1"/>
  <c r="Y277" i="10" s="1"/>
  <c r="Y278" i="10" s="1"/>
  <c r="Y279" i="10" s="1"/>
  <c r="Y280" i="10" s="1"/>
  <c r="Y281" i="10" s="1"/>
  <c r="Y282" i="10" s="1"/>
  <c r="Y283" i="10" s="1"/>
  <c r="Y284" i="10" s="1"/>
  <c r="Y285" i="10" s="1"/>
  <c r="Y286" i="10" s="1"/>
  <c r="Y287" i="10" s="1"/>
  <c r="Y288" i="10" s="1"/>
  <c r="Y289" i="10" s="1"/>
  <c r="Y290" i="10" s="1"/>
  <c r="Y291" i="10" s="1"/>
  <c r="Y292" i="10" s="1"/>
  <c r="Y293" i="10" s="1"/>
  <c r="Y294" i="10" s="1"/>
  <c r="Y295" i="10" s="1"/>
  <c r="Y296" i="10" s="1"/>
  <c r="Y297" i="10" s="1"/>
  <c r="Y298" i="10" s="1"/>
  <c r="Y299" i="10" s="1"/>
  <c r="Y300" i="10" s="1"/>
  <c r="Y301" i="10" s="1"/>
  <c r="Y302" i="10" s="1"/>
  <c r="Y303" i="10" s="1"/>
  <c r="Y304" i="10" s="1"/>
  <c r="Y305" i="10" s="1"/>
  <c r="Y306" i="10" s="1"/>
  <c r="Y307" i="10" s="1"/>
  <c r="Y308" i="10" s="1"/>
  <c r="Y309" i="10" s="1"/>
  <c r="Y310" i="10" s="1"/>
  <c r="Y311" i="10" s="1"/>
  <c r="Y312" i="10" s="1"/>
  <c r="Y313" i="10" s="1"/>
  <c r="Y314" i="10" s="1"/>
  <c r="Y315" i="10" s="1"/>
  <c r="Y316" i="10" s="1"/>
  <c r="Y317" i="10" s="1"/>
  <c r="Y318" i="10" s="1"/>
  <c r="Y319" i="10" s="1"/>
  <c r="Y320" i="10" s="1"/>
  <c r="Y321" i="10" s="1"/>
  <c r="Y322" i="10" s="1"/>
  <c r="Y323" i="10" s="1"/>
  <c r="Y324" i="10" s="1"/>
  <c r="Y325" i="10" s="1"/>
  <c r="Y326" i="10" s="1"/>
  <c r="Y327" i="10" s="1"/>
  <c r="Y328" i="10" s="1"/>
  <c r="Y329" i="10" s="1"/>
  <c r="Y330" i="10" s="1"/>
  <c r="Y331" i="10" s="1"/>
  <c r="Y332" i="10" s="1"/>
  <c r="Y333" i="10" s="1"/>
  <c r="Y334" i="10" s="1"/>
  <c r="Y335" i="10" s="1"/>
  <c r="Y336" i="10" s="1"/>
  <c r="Y337" i="10" s="1"/>
  <c r="Y338" i="10" s="1"/>
  <c r="Y339" i="10" s="1"/>
  <c r="Y340" i="10" s="1"/>
  <c r="Y341" i="10" s="1"/>
  <c r="Y342" i="10" s="1"/>
  <c r="Y343" i="10" s="1"/>
  <c r="Y344" i="10" s="1"/>
  <c r="Y345" i="10" s="1"/>
  <c r="Y346" i="10" s="1"/>
  <c r="Y347" i="10" s="1"/>
  <c r="Y348" i="10" s="1"/>
  <c r="Y349" i="10" s="1"/>
  <c r="Y350" i="10" s="1"/>
  <c r="Y351" i="10" s="1"/>
  <c r="Y352" i="10" s="1"/>
  <c r="Y353" i="10" s="1"/>
  <c r="Y354" i="10" s="1"/>
  <c r="Y355" i="10" s="1"/>
  <c r="Y356" i="10" s="1"/>
  <c r="Y357" i="10" s="1"/>
  <c r="Y358" i="10" s="1"/>
  <c r="Y359" i="10" s="1"/>
  <c r="Y360" i="10" s="1"/>
  <c r="Y361" i="10" s="1"/>
  <c r="Y362" i="10" s="1"/>
  <c r="Y363" i="10" s="1"/>
  <c r="Y364" i="10" s="1"/>
  <c r="Y365" i="10" s="1"/>
  <c r="Y366" i="10" s="1"/>
  <c r="Y367" i="10" s="1"/>
  <c r="Y368" i="10" s="1"/>
  <c r="Y369" i="10" s="1"/>
  <c r="Y370" i="10" s="1"/>
  <c r="Y371" i="10" s="1"/>
  <c r="Y372" i="10" s="1"/>
  <c r="Y373" i="10" s="1"/>
  <c r="Y374" i="10" s="1"/>
  <c r="Y375" i="10" s="1"/>
  <c r="Y376" i="10" s="1"/>
  <c r="Y377" i="10" s="1"/>
  <c r="Y378" i="10" s="1"/>
  <c r="Y379" i="10" s="1"/>
  <c r="Y380" i="10" s="1"/>
  <c r="Y381" i="10" s="1"/>
  <c r="Y382" i="10" s="1"/>
  <c r="Y383" i="10" s="1"/>
  <c r="Y384" i="10" s="1"/>
  <c r="Y385" i="10" s="1"/>
  <c r="Y386" i="10" s="1"/>
  <c r="Y387" i="10" s="1"/>
  <c r="Y388" i="10" s="1"/>
  <c r="Y389" i="10" s="1"/>
  <c r="Y390" i="10" s="1"/>
  <c r="Y391" i="10" s="1"/>
  <c r="Y392" i="10" s="1"/>
  <c r="Y393" i="10" s="1"/>
  <c r="Y394" i="10" s="1"/>
  <c r="Y395" i="10" s="1"/>
  <c r="Y396" i="10" s="1"/>
  <c r="Y397" i="10" s="1"/>
  <c r="Y398" i="10" s="1"/>
  <c r="Y399" i="10" s="1"/>
  <c r="Y400" i="10" s="1"/>
  <c r="Y401" i="10" s="1"/>
  <c r="Y402" i="10" s="1"/>
  <c r="Y403" i="10" s="1"/>
  <c r="Y404" i="10" s="1"/>
  <c r="Y405" i="10" s="1"/>
  <c r="Y406" i="10" s="1"/>
  <c r="Y407" i="10" s="1"/>
  <c r="Y408" i="10" s="1"/>
  <c r="Y409" i="10" s="1"/>
  <c r="Y410" i="10" s="1"/>
  <c r="Y411" i="10" s="1"/>
  <c r="Y412" i="10" s="1"/>
  <c r="Y413" i="10" s="1"/>
  <c r="Y414" i="10" s="1"/>
  <c r="Y415" i="10" s="1"/>
  <c r="Y416" i="10" s="1"/>
  <c r="Y417" i="10" s="1"/>
  <c r="Y418" i="10" s="1"/>
  <c r="Y419" i="10" s="1"/>
  <c r="Y420" i="10" s="1"/>
  <c r="Y421" i="10" s="1"/>
  <c r="Y422" i="10" s="1"/>
  <c r="Y423" i="10" s="1"/>
  <c r="Y424" i="10" s="1"/>
  <c r="Y425" i="10" s="1"/>
  <c r="Y426" i="10" s="1"/>
  <c r="Y427" i="10" s="1"/>
  <c r="D41" i="1"/>
  <c r="A40" i="1"/>
  <c r="H410" i="21" s="1"/>
  <c r="I361" i="21"/>
  <c r="I360" i="21"/>
  <c r="U14" i="13"/>
  <c r="U45" i="4"/>
  <c r="I1" i="21"/>
  <c r="D1" i="21" s="1"/>
  <c r="G261" i="21"/>
  <c r="G262" i="21" s="1"/>
  <c r="H283" i="21"/>
  <c r="G283" i="21" s="1"/>
  <c r="I283" i="21"/>
  <c r="I284" i="21"/>
  <c r="H284" i="21"/>
  <c r="G284" i="21" s="1"/>
  <c r="I216" i="21"/>
  <c r="H216" i="21"/>
  <c r="G216" i="21" s="1"/>
  <c r="H276" i="21"/>
  <c r="G276" i="21" s="1"/>
  <c r="I276" i="21"/>
  <c r="H271" i="21"/>
  <c r="G271" i="21" s="1"/>
  <c r="I271" i="21"/>
  <c r="I277" i="21"/>
  <c r="H277" i="21"/>
  <c r="G277" i="21" s="1"/>
  <c r="H278" i="21"/>
  <c r="G278" i="21" s="1"/>
  <c r="I278" i="21"/>
  <c r="H270" i="21"/>
  <c r="G270" i="21" s="1"/>
  <c r="I270" i="21"/>
  <c r="I272" i="21"/>
  <c r="H272" i="21"/>
  <c r="G272" i="21" s="1"/>
  <c r="H273" i="21"/>
  <c r="G273" i="21" s="1"/>
  <c r="I273" i="21"/>
  <c r="H275" i="21"/>
  <c r="G275" i="21" s="1"/>
  <c r="I275" i="21"/>
  <c r="I274" i="21"/>
  <c r="H274" i="21"/>
  <c r="G274" i="21" s="1"/>
  <c r="F28" i="5"/>
  <c r="J38" i="21" s="1"/>
  <c r="E28" i="5"/>
  <c r="F43" i="13"/>
  <c r="J358" i="21" s="1"/>
  <c r="U15" i="13"/>
  <c r="H162" i="21"/>
  <c r="H166" i="21"/>
  <c r="G166" i="21" s="1"/>
  <c r="H167" i="21"/>
  <c r="G167" i="21" s="1"/>
  <c r="H170" i="21"/>
  <c r="H163" i="21"/>
  <c r="G163" i="21" s="1"/>
  <c r="H169" i="21"/>
  <c r="G169" i="21" s="1"/>
  <c r="H164" i="21"/>
  <c r="G164" i="21" s="1"/>
  <c r="H165" i="21"/>
  <c r="G165" i="21" s="1"/>
  <c r="H168" i="21"/>
  <c r="G168" i="21" s="1"/>
  <c r="F45" i="13"/>
  <c r="J359" i="21" s="1"/>
  <c r="K126" i="16"/>
  <c r="K124" i="16"/>
  <c r="F118" i="16"/>
  <c r="J284" i="21" s="1"/>
  <c r="F117" i="16"/>
  <c r="J283" i="21" s="1"/>
  <c r="D113" i="16"/>
  <c r="F111" i="16"/>
  <c r="J281" i="21" s="1"/>
  <c r="F109" i="16"/>
  <c r="J280" i="21" s="1"/>
  <c r="F105" i="16"/>
  <c r="J274" i="21" s="1"/>
  <c r="F104" i="16"/>
  <c r="J273" i="21" s="1"/>
  <c r="F103" i="16"/>
  <c r="J272" i="21" s="1"/>
  <c r="F102" i="16"/>
  <c r="J271" i="21" s="1"/>
  <c r="F101" i="16"/>
  <c r="J270" i="21" s="1"/>
  <c r="F97" i="16"/>
  <c r="J269" i="21" s="1"/>
  <c r="F94" i="16"/>
  <c r="J267" i="21" s="1"/>
  <c r="F93" i="16"/>
  <c r="J266" i="21" s="1"/>
  <c r="F92" i="16"/>
  <c r="J265" i="21" s="1"/>
  <c r="F91" i="16"/>
  <c r="J264" i="21" s="1"/>
  <c r="K85" i="16"/>
  <c r="E28" i="16"/>
  <c r="E27" i="16"/>
  <c r="E24" i="16"/>
  <c r="D20" i="16"/>
  <c r="Y27" i="12"/>
  <c r="K28" i="8"/>
  <c r="AG15" i="19"/>
  <c r="O57" i="10"/>
  <c r="R16" i="11"/>
  <c r="R14" i="11"/>
  <c r="R13" i="11"/>
  <c r="R17" i="11"/>
  <c r="C17" i="11" s="1"/>
  <c r="V2" i="20"/>
  <c r="V123" i="20"/>
  <c r="V96" i="20"/>
  <c r="AH15" i="19"/>
  <c r="A111" i="16"/>
  <c r="F11" i="7"/>
  <c r="W74" i="7"/>
  <c r="V67" i="7"/>
  <c r="U68" i="7"/>
  <c r="W73" i="7"/>
  <c r="V73" i="7"/>
  <c r="V66" i="7"/>
  <c r="U67" i="7"/>
  <c r="U72" i="7"/>
  <c r="U69" i="7"/>
  <c r="W72" i="7"/>
  <c r="V72" i="7"/>
  <c r="U74" i="7"/>
  <c r="U66" i="7"/>
  <c r="V71" i="7"/>
  <c r="W71" i="7"/>
  <c r="V74" i="7"/>
  <c r="U73" i="7"/>
  <c r="W70" i="7"/>
  <c r="V68" i="7"/>
  <c r="W69" i="7"/>
  <c r="V70" i="7"/>
  <c r="U71" i="7"/>
  <c r="W68" i="7"/>
  <c r="V69" i="7"/>
  <c r="U70" i="7"/>
  <c r="I32" i="7"/>
  <c r="AV23" i="19"/>
  <c r="AV24" i="19"/>
  <c r="I52" i="7"/>
  <c r="I53" i="7"/>
  <c r="I51" i="7"/>
  <c r="D53" i="7"/>
  <c r="I48" i="7"/>
  <c r="E53" i="7"/>
  <c r="D49" i="7"/>
  <c r="E49" i="7"/>
  <c r="D48" i="7"/>
  <c r="F49" i="7"/>
  <c r="J76" i="21" s="1"/>
  <c r="E50" i="7"/>
  <c r="E48" i="7"/>
  <c r="F52" i="7"/>
  <c r="J79" i="21" s="1"/>
  <c r="K125" i="16"/>
  <c r="W10" i="6"/>
  <c r="D11" i="11"/>
  <c r="C11" i="11"/>
  <c r="AM47" i="19"/>
  <c r="AM39" i="19"/>
  <c r="AM30" i="19"/>
  <c r="AM46" i="19"/>
  <c r="AM38" i="19"/>
  <c r="AM29" i="19"/>
  <c r="AM36" i="19"/>
  <c r="AM42" i="19"/>
  <c r="AM34" i="19"/>
  <c r="AM40" i="19"/>
  <c r="AM32" i="19"/>
  <c r="AM45" i="19"/>
  <c r="AM37" i="19"/>
  <c r="AM28" i="19"/>
  <c r="AN31" i="19" s="1"/>
  <c r="AM44" i="19"/>
  <c r="AM31" i="19"/>
  <c r="AM35" i="19"/>
  <c r="AM41" i="19"/>
  <c r="AM33" i="19"/>
  <c r="AM43" i="19"/>
  <c r="AU14" i="19"/>
  <c r="AT14" i="19"/>
  <c r="AS10" i="19"/>
  <c r="V32" i="19"/>
  <c r="AS11" i="19"/>
  <c r="AU15" i="19"/>
  <c r="V41" i="19"/>
  <c r="AU16" i="19"/>
  <c r="V34" i="19"/>
  <c r="AS13" i="19"/>
  <c r="AT7" i="19"/>
  <c r="AV3" i="19"/>
  <c r="AV11" i="19"/>
  <c r="AV19" i="19"/>
  <c r="V31" i="19"/>
  <c r="AT12" i="19"/>
  <c r="AS3" i="19"/>
  <c r="AU7" i="19"/>
  <c r="V33" i="19"/>
  <c r="AS12" i="19"/>
  <c r="AV10" i="19"/>
  <c r="V42" i="19"/>
  <c r="AU9" i="19"/>
  <c r="J6" i="19"/>
  <c r="V35" i="19"/>
  <c r="V43" i="19"/>
  <c r="AS6" i="19"/>
  <c r="AS14" i="19"/>
  <c r="AT8" i="19"/>
  <c r="AT16" i="19"/>
  <c r="AU10" i="19"/>
  <c r="AV4" i="19"/>
  <c r="AV12" i="19"/>
  <c r="AV20" i="19"/>
  <c r="V47" i="19"/>
  <c r="AV16" i="19"/>
  <c r="V40" i="19"/>
  <c r="AT13" i="19"/>
  <c r="AV17" i="19"/>
  <c r="AS4" i="19"/>
  <c r="AU8" i="19"/>
  <c r="AV18" i="19"/>
  <c r="AS5" i="19"/>
  <c r="AT15" i="19"/>
  <c r="V28" i="19"/>
  <c r="V36" i="19"/>
  <c r="V44" i="19"/>
  <c r="AS15" i="19"/>
  <c r="AT9" i="19"/>
  <c r="AU11" i="19"/>
  <c r="AV5" i="19"/>
  <c r="AV13" i="19"/>
  <c r="AV21" i="19"/>
  <c r="V39" i="19"/>
  <c r="AV8" i="19"/>
  <c r="AV9" i="19"/>
  <c r="V29" i="19"/>
  <c r="V37" i="19"/>
  <c r="V45" i="19"/>
  <c r="AS8" i="19"/>
  <c r="AS16" i="19"/>
  <c r="AT10" i="19"/>
  <c r="AU12" i="19"/>
  <c r="AV6" i="19"/>
  <c r="AV14" i="19"/>
  <c r="V30" i="19"/>
  <c r="V38" i="19"/>
  <c r="V46" i="19"/>
  <c r="AS9" i="19"/>
  <c r="AT11" i="19"/>
  <c r="AU13" i="19"/>
  <c r="AV15" i="19"/>
  <c r="T33" i="10"/>
  <c r="A125" i="16"/>
  <c r="A120" i="16"/>
  <c r="F50" i="7"/>
  <c r="J77" i="21" s="1"/>
  <c r="D51" i="7"/>
  <c r="F53" i="7"/>
  <c r="J80" i="21" s="1"/>
  <c r="I50" i="7"/>
  <c r="E51" i="7"/>
  <c r="D52" i="7"/>
  <c r="H95" i="16"/>
  <c r="V28" i="11"/>
  <c r="F28" i="11" s="1"/>
  <c r="H395" i="21" s="1"/>
  <c r="D28" i="11"/>
  <c r="H84" i="16"/>
  <c r="I253" i="21" s="1"/>
  <c r="F83" i="16"/>
  <c r="J252" i="21" s="1"/>
  <c r="F82" i="16"/>
  <c r="J251" i="21" s="1"/>
  <c r="F85" i="16"/>
  <c r="J254" i="21" s="1"/>
  <c r="H66" i="16"/>
  <c r="I246" i="21" s="1"/>
  <c r="D112" i="16"/>
  <c r="K117" i="16"/>
  <c r="T115" i="16"/>
  <c r="F125" i="16"/>
  <c r="J277" i="21" s="1"/>
  <c r="F126" i="16"/>
  <c r="J278" i="21" s="1"/>
  <c r="F124" i="16"/>
  <c r="J276" i="21" s="1"/>
  <c r="K123" i="16"/>
  <c r="F123" i="16"/>
  <c r="J275" i="21" s="1"/>
  <c r="K118" i="16"/>
  <c r="D111" i="16"/>
  <c r="K112" i="16"/>
  <c r="F112" i="16"/>
  <c r="J282" i="21" s="1"/>
  <c r="K111" i="16"/>
  <c r="A108" i="16"/>
  <c r="A100" i="16"/>
  <c r="T101" i="16"/>
  <c r="M21" i="1" s="1"/>
  <c r="K108" i="16"/>
  <c r="F108" i="16"/>
  <c r="J279" i="21" s="1"/>
  <c r="A103" i="16"/>
  <c r="H9" i="3"/>
  <c r="I6" i="2"/>
  <c r="W3" i="6"/>
  <c r="W5" i="6"/>
  <c r="W6" i="6"/>
  <c r="W4" i="6"/>
  <c r="W7" i="6"/>
  <c r="W8" i="6"/>
  <c r="W9" i="6"/>
  <c r="S3" i="6"/>
  <c r="A4" i="1"/>
  <c r="S5" i="6"/>
  <c r="S6" i="6"/>
  <c r="T5" i="6"/>
  <c r="S8" i="6"/>
  <c r="S4" i="6"/>
  <c r="S9" i="6"/>
  <c r="T8" i="6"/>
  <c r="S7" i="6"/>
  <c r="S10" i="6"/>
  <c r="T4" i="6"/>
  <c r="T3" i="6" s="1"/>
  <c r="A1" i="1"/>
  <c r="K97" i="16"/>
  <c r="K94" i="16"/>
  <c r="K93" i="16"/>
  <c r="K92" i="16"/>
  <c r="K91" i="16"/>
  <c r="H28" i="8"/>
  <c r="I96" i="21" s="1"/>
  <c r="F10" i="7"/>
  <c r="D62" i="12"/>
  <c r="H71" i="12"/>
  <c r="I335" i="21" s="1"/>
  <c r="F70" i="12"/>
  <c r="J334" i="21" s="1"/>
  <c r="H69" i="12"/>
  <c r="I333" i="21" s="1"/>
  <c r="H68" i="12"/>
  <c r="I332" i="21" s="1"/>
  <c r="X11" i="2"/>
  <c r="X10" i="2"/>
  <c r="X9" i="2"/>
  <c r="X7" i="2"/>
  <c r="X5" i="2"/>
  <c r="X4" i="2"/>
  <c r="X3" i="2"/>
  <c r="H67" i="12"/>
  <c r="I331" i="21" s="1"/>
  <c r="F66" i="12"/>
  <c r="J330" i="21" s="1"/>
  <c r="H66" i="12"/>
  <c r="I330" i="21" s="1"/>
  <c r="D66" i="12"/>
  <c r="H65" i="12"/>
  <c r="I329" i="21" s="1"/>
  <c r="D65" i="12"/>
  <c r="H329" i="21" s="1"/>
  <c r="H64" i="12"/>
  <c r="I328" i="21" s="1"/>
  <c r="D64" i="12"/>
  <c r="H328" i="21" s="1"/>
  <c r="G328" i="21" s="1"/>
  <c r="F63" i="12"/>
  <c r="J327" i="21" s="1"/>
  <c r="H63" i="12"/>
  <c r="I327" i="21" s="1"/>
  <c r="D63" i="12"/>
  <c r="H327" i="21" s="1"/>
  <c r="G327" i="21" s="1"/>
  <c r="F62" i="12"/>
  <c r="J326" i="21" s="1"/>
  <c r="Z35" i="3"/>
  <c r="X42" i="7"/>
  <c r="I21" i="7"/>
  <c r="F21" i="7"/>
  <c r="J57" i="21" s="1"/>
  <c r="D21" i="7"/>
  <c r="C21" i="7"/>
  <c r="D25" i="7"/>
  <c r="C25" i="7"/>
  <c r="C24" i="7"/>
  <c r="D24" i="7"/>
  <c r="F44" i="7"/>
  <c r="J74" i="21" s="1"/>
  <c r="D44" i="7"/>
  <c r="C44" i="7"/>
  <c r="X97" i="7"/>
  <c r="I44" i="7" s="1"/>
  <c r="S101" i="7"/>
  <c r="AA17" i="2"/>
  <c r="G329" i="21" l="1"/>
  <c r="F6" i="21"/>
  <c r="E7" i="21"/>
  <c r="AX9" i="10"/>
  <c r="AX8" i="10"/>
  <c r="AX7" i="10"/>
  <c r="AX6" i="10"/>
  <c r="AX4" i="10"/>
  <c r="AX5" i="10"/>
  <c r="AW11" i="10"/>
  <c r="AX10" i="10"/>
  <c r="Y428" i="10"/>
  <c r="Y429" i="10" s="1"/>
  <c r="Y430" i="10" s="1"/>
  <c r="Y431" i="10" s="1"/>
  <c r="Y432" i="10" s="1"/>
  <c r="Y433" i="10" s="1"/>
  <c r="Y434" i="10" s="1"/>
  <c r="Y435" i="10" s="1"/>
  <c r="Y436" i="10" s="1"/>
  <c r="Y437" i="10" s="1"/>
  <c r="Y438" i="10" s="1"/>
  <c r="Y439" i="10" s="1"/>
  <c r="Y440" i="10" s="1"/>
  <c r="Y441" i="10" s="1"/>
  <c r="Y442" i="10" s="1"/>
  <c r="Y443" i="10" s="1"/>
  <c r="Y444" i="10" s="1"/>
  <c r="Y445" i="10" s="1"/>
  <c r="Y446" i="10" s="1"/>
  <c r="Y447" i="10" s="1"/>
  <c r="Y448" i="10" s="1"/>
  <c r="Y449" i="10" s="1"/>
  <c r="Y450" i="10" s="1"/>
  <c r="Y451" i="10" s="1"/>
  <c r="Y452" i="10" s="1"/>
  <c r="Y453" i="10" s="1"/>
  <c r="Y454" i="10" s="1"/>
  <c r="Y455" i="10" s="1"/>
  <c r="Y456" i="10" s="1"/>
  <c r="Y457" i="10" s="1"/>
  <c r="Y458" i="10" s="1"/>
  <c r="Y459" i="10" s="1"/>
  <c r="Y460" i="10" s="1"/>
  <c r="Y461" i="10" s="1"/>
  <c r="Y462" i="10" s="1"/>
  <c r="Y463" i="10" s="1"/>
  <c r="Y464" i="10" s="1"/>
  <c r="Y465" i="10" s="1"/>
  <c r="Y466" i="10" s="1"/>
  <c r="Y467" i="10" s="1"/>
  <c r="Y468" i="10" s="1"/>
  <c r="Y469" i="10" s="1"/>
  <c r="Y470" i="10" s="1"/>
  <c r="Y471" i="10" s="1"/>
  <c r="Y472" i="10" s="1"/>
  <c r="Y473" i="10" s="1"/>
  <c r="Y474" i="10" s="1"/>
  <c r="Y475" i="10" s="1"/>
  <c r="Y476" i="10" s="1"/>
  <c r="Y477" i="10" s="1"/>
  <c r="Y478" i="10" s="1"/>
  <c r="Y479" i="10" s="1"/>
  <c r="Y480" i="10" s="1"/>
  <c r="Y481" i="10" s="1"/>
  <c r="Y482" i="10" s="1"/>
  <c r="C41" i="1"/>
  <c r="E41" i="1" s="1"/>
  <c r="G263" i="21"/>
  <c r="H268" i="21"/>
  <c r="G268" i="21" s="1"/>
  <c r="I268" i="21"/>
  <c r="G350" i="21"/>
  <c r="G352" i="21" s="1"/>
  <c r="J52" i="21"/>
  <c r="F71" i="12"/>
  <c r="J335" i="21" s="1"/>
  <c r="F68" i="12"/>
  <c r="J332" i="21" s="1"/>
  <c r="F67" i="12"/>
  <c r="J331" i="21" s="1"/>
  <c r="F65" i="12"/>
  <c r="J329" i="21" s="1"/>
  <c r="F64" i="12"/>
  <c r="J328" i="21" s="1"/>
  <c r="F95" i="16"/>
  <c r="J268" i="21" s="1"/>
  <c r="S19" i="16"/>
  <c r="F69" i="12"/>
  <c r="J333" i="21" s="1"/>
  <c r="C27" i="11"/>
  <c r="V27" i="11" s="1"/>
  <c r="F27" i="11" s="1"/>
  <c r="H394" i="21" s="1"/>
  <c r="D17" i="11"/>
  <c r="X17" i="11" s="1"/>
  <c r="F25" i="7"/>
  <c r="J61" i="21" s="1"/>
  <c r="S98" i="7"/>
  <c r="S10" i="16"/>
  <c r="I25" i="7"/>
  <c r="X28" i="11"/>
  <c r="Q21" i="1"/>
  <c r="A115" i="16"/>
  <c r="A1" i="13"/>
  <c r="A1" i="7"/>
  <c r="A1" i="12"/>
  <c r="A1" i="10"/>
  <c r="A1" i="11"/>
  <c r="A1" i="5"/>
  <c r="A1" i="16"/>
  <c r="A1" i="15"/>
  <c r="A1" i="3"/>
  <c r="A1" i="6"/>
  <c r="A1" i="4"/>
  <c r="B1" i="19"/>
  <c r="A1" i="2"/>
  <c r="A1" i="8"/>
  <c r="AT102" i="19"/>
  <c r="AT106" i="19"/>
  <c r="AU102" i="19"/>
  <c r="AU101" i="19"/>
  <c r="AT101" i="19"/>
  <c r="AU100" i="19"/>
  <c r="AT100" i="19"/>
  <c r="AU99" i="19"/>
  <c r="AT99" i="19"/>
  <c r="AS106" i="19"/>
  <c r="AQ106" i="19"/>
  <c r="AS102" i="19"/>
  <c r="AQ102" i="19"/>
  <c r="AS101" i="19"/>
  <c r="AQ101" i="19"/>
  <c r="AS100" i="19"/>
  <c r="AQ100" i="19"/>
  <c r="AS99" i="19"/>
  <c r="AQ99" i="19"/>
  <c r="X21" i="11"/>
  <c r="V21" i="11"/>
  <c r="W26" i="11"/>
  <c r="W21" i="11"/>
  <c r="W20" i="11"/>
  <c r="W19" i="11"/>
  <c r="W18" i="11"/>
  <c r="W17" i="11"/>
  <c r="U52" i="2"/>
  <c r="T54" i="2"/>
  <c r="T53" i="2"/>
  <c r="K20" i="2"/>
  <c r="E20" i="2"/>
  <c r="B20" i="2"/>
  <c r="K19" i="2"/>
  <c r="E19" i="2"/>
  <c r="B19" i="2"/>
  <c r="K18" i="2"/>
  <c r="E18" i="2"/>
  <c r="B18" i="2"/>
  <c r="E17" i="2"/>
  <c r="B17" i="2"/>
  <c r="K14" i="2"/>
  <c r="H14" i="2"/>
  <c r="I5" i="21" s="1"/>
  <c r="E14" i="2"/>
  <c r="E13" i="2"/>
  <c r="K13" i="2"/>
  <c r="K21" i="2"/>
  <c r="H21" i="2"/>
  <c r="I12" i="21" s="1"/>
  <c r="E21" i="2"/>
  <c r="B14" i="2"/>
  <c r="B13" i="2"/>
  <c r="K22" i="2"/>
  <c r="H13" i="21" s="1"/>
  <c r="C44" i="2"/>
  <c r="H39" i="2"/>
  <c r="I17" i="21" s="1"/>
  <c r="D43" i="2"/>
  <c r="D42" i="2"/>
  <c r="D44" i="2" s="1"/>
  <c r="Z12" i="2"/>
  <c r="T39" i="2"/>
  <c r="T38" i="2"/>
  <c r="H19" i="2" s="1"/>
  <c r="T41" i="2"/>
  <c r="H20" i="2" s="1"/>
  <c r="I11" i="21" s="1"/>
  <c r="AB41" i="2"/>
  <c r="Z17" i="2" s="1"/>
  <c r="AB39" i="2"/>
  <c r="AB38" i="2"/>
  <c r="AB36" i="2"/>
  <c r="Y14" i="2"/>
  <c r="U44" i="2"/>
  <c r="U43" i="2"/>
  <c r="F22" i="2" s="1"/>
  <c r="J13" i="21" s="1"/>
  <c r="AB44" i="2"/>
  <c r="AB43" i="2"/>
  <c r="V2" i="17"/>
  <c r="H22" i="2"/>
  <c r="I13" i="21" s="1"/>
  <c r="E22" i="2"/>
  <c r="B22" i="2"/>
  <c r="H3" i="16" l="1"/>
  <c r="U80" i="12"/>
  <c r="F7" i="21"/>
  <c r="E8" i="21"/>
  <c r="AW12" i="10"/>
  <c r="AX11" i="10"/>
  <c r="D42" i="1"/>
  <c r="A41" i="1"/>
  <c r="H411" i="21" s="1"/>
  <c r="F36" i="2"/>
  <c r="F6" i="2"/>
  <c r="J2" i="21" s="1"/>
  <c r="D27" i="11"/>
  <c r="I10" i="21"/>
  <c r="I9" i="21"/>
  <c r="F39" i="2"/>
  <c r="F25" i="2"/>
  <c r="J14" i="21" s="1"/>
  <c r="V17" i="11"/>
  <c r="F17" i="11" s="1"/>
  <c r="C13" i="8" s="1"/>
  <c r="X27" i="11"/>
  <c r="U70" i="2"/>
  <c r="AC43" i="2"/>
  <c r="D45" i="2"/>
  <c r="C45" i="2" s="1"/>
  <c r="U35" i="2"/>
  <c r="U27" i="2"/>
  <c r="F14" i="2" s="1"/>
  <c r="J5" i="21" s="1"/>
  <c r="AB33" i="2"/>
  <c r="AB27" i="2"/>
  <c r="U33" i="2"/>
  <c r="F18" i="2" s="1"/>
  <c r="J9" i="21" s="1"/>
  <c r="T33" i="2"/>
  <c r="H18" i="2" s="1"/>
  <c r="U36" i="2"/>
  <c r="U34" i="2"/>
  <c r="U31" i="2"/>
  <c r="F17" i="2" s="1"/>
  <c r="J8" i="21" s="1"/>
  <c r="U29" i="2"/>
  <c r="F15" i="2" s="1"/>
  <c r="J6" i="21" s="1"/>
  <c r="U46" i="2"/>
  <c r="F21" i="2" s="1"/>
  <c r="J12" i="21" s="1"/>
  <c r="B21" i="2"/>
  <c r="H12" i="21" s="1"/>
  <c r="T71" i="2"/>
  <c r="E2" i="6"/>
  <c r="E2" i="5"/>
  <c r="E2" i="4"/>
  <c r="E2" i="3"/>
  <c r="B1" i="3"/>
  <c r="BZ2" i="17"/>
  <c r="H40" i="10"/>
  <c r="F40" i="10" s="1"/>
  <c r="H39" i="10"/>
  <c r="H38" i="10"/>
  <c r="H37" i="10"/>
  <c r="H36" i="10"/>
  <c r="H35" i="10"/>
  <c r="F35" i="10" s="1"/>
  <c r="T27" i="8"/>
  <c r="T26" i="8"/>
  <c r="AX128" i="20" s="1"/>
  <c r="T25" i="8"/>
  <c r="AK2" i="19"/>
  <c r="I351" i="21"/>
  <c r="H27" i="13"/>
  <c r="I350" i="21" s="1"/>
  <c r="H23" i="13"/>
  <c r="I346" i="21" s="1"/>
  <c r="I343" i="21"/>
  <c r="I342" i="21"/>
  <c r="K24" i="13"/>
  <c r="E39" i="15"/>
  <c r="T54" i="15"/>
  <c r="Y32" i="15"/>
  <c r="Y30" i="15"/>
  <c r="Y29" i="15"/>
  <c r="Y27" i="15"/>
  <c r="Y26" i="15"/>
  <c r="Y23" i="15"/>
  <c r="Y20" i="15"/>
  <c r="Y19" i="15"/>
  <c r="Y17" i="15"/>
  <c r="Y16" i="15"/>
  <c r="Y15" i="15"/>
  <c r="Z60" i="15" s="1"/>
  <c r="Z56" i="15"/>
  <c r="Z55" i="15"/>
  <c r="Z54" i="15"/>
  <c r="AA54" i="15" s="1"/>
  <c r="V54" i="15"/>
  <c r="X56" i="15"/>
  <c r="X55" i="15"/>
  <c r="X54" i="15"/>
  <c r="V56" i="15"/>
  <c r="V55" i="15"/>
  <c r="T55" i="15"/>
  <c r="T56" i="15"/>
  <c r="Y47" i="15"/>
  <c r="Y49" i="15"/>
  <c r="Y48" i="15"/>
  <c r="Z43" i="15"/>
  <c r="Z42" i="15"/>
  <c r="Z41" i="15"/>
  <c r="Z40" i="15"/>
  <c r="Z39" i="15"/>
  <c r="B31" i="15"/>
  <c r="B26" i="15"/>
  <c r="B21" i="15"/>
  <c r="B16" i="15"/>
  <c r="B11" i="15"/>
  <c r="M31" i="15"/>
  <c r="M30" i="15"/>
  <c r="M29" i="15"/>
  <c r="M26" i="15"/>
  <c r="M25" i="15"/>
  <c r="M24" i="15"/>
  <c r="M21" i="15"/>
  <c r="M20" i="15"/>
  <c r="M19" i="15"/>
  <c r="M16" i="15"/>
  <c r="M15" i="15"/>
  <c r="M14" i="15"/>
  <c r="M11" i="15"/>
  <c r="M10" i="15"/>
  <c r="M9" i="15"/>
  <c r="H40" i="15"/>
  <c r="I133" i="21" s="1"/>
  <c r="F40" i="15"/>
  <c r="J133" i="21" s="1"/>
  <c r="K39" i="15"/>
  <c r="I132" i="21"/>
  <c r="J132" i="21"/>
  <c r="D39" i="15"/>
  <c r="AB110" i="19"/>
  <c r="BB121" i="19" s="1"/>
  <c r="AB109" i="19"/>
  <c r="BB120" i="19" s="1"/>
  <c r="AB108" i="19"/>
  <c r="BB119" i="19" s="1"/>
  <c r="T16" i="19" s="1"/>
  <c r="AE153" i="19"/>
  <c r="AD153" i="19"/>
  <c r="AC153" i="19"/>
  <c r="AC15" i="19"/>
  <c r="AB15" i="19"/>
  <c r="AC14" i="19"/>
  <c r="AC13" i="19"/>
  <c r="AC11" i="19"/>
  <c r="AC10" i="19"/>
  <c r="AC9" i="19"/>
  <c r="F12" i="8"/>
  <c r="J51" i="21" s="1"/>
  <c r="H12" i="8"/>
  <c r="I51" i="21" s="1"/>
  <c r="AX113" i="19"/>
  <c r="AX132" i="19"/>
  <c r="AX131" i="19"/>
  <c r="AX130" i="19"/>
  <c r="AX129" i="19"/>
  <c r="AX128" i="19"/>
  <c r="AX127" i="19"/>
  <c r="AX126" i="19"/>
  <c r="AX125" i="19"/>
  <c r="AX124" i="19"/>
  <c r="AX123" i="19"/>
  <c r="AX122" i="19"/>
  <c r="AX121" i="19"/>
  <c r="AX120" i="19"/>
  <c r="AX119" i="19"/>
  <c r="AX118" i="19"/>
  <c r="AX117" i="19"/>
  <c r="AX116" i="19"/>
  <c r="AX115" i="19"/>
  <c r="AX114" i="19"/>
  <c r="AW132" i="19"/>
  <c r="AY132" i="19" s="1"/>
  <c r="AW131" i="19"/>
  <c r="AY131" i="19" s="1"/>
  <c r="AW130" i="19"/>
  <c r="AY130" i="19" s="1"/>
  <c r="AW129" i="19"/>
  <c r="AY129" i="19" s="1"/>
  <c r="AW128" i="19"/>
  <c r="AW127" i="19"/>
  <c r="AW126" i="19"/>
  <c r="AW125" i="19"/>
  <c r="AY125" i="19" s="1"/>
  <c r="AW124" i="19"/>
  <c r="AY124" i="19" s="1"/>
  <c r="AW123" i="19"/>
  <c r="AY123" i="19" s="1"/>
  <c r="AW122" i="19"/>
  <c r="AY122" i="19" s="1"/>
  <c r="AW121" i="19"/>
  <c r="AY121" i="19" s="1"/>
  <c r="AW120" i="19"/>
  <c r="AY120" i="19" s="1"/>
  <c r="AW119" i="19"/>
  <c r="AW118" i="19"/>
  <c r="AW117" i="19"/>
  <c r="AW116" i="19"/>
  <c r="AY116" i="19" s="1"/>
  <c r="AW115" i="19"/>
  <c r="AY115" i="19" s="1"/>
  <c r="AW114" i="19"/>
  <c r="AY114" i="19" s="1"/>
  <c r="AW113" i="19"/>
  <c r="BK20" i="19"/>
  <c r="Z23" i="8"/>
  <c r="Z22" i="8"/>
  <c r="K11" i="8"/>
  <c r="H11" i="8"/>
  <c r="I83" i="21" s="1"/>
  <c r="F11" i="8"/>
  <c r="J83" i="21" s="1"/>
  <c r="F18" i="8"/>
  <c r="J86" i="21" s="1"/>
  <c r="V11" i="11"/>
  <c r="D10" i="11"/>
  <c r="C20" i="11"/>
  <c r="V20" i="11" s="1"/>
  <c r="D20" i="11"/>
  <c r="X20" i="11" s="1"/>
  <c r="F20" i="11"/>
  <c r="X11" i="11"/>
  <c r="A7" i="12"/>
  <c r="AP47" i="19"/>
  <c r="AP46" i="19"/>
  <c r="AP45" i="19"/>
  <c r="AP44" i="19"/>
  <c r="AP43" i="19"/>
  <c r="AP42" i="19"/>
  <c r="AP41" i="19"/>
  <c r="AP40" i="19"/>
  <c r="AP39" i="19"/>
  <c r="AP38" i="19"/>
  <c r="AP37" i="19"/>
  <c r="AP36" i="19"/>
  <c r="AP35" i="19"/>
  <c r="AP34" i="19"/>
  <c r="AP33" i="19"/>
  <c r="AP32" i="19"/>
  <c r="AP31" i="19"/>
  <c r="AP30" i="19"/>
  <c r="AP29" i="19"/>
  <c r="AP28" i="19"/>
  <c r="Z15" i="19"/>
  <c r="W16" i="11"/>
  <c r="W15" i="11"/>
  <c r="W14" i="11"/>
  <c r="W13" i="11"/>
  <c r="W12" i="11"/>
  <c r="W11" i="11"/>
  <c r="W10" i="11"/>
  <c r="V10" i="11"/>
  <c r="BU36" i="17"/>
  <c r="AB113" i="19"/>
  <c r="Z161" i="19"/>
  <c r="Z157" i="19"/>
  <c r="AE125" i="19"/>
  <c r="AS136" i="19"/>
  <c r="AF28" i="19"/>
  <c r="BM23" i="19"/>
  <c r="AB14" i="19"/>
  <c r="N36" i="19"/>
  <c r="I125" i="21" s="1"/>
  <c r="AA156" i="19"/>
  <c r="AC156" i="19"/>
  <c r="AB156" i="19"/>
  <c r="Y154" i="19"/>
  <c r="H36" i="19"/>
  <c r="AG121" i="19"/>
  <c r="AH47" i="19"/>
  <c r="AH46" i="19"/>
  <c r="AH45" i="19"/>
  <c r="AH44" i="19"/>
  <c r="AH43" i="19"/>
  <c r="AH42" i="19"/>
  <c r="AH41" i="19"/>
  <c r="AH39" i="19"/>
  <c r="AH38" i="19"/>
  <c r="AH37" i="19"/>
  <c r="AH36" i="19"/>
  <c r="AH34" i="19"/>
  <c r="AH33" i="19"/>
  <c r="AH32" i="19"/>
  <c r="AG47" i="19"/>
  <c r="AG46" i="19"/>
  <c r="AG45" i="19"/>
  <c r="AG44" i="19"/>
  <c r="AG43" i="19"/>
  <c r="AG42" i="19"/>
  <c r="AG41" i="19"/>
  <c r="AG40" i="19"/>
  <c r="AH40" i="19" s="1"/>
  <c r="AG39" i="19"/>
  <c r="AG38" i="19"/>
  <c r="AG37" i="19"/>
  <c r="AG36" i="19"/>
  <c r="AF47" i="19"/>
  <c r="AF46" i="19"/>
  <c r="AF45" i="19"/>
  <c r="AS45" i="19" s="1"/>
  <c r="AF44" i="19"/>
  <c r="AF43" i="19"/>
  <c r="AF42" i="19"/>
  <c r="AF41" i="19"/>
  <c r="AF40" i="19"/>
  <c r="AF39" i="19"/>
  <c r="AF38" i="19"/>
  <c r="AF37" i="19"/>
  <c r="AS37" i="19" s="1"/>
  <c r="AF36" i="19"/>
  <c r="AF35" i="19"/>
  <c r="AF34" i="19"/>
  <c r="AF33" i="19"/>
  <c r="AF32" i="19"/>
  <c r="AF31" i="19"/>
  <c r="AF30" i="19"/>
  <c r="AF29" i="19"/>
  <c r="AE52" i="19"/>
  <c r="AE51" i="19"/>
  <c r="BE28" i="19"/>
  <c r="BD28" i="19"/>
  <c r="AB28" i="19"/>
  <c r="BI81" i="19"/>
  <c r="BI68" i="19"/>
  <c r="BI67" i="19"/>
  <c r="BI66" i="19"/>
  <c r="BI46" i="19"/>
  <c r="BI44" i="19"/>
  <c r="BI43" i="19"/>
  <c r="BI42" i="19"/>
  <c r="BI32" i="19"/>
  <c r="BI28" i="19"/>
  <c r="AC28" i="19"/>
  <c r="Z51" i="19"/>
  <c r="U23" i="19" s="1"/>
  <c r="AE30" i="19"/>
  <c r="AD30" i="19"/>
  <c r="AC30" i="19"/>
  <c r="AE29" i="19"/>
  <c r="AD29" i="19"/>
  <c r="AC29" i="19"/>
  <c r="AE28" i="19"/>
  <c r="AD28" i="19"/>
  <c r="AA15" i="19"/>
  <c r="AA14" i="19"/>
  <c r="AA13" i="19"/>
  <c r="AA9" i="19"/>
  <c r="AA10" i="19"/>
  <c r="AA11" i="19"/>
  <c r="W71" i="19"/>
  <c r="Z14" i="19"/>
  <c r="Z13" i="19"/>
  <c r="Z9" i="19"/>
  <c r="Z11" i="19"/>
  <c r="Z10" i="19"/>
  <c r="AO106" i="19"/>
  <c r="AO102" i="19"/>
  <c r="AO99" i="19"/>
  <c r="AP106" i="19"/>
  <c r="AN106" i="19"/>
  <c r="AM106" i="19"/>
  <c r="AL106" i="19"/>
  <c r="AK106" i="19"/>
  <c r="AJ106" i="19"/>
  <c r="AI106" i="19"/>
  <c r="AH106" i="19"/>
  <c r="AG106" i="19"/>
  <c r="AP102" i="19"/>
  <c r="AP99" i="19"/>
  <c r="AB99" i="19"/>
  <c r="AN102" i="19"/>
  <c r="AN99" i="19"/>
  <c r="O41" i="19"/>
  <c r="BK23" i="19" s="1"/>
  <c r="BJ23" i="19"/>
  <c r="BH23" i="19"/>
  <c r="BN23" i="19" s="1"/>
  <c r="BG23" i="19"/>
  <c r="BF23" i="19"/>
  <c r="BE23" i="19"/>
  <c r="BD23" i="19"/>
  <c r="BC23" i="19"/>
  <c r="V99" i="19"/>
  <c r="AC108" i="19" s="1"/>
  <c r="AD106" i="19" s="1"/>
  <c r="V63" i="19"/>
  <c r="BB23" i="19"/>
  <c r="AB47" i="19"/>
  <c r="AR47" i="19" s="1"/>
  <c r="BH119" i="20" s="1"/>
  <c r="AB46" i="19"/>
  <c r="AR46" i="19" s="1"/>
  <c r="BH118" i="20" s="1"/>
  <c r="AB45" i="19"/>
  <c r="AR45" i="19" s="1"/>
  <c r="BH117" i="20" s="1"/>
  <c r="AB44" i="19"/>
  <c r="AR44" i="19" s="1"/>
  <c r="BH116" i="20" s="1"/>
  <c r="AB43" i="19"/>
  <c r="AR43" i="19" s="1"/>
  <c r="BH115" i="20" s="1"/>
  <c r="AB42" i="19"/>
  <c r="AR42" i="19" s="1"/>
  <c r="BH114" i="20" s="1"/>
  <c r="AB41" i="19"/>
  <c r="AB40" i="19"/>
  <c r="AR40" i="19" s="1"/>
  <c r="BH112" i="20" s="1"/>
  <c r="AB39" i="19"/>
  <c r="AB38" i="19"/>
  <c r="AR38" i="19" s="1"/>
  <c r="BH110" i="20" s="1"/>
  <c r="AB37" i="19"/>
  <c r="AR37" i="19" s="1"/>
  <c r="BH109" i="20" s="1"/>
  <c r="AB36" i="19"/>
  <c r="AR36" i="19" s="1"/>
  <c r="BH108" i="20" s="1"/>
  <c r="AB35" i="19"/>
  <c r="AR35" i="19" s="1"/>
  <c r="BH107" i="20" s="1"/>
  <c r="AB34" i="19"/>
  <c r="AR34" i="19" s="1"/>
  <c r="BH106" i="20" s="1"/>
  <c r="AB33" i="19"/>
  <c r="AR33" i="19" s="1"/>
  <c r="BH105" i="20" s="1"/>
  <c r="AB32" i="19"/>
  <c r="AB31" i="19"/>
  <c r="AB30" i="19"/>
  <c r="AB29" i="19"/>
  <c r="AR29" i="19" s="1"/>
  <c r="BH101" i="20" s="1"/>
  <c r="U30" i="19"/>
  <c r="W52" i="19"/>
  <c r="W50" i="19"/>
  <c r="V53" i="19"/>
  <c r="V52" i="19"/>
  <c r="V51" i="19"/>
  <c r="U8" i="19"/>
  <c r="Z25" i="19" s="1"/>
  <c r="U7" i="19"/>
  <c r="Z24" i="19" s="1"/>
  <c r="U6" i="19"/>
  <c r="AA97" i="19"/>
  <c r="AA96" i="19"/>
  <c r="AA95" i="19"/>
  <c r="AA94" i="19"/>
  <c r="AA93" i="19"/>
  <c r="AA92" i="19"/>
  <c r="AA91" i="19"/>
  <c r="AA90" i="19"/>
  <c r="AA89" i="19"/>
  <c r="AA88" i="19"/>
  <c r="AA87" i="19"/>
  <c r="AA86" i="19"/>
  <c r="AA85" i="19"/>
  <c r="AA84" i="19"/>
  <c r="AA83" i="19"/>
  <c r="AA82" i="19"/>
  <c r="AA81" i="19"/>
  <c r="AA80" i="19"/>
  <c r="AA79" i="19"/>
  <c r="AA78" i="19"/>
  <c r="Y96" i="19"/>
  <c r="Y95" i="19"/>
  <c r="Y94" i="19"/>
  <c r="Y92" i="19"/>
  <c r="Y91" i="19"/>
  <c r="Y90" i="19"/>
  <c r="Z90" i="19" s="1"/>
  <c r="Y89" i="19"/>
  <c r="Y88" i="19"/>
  <c r="Z88" i="19" s="1"/>
  <c r="Y87" i="19"/>
  <c r="Y86" i="19"/>
  <c r="Y85" i="19"/>
  <c r="Z85" i="19" s="1"/>
  <c r="Y84" i="19"/>
  <c r="Y82" i="19"/>
  <c r="Z82" i="19" s="1"/>
  <c r="Y81" i="19"/>
  <c r="Y80" i="19"/>
  <c r="Y79" i="19"/>
  <c r="Z79" i="19" s="1"/>
  <c r="Y78" i="19"/>
  <c r="Z78" i="19" s="1"/>
  <c r="X78" i="19"/>
  <c r="X97" i="19"/>
  <c r="X96" i="19"/>
  <c r="X95" i="19"/>
  <c r="X94" i="19"/>
  <c r="X93" i="19"/>
  <c r="X92" i="19"/>
  <c r="X91" i="19"/>
  <c r="X90" i="19"/>
  <c r="X89" i="19"/>
  <c r="X88" i="19"/>
  <c r="X87" i="19"/>
  <c r="X86" i="19"/>
  <c r="X85" i="19"/>
  <c r="X84" i="19"/>
  <c r="X83" i="19"/>
  <c r="X82" i="19"/>
  <c r="X81" i="19"/>
  <c r="X80" i="19"/>
  <c r="X79" i="19"/>
  <c r="AM102" i="19"/>
  <c r="AL102" i="19"/>
  <c r="AK102" i="19"/>
  <c r="AJ102" i="19"/>
  <c r="AI102" i="19"/>
  <c r="AH102" i="19"/>
  <c r="AM99" i="19"/>
  <c r="AL99" i="19"/>
  <c r="AK99" i="19"/>
  <c r="AJ99" i="19"/>
  <c r="AI99" i="19"/>
  <c r="AH99" i="19"/>
  <c r="AG99" i="19"/>
  <c r="AF99" i="19"/>
  <c r="AE99" i="19"/>
  <c r="AD99" i="19"/>
  <c r="AC99" i="19"/>
  <c r="AA105" i="19"/>
  <c r="AA104" i="19"/>
  <c r="AA103" i="19"/>
  <c r="AA102" i="19"/>
  <c r="AA101" i="19"/>
  <c r="AA100" i="19"/>
  <c r="AA99" i="19"/>
  <c r="AT59" i="19"/>
  <c r="AT58" i="19"/>
  <c r="AT57" i="19"/>
  <c r="AT56" i="19"/>
  <c r="AT55" i="19"/>
  <c r="AT54" i="19"/>
  <c r="AT53" i="19"/>
  <c r="AT52" i="19"/>
  <c r="AT51" i="19"/>
  <c r="AT50" i="19"/>
  <c r="AT49" i="19"/>
  <c r="AT48" i="19"/>
  <c r="AT47" i="19"/>
  <c r="AW59" i="19"/>
  <c r="AW58" i="19"/>
  <c r="AW57" i="19"/>
  <c r="AW56" i="19"/>
  <c r="AW55" i="19"/>
  <c r="AW54" i="19"/>
  <c r="AW53" i="19"/>
  <c r="AW52" i="19"/>
  <c r="AW51" i="19"/>
  <c r="AV59" i="19"/>
  <c r="AV58" i="19"/>
  <c r="AV57" i="19"/>
  <c r="AU59" i="19"/>
  <c r="AZ47" i="19"/>
  <c r="AY47" i="19"/>
  <c r="AX47" i="19"/>
  <c r="AW47" i="19"/>
  <c r="AV47" i="19"/>
  <c r="AU47" i="19"/>
  <c r="BM2" i="19"/>
  <c r="BK21" i="19"/>
  <c r="BK19" i="19"/>
  <c r="BK18" i="19"/>
  <c r="BK17" i="19"/>
  <c r="AI5" i="19"/>
  <c r="AI4" i="19"/>
  <c r="AI3" i="19"/>
  <c r="AI2" i="19"/>
  <c r="O6" i="19"/>
  <c r="K2" i="19"/>
  <c r="C2" i="19"/>
  <c r="C1" i="19"/>
  <c r="E20" i="4"/>
  <c r="U2" i="5"/>
  <c r="T107" i="3"/>
  <c r="B4" i="3"/>
  <c r="T108" i="3" s="1"/>
  <c r="AQ50" i="3"/>
  <c r="D23" i="3"/>
  <c r="W76" i="3" s="1"/>
  <c r="AZ42" i="3"/>
  <c r="AU42" i="3"/>
  <c r="AZ41" i="3"/>
  <c r="AU41" i="3"/>
  <c r="AZ40" i="3"/>
  <c r="AU40" i="3"/>
  <c r="AZ39" i="3"/>
  <c r="AU39" i="3"/>
  <c r="AV42" i="3"/>
  <c r="AV41" i="3"/>
  <c r="AV40" i="3"/>
  <c r="AV39" i="3"/>
  <c r="S34" i="10"/>
  <c r="V31" i="10"/>
  <c r="V30" i="10"/>
  <c r="F28" i="10"/>
  <c r="J203" i="21" s="1"/>
  <c r="H21" i="8"/>
  <c r="I89" i="21" s="1"/>
  <c r="F31" i="8"/>
  <c r="J99" i="21" s="1"/>
  <c r="F30" i="8"/>
  <c r="J98" i="21" s="1"/>
  <c r="F29" i="8"/>
  <c r="J97" i="21" s="1"/>
  <c r="F27" i="8"/>
  <c r="J95" i="21" s="1"/>
  <c r="F26" i="8"/>
  <c r="J94" i="21" s="1"/>
  <c r="F25" i="8"/>
  <c r="J93" i="21" s="1"/>
  <c r="F24" i="8"/>
  <c r="J92" i="21" s="1"/>
  <c r="F23" i="8"/>
  <c r="J91" i="21" s="1"/>
  <c r="F22" i="8"/>
  <c r="J90" i="21" s="1"/>
  <c r="F19" i="8"/>
  <c r="J87" i="21" s="1"/>
  <c r="H16" i="8"/>
  <c r="I84" i="21" s="1"/>
  <c r="Y51" i="3"/>
  <c r="AE54" i="3"/>
  <c r="AE53" i="3"/>
  <c r="U51" i="3"/>
  <c r="E56" i="3"/>
  <c r="E55" i="3"/>
  <c r="E54" i="3"/>
  <c r="E37" i="3"/>
  <c r="E36" i="3"/>
  <c r="E35" i="3"/>
  <c r="E30" i="3"/>
  <c r="E29" i="3"/>
  <c r="E28" i="3"/>
  <c r="E23" i="3"/>
  <c r="E22" i="3"/>
  <c r="E21" i="3"/>
  <c r="E16" i="3"/>
  <c r="E15" i="3"/>
  <c r="Z19" i="8"/>
  <c r="Z18" i="8"/>
  <c r="Z17" i="8"/>
  <c r="Z16" i="8"/>
  <c r="F16" i="8"/>
  <c r="J84" i="21" s="1"/>
  <c r="H17" i="8"/>
  <c r="I85" i="21" s="1"/>
  <c r="D11" i="8"/>
  <c r="Z21" i="8"/>
  <c r="Y2" i="8"/>
  <c r="Z20" i="8"/>
  <c r="AC121" i="3"/>
  <c r="AC120" i="3"/>
  <c r="AC112" i="3"/>
  <c r="AC111" i="3"/>
  <c r="AC100" i="3"/>
  <c r="AC91" i="3"/>
  <c r="AC74" i="3"/>
  <c r="AC73" i="3"/>
  <c r="AC65" i="3"/>
  <c r="AC64" i="3"/>
  <c r="AF109" i="3"/>
  <c r="Z121" i="3" s="1"/>
  <c r="AF133" i="3"/>
  <c r="AF106" i="3"/>
  <c r="AF132" i="3"/>
  <c r="AF105" i="3"/>
  <c r="AF131" i="3"/>
  <c r="AF104" i="3"/>
  <c r="AF130" i="3"/>
  <c r="AF103" i="3"/>
  <c r="AE133" i="3"/>
  <c r="AE106" i="3"/>
  <c r="AE132" i="3"/>
  <c r="AE105" i="3"/>
  <c r="AE131" i="3"/>
  <c r="AE104" i="3"/>
  <c r="AE130" i="3"/>
  <c r="AE103" i="3"/>
  <c r="AF88" i="3"/>
  <c r="Z91" i="3" s="1"/>
  <c r="AF86" i="3"/>
  <c r="AF85" i="3"/>
  <c r="AF84" i="3"/>
  <c r="AF83" i="3"/>
  <c r="AE86" i="3"/>
  <c r="AE85" i="3"/>
  <c r="AE84" i="3"/>
  <c r="AE83" i="3"/>
  <c r="AF62" i="3"/>
  <c r="S48" i="3"/>
  <c r="S47" i="3"/>
  <c r="S46" i="3"/>
  <c r="S45" i="3"/>
  <c r="Z16" i="4"/>
  <c r="Z4" i="4" s="1"/>
  <c r="H11" i="5"/>
  <c r="H33" i="21" s="1"/>
  <c r="D7" i="2"/>
  <c r="T27" i="5"/>
  <c r="D19" i="5" s="1"/>
  <c r="T30" i="5"/>
  <c r="U30" i="5" s="1"/>
  <c r="T38" i="13"/>
  <c r="F19" i="5"/>
  <c r="J34" i="21" s="1"/>
  <c r="S8" i="5"/>
  <c r="U8" i="5" s="1"/>
  <c r="AI57" i="3"/>
  <c r="AI58" i="3"/>
  <c r="AD58" i="3" s="1"/>
  <c r="AG57" i="3"/>
  <c r="AG58" i="3"/>
  <c r="AD57" i="3" s="1"/>
  <c r="N28" i="4"/>
  <c r="N29" i="4"/>
  <c r="N27" i="4"/>
  <c r="AA16" i="3"/>
  <c r="V11" i="3"/>
  <c r="AA15" i="3"/>
  <c r="V10" i="3"/>
  <c r="AA12" i="3"/>
  <c r="V7" i="3"/>
  <c r="AA11" i="3"/>
  <c r="V6" i="3"/>
  <c r="AB48" i="3"/>
  <c r="AN42" i="3"/>
  <c r="AN41" i="3"/>
  <c r="AB47" i="3"/>
  <c r="AN40" i="3"/>
  <c r="AB46" i="3"/>
  <c r="AN39" i="3"/>
  <c r="AB45" i="3"/>
  <c r="T37" i="13"/>
  <c r="E13" i="10"/>
  <c r="E12" i="10"/>
  <c r="E11" i="10"/>
  <c r="E10" i="10"/>
  <c r="V65" i="3"/>
  <c r="V64" i="3"/>
  <c r="V63" i="3"/>
  <c r="AI54" i="3"/>
  <c r="AI53" i="3"/>
  <c r="AI52" i="3"/>
  <c r="AG54" i="3"/>
  <c r="AG53" i="3"/>
  <c r="AG52" i="3"/>
  <c r="D14" i="4"/>
  <c r="T42" i="4" s="1"/>
  <c r="W28" i="4"/>
  <c r="W29" i="4"/>
  <c r="W26" i="4"/>
  <c r="W18" i="4"/>
  <c r="U36" i="4"/>
  <c r="U35" i="4"/>
  <c r="E14" i="4"/>
  <c r="E13" i="4"/>
  <c r="E12" i="4"/>
  <c r="BA50" i="3"/>
  <c r="AY50" i="3"/>
  <c r="BA49" i="3"/>
  <c r="BA48" i="3"/>
  <c r="AT50" i="3"/>
  <c r="AQ49" i="3"/>
  <c r="AQ48" i="3"/>
  <c r="AH48" i="3"/>
  <c r="AH47" i="3"/>
  <c r="AH46" i="3"/>
  <c r="AH45" i="3"/>
  <c r="AG48" i="3"/>
  <c r="AG47" i="3"/>
  <c r="AG46" i="3"/>
  <c r="AG45" i="3"/>
  <c r="V48" i="3"/>
  <c r="V47" i="3"/>
  <c r="V46" i="3"/>
  <c r="V45" i="3"/>
  <c r="E17" i="3" s="1"/>
  <c r="D56" i="3"/>
  <c r="W80" i="3" s="1"/>
  <c r="D30" i="3"/>
  <c r="W77" i="3" s="1"/>
  <c r="AL54" i="3"/>
  <c r="AL53" i="3"/>
  <c r="K54" i="3"/>
  <c r="AA9" i="3"/>
  <c r="AO16" i="3" s="1"/>
  <c r="D37" i="3"/>
  <c r="W78" i="3" s="1"/>
  <c r="D49" i="3"/>
  <c r="W79" i="3" s="1"/>
  <c r="Y52" i="3"/>
  <c r="V3" i="3"/>
  <c r="R48" i="3"/>
  <c r="AW42" i="3" s="1"/>
  <c r="R41" i="3"/>
  <c r="AA47" i="3" s="1"/>
  <c r="R34" i="3"/>
  <c r="AW40" i="3" s="1"/>
  <c r="AA45" i="3"/>
  <c r="D17" i="3"/>
  <c r="W75" i="3" s="1"/>
  <c r="S38" i="10"/>
  <c r="H46" i="10"/>
  <c r="H45" i="10"/>
  <c r="H44" i="10"/>
  <c r="H43" i="10"/>
  <c r="H42" i="10"/>
  <c r="D18" i="10"/>
  <c r="H18" i="10"/>
  <c r="E18" i="10"/>
  <c r="F52" i="3"/>
  <c r="T29" i="5"/>
  <c r="D22" i="5" s="1"/>
  <c r="T28" i="5"/>
  <c r="T26" i="5"/>
  <c r="B18" i="5"/>
  <c r="B21" i="5"/>
  <c r="S41" i="13"/>
  <c r="T41" i="13"/>
  <c r="B17" i="6"/>
  <c r="B18" i="6"/>
  <c r="B14" i="6"/>
  <c r="B10" i="6"/>
  <c r="E18" i="6"/>
  <c r="E14" i="6"/>
  <c r="E10" i="6"/>
  <c r="S11" i="5"/>
  <c r="U11" i="5" s="1"/>
  <c r="E18" i="4"/>
  <c r="W83" i="3"/>
  <c r="V83" i="3"/>
  <c r="U83" i="3"/>
  <c r="AB4" i="2"/>
  <c r="V70" i="3"/>
  <c r="D32" i="12"/>
  <c r="D33" i="12"/>
  <c r="B4" i="4"/>
  <c r="AB3" i="2"/>
  <c r="B28" i="17"/>
  <c r="C28" i="17" s="1"/>
  <c r="D28" i="17" s="1"/>
  <c r="E28" i="17" s="1"/>
  <c r="F28" i="17" s="1"/>
  <c r="G28" i="17" s="1"/>
  <c r="H28" i="17" s="1"/>
  <c r="I28" i="17" s="1"/>
  <c r="J28" i="17" s="1"/>
  <c r="K28" i="17" s="1"/>
  <c r="L28" i="17" s="1"/>
  <c r="M28" i="17" s="1"/>
  <c r="N28" i="17" s="1"/>
  <c r="O28" i="17" s="1"/>
  <c r="P28" i="17" s="1"/>
  <c r="Q28" i="17" s="1"/>
  <c r="R28" i="17" s="1"/>
  <c r="S28" i="17" s="1"/>
  <c r="T28" i="17" s="1"/>
  <c r="U28" i="17" s="1"/>
  <c r="V28" i="17" s="1"/>
  <c r="W28" i="17" s="1"/>
  <c r="X28" i="17" s="1"/>
  <c r="Y28" i="17" s="1"/>
  <c r="Z28" i="17" s="1"/>
  <c r="AA28" i="17" s="1"/>
  <c r="AB28" i="17" s="1"/>
  <c r="AC28" i="17" s="1"/>
  <c r="AD28" i="17" s="1"/>
  <c r="AE28" i="17" s="1"/>
  <c r="AF28" i="17" s="1"/>
  <c r="AG28" i="17" s="1"/>
  <c r="AH28" i="17" s="1"/>
  <c r="AI28" i="17" s="1"/>
  <c r="AJ28" i="17" s="1"/>
  <c r="AK28" i="17" s="1"/>
  <c r="AL28" i="17" s="1"/>
  <c r="AM28" i="17" s="1"/>
  <c r="AN28" i="17" s="1"/>
  <c r="AO28" i="17" s="1"/>
  <c r="AP28" i="17" s="1"/>
  <c r="AQ28" i="17" s="1"/>
  <c r="AR28" i="17" s="1"/>
  <c r="AS28" i="17" s="1"/>
  <c r="AT28" i="17" s="1"/>
  <c r="AU28" i="17" s="1"/>
  <c r="AV28" i="17" s="1"/>
  <c r="AW28" i="17" s="1"/>
  <c r="AX28" i="17" s="1"/>
  <c r="AY28" i="17" s="1"/>
  <c r="AZ28" i="17" s="1"/>
  <c r="BA28" i="17" s="1"/>
  <c r="BB28" i="17" s="1"/>
  <c r="BC28" i="17" s="1"/>
  <c r="BD28" i="17" s="1"/>
  <c r="BE28" i="17" s="1"/>
  <c r="BF28" i="17" s="1"/>
  <c r="BG28" i="17" s="1"/>
  <c r="BH28" i="17" s="1"/>
  <c r="BI28" i="17" s="1"/>
  <c r="BJ28" i="17" s="1"/>
  <c r="BK28" i="17" s="1"/>
  <c r="BL28" i="17" s="1"/>
  <c r="BM28" i="17" s="1"/>
  <c r="BN28" i="17" s="1"/>
  <c r="BO28" i="17" s="1"/>
  <c r="BP28" i="17" s="1"/>
  <c r="BQ28" i="17" s="1"/>
  <c r="BR28" i="17" s="1"/>
  <c r="BS28" i="17" s="1"/>
  <c r="BT28" i="17" s="1"/>
  <c r="BU28" i="17" s="1"/>
  <c r="BV28" i="17" s="1"/>
  <c r="BW28" i="17" s="1"/>
  <c r="BX28" i="17" s="1"/>
  <c r="BY28" i="17" s="1"/>
  <c r="BZ28" i="17" s="1"/>
  <c r="CA28" i="17" s="1"/>
  <c r="CB28" i="17" s="1"/>
  <c r="CC28" i="17" s="1"/>
  <c r="CD28" i="17" s="1"/>
  <c r="CE28" i="17" s="1"/>
  <c r="CF28" i="17" s="1"/>
  <c r="CG28" i="17" s="1"/>
  <c r="CH28" i="17" s="1"/>
  <c r="CI28" i="17" s="1"/>
  <c r="CJ28" i="17" s="1"/>
  <c r="CK28" i="17" s="1"/>
  <c r="CL28" i="17" s="1"/>
  <c r="CM28" i="17" s="1"/>
  <c r="CN28" i="17" s="1"/>
  <c r="CO28" i="17" s="1"/>
  <c r="CP28" i="17" s="1"/>
  <c r="CQ28" i="17" s="1"/>
  <c r="CR28" i="17" s="1"/>
  <c r="CS28" i="17" s="1"/>
  <c r="CT28" i="17" s="1"/>
  <c r="CU28" i="17" s="1"/>
  <c r="CV28" i="17" s="1"/>
  <c r="CW28" i="17" s="1"/>
  <c r="CX28" i="17" s="1"/>
  <c r="CY28" i="17" s="1"/>
  <c r="CZ28" i="17" s="1"/>
  <c r="DA28" i="17" s="1"/>
  <c r="DB28" i="17" s="1"/>
  <c r="DC28" i="17" s="1"/>
  <c r="DD28" i="17" s="1"/>
  <c r="DE28" i="17" s="1"/>
  <c r="DF28" i="17" s="1"/>
  <c r="DG28" i="17" s="1"/>
  <c r="DH28" i="17" s="1"/>
  <c r="DI28" i="17" s="1"/>
  <c r="DJ28" i="17" s="1"/>
  <c r="DK28" i="17" s="1"/>
  <c r="DL28" i="17" s="1"/>
  <c r="DM28" i="17" s="1"/>
  <c r="DN28" i="17" s="1"/>
  <c r="DO28" i="17" s="1"/>
  <c r="DP28" i="17" s="1"/>
  <c r="B27" i="17"/>
  <c r="C27" i="17" s="1"/>
  <c r="D27" i="17" s="1"/>
  <c r="E27" i="17" s="1"/>
  <c r="F27" i="17" s="1"/>
  <c r="G27" i="17" s="1"/>
  <c r="H27" i="17" s="1"/>
  <c r="I27" i="17" s="1"/>
  <c r="J27" i="17" s="1"/>
  <c r="K27" i="17" s="1"/>
  <c r="L27" i="17" s="1"/>
  <c r="M27" i="17" s="1"/>
  <c r="N27" i="17" s="1"/>
  <c r="O27" i="17" s="1"/>
  <c r="P27" i="17" s="1"/>
  <c r="Q27" i="17" s="1"/>
  <c r="R27" i="17" s="1"/>
  <c r="S27" i="17" s="1"/>
  <c r="T27" i="17" s="1"/>
  <c r="U27" i="17" s="1"/>
  <c r="V27" i="17" s="1"/>
  <c r="W27" i="17" s="1"/>
  <c r="X27" i="17" s="1"/>
  <c r="Y27" i="17" s="1"/>
  <c r="Z27" i="17" s="1"/>
  <c r="AA27" i="17" s="1"/>
  <c r="AB27" i="17" s="1"/>
  <c r="AC27" i="17" s="1"/>
  <c r="AD27" i="17" s="1"/>
  <c r="AE27" i="17" s="1"/>
  <c r="AF27" i="17" s="1"/>
  <c r="AG27" i="17" s="1"/>
  <c r="AH27" i="17" s="1"/>
  <c r="AI27" i="17" s="1"/>
  <c r="AJ27" i="17" s="1"/>
  <c r="AK27" i="17" s="1"/>
  <c r="AL27" i="17" s="1"/>
  <c r="AM27" i="17" s="1"/>
  <c r="AN27" i="17" s="1"/>
  <c r="AO27" i="17" s="1"/>
  <c r="AP27" i="17" s="1"/>
  <c r="AQ27" i="17" s="1"/>
  <c r="AR27" i="17" s="1"/>
  <c r="AS27" i="17" s="1"/>
  <c r="AT27" i="17" s="1"/>
  <c r="AU27" i="17" s="1"/>
  <c r="AV27" i="17" s="1"/>
  <c r="AW27" i="17" s="1"/>
  <c r="AX27" i="17" s="1"/>
  <c r="AY27" i="17" s="1"/>
  <c r="AZ27" i="17" s="1"/>
  <c r="BA27" i="17" s="1"/>
  <c r="BB27" i="17" s="1"/>
  <c r="BC27" i="17" s="1"/>
  <c r="BD27" i="17" s="1"/>
  <c r="BE27" i="17" s="1"/>
  <c r="BF27" i="17" s="1"/>
  <c r="BG27" i="17" s="1"/>
  <c r="BH27" i="17" s="1"/>
  <c r="BI27" i="17" s="1"/>
  <c r="BJ27" i="17" s="1"/>
  <c r="BK27" i="17" s="1"/>
  <c r="BL27" i="17" s="1"/>
  <c r="BM27" i="17" s="1"/>
  <c r="BN27" i="17" s="1"/>
  <c r="BO27" i="17" s="1"/>
  <c r="BP27" i="17" s="1"/>
  <c r="BQ27" i="17" s="1"/>
  <c r="BR27" i="17" s="1"/>
  <c r="BS27" i="17" s="1"/>
  <c r="BT27" i="17" s="1"/>
  <c r="BU27" i="17" s="1"/>
  <c r="BV27" i="17" s="1"/>
  <c r="BW27" i="17" s="1"/>
  <c r="BX27" i="17" s="1"/>
  <c r="BY27" i="17" s="1"/>
  <c r="BZ27" i="17" s="1"/>
  <c r="CA27" i="17" s="1"/>
  <c r="CB27" i="17" s="1"/>
  <c r="CC27" i="17" s="1"/>
  <c r="CD27" i="17" s="1"/>
  <c r="CE27" i="17" s="1"/>
  <c r="CF27" i="17" s="1"/>
  <c r="CG27" i="17" s="1"/>
  <c r="CH27" i="17" s="1"/>
  <c r="CI27" i="17" s="1"/>
  <c r="CJ27" i="17" s="1"/>
  <c r="CK27" i="17" s="1"/>
  <c r="CL27" i="17" s="1"/>
  <c r="CM27" i="17" s="1"/>
  <c r="CN27" i="17" s="1"/>
  <c r="CO27" i="17" s="1"/>
  <c r="CP27" i="17" s="1"/>
  <c r="CQ27" i="17" s="1"/>
  <c r="CR27" i="17" s="1"/>
  <c r="CS27" i="17" s="1"/>
  <c r="CT27" i="17" s="1"/>
  <c r="CU27" i="17" s="1"/>
  <c r="CV27" i="17" s="1"/>
  <c r="CW27" i="17" s="1"/>
  <c r="CX27" i="17" s="1"/>
  <c r="CY27" i="17" s="1"/>
  <c r="CZ27" i="17" s="1"/>
  <c r="DA27" i="17" s="1"/>
  <c r="DB27" i="17" s="1"/>
  <c r="DC27" i="17" s="1"/>
  <c r="DD27" i="17" s="1"/>
  <c r="DE27" i="17" s="1"/>
  <c r="DF27" i="17" s="1"/>
  <c r="DG27" i="17" s="1"/>
  <c r="DH27" i="17" s="1"/>
  <c r="DI27" i="17" s="1"/>
  <c r="DJ27" i="17" s="1"/>
  <c r="DK27" i="17" s="1"/>
  <c r="DL27" i="17" s="1"/>
  <c r="DM27" i="17" s="1"/>
  <c r="DN27" i="17" s="1"/>
  <c r="DO27" i="17" s="1"/>
  <c r="DP27" i="17" s="1"/>
  <c r="B26" i="17"/>
  <c r="C26" i="17" s="1"/>
  <c r="D26" i="17" s="1"/>
  <c r="E26" i="17" s="1"/>
  <c r="F26" i="17" s="1"/>
  <c r="G26" i="17" s="1"/>
  <c r="H26" i="17" s="1"/>
  <c r="I26" i="17" s="1"/>
  <c r="J26" i="17" s="1"/>
  <c r="K26" i="17" s="1"/>
  <c r="L26" i="17" s="1"/>
  <c r="M26" i="17" s="1"/>
  <c r="N26" i="17" s="1"/>
  <c r="O26" i="17" s="1"/>
  <c r="P26" i="17" s="1"/>
  <c r="Q26" i="17" s="1"/>
  <c r="R26" i="17" s="1"/>
  <c r="S26" i="17" s="1"/>
  <c r="T26" i="17" s="1"/>
  <c r="U26" i="17" s="1"/>
  <c r="V26" i="17" s="1"/>
  <c r="W26" i="17" s="1"/>
  <c r="X26" i="17" s="1"/>
  <c r="Y26" i="17" s="1"/>
  <c r="Z26" i="17" s="1"/>
  <c r="AA26" i="17" s="1"/>
  <c r="AB26" i="17" s="1"/>
  <c r="AC26" i="17" s="1"/>
  <c r="AD26" i="17" s="1"/>
  <c r="AE26" i="17" s="1"/>
  <c r="AF26" i="17" s="1"/>
  <c r="AG26" i="17" s="1"/>
  <c r="AH26" i="17" s="1"/>
  <c r="AI26" i="17" s="1"/>
  <c r="AJ26" i="17" s="1"/>
  <c r="AK26" i="17" s="1"/>
  <c r="AL26" i="17" s="1"/>
  <c r="AM26" i="17" s="1"/>
  <c r="AN26" i="17" s="1"/>
  <c r="AO26" i="17" s="1"/>
  <c r="AP26" i="17" s="1"/>
  <c r="AQ26" i="17" s="1"/>
  <c r="AR26" i="17" s="1"/>
  <c r="AS26" i="17" s="1"/>
  <c r="AT26" i="17" s="1"/>
  <c r="AU26" i="17" s="1"/>
  <c r="AV26" i="17" s="1"/>
  <c r="AW26" i="17" s="1"/>
  <c r="AX26" i="17" s="1"/>
  <c r="AY26" i="17" s="1"/>
  <c r="AZ26" i="17" s="1"/>
  <c r="BA26" i="17" s="1"/>
  <c r="BB26" i="17" s="1"/>
  <c r="BC26" i="17" s="1"/>
  <c r="BD26" i="17" s="1"/>
  <c r="BE26" i="17" s="1"/>
  <c r="BF26" i="17" s="1"/>
  <c r="BG26" i="17" s="1"/>
  <c r="BH26" i="17" s="1"/>
  <c r="BI26" i="17" s="1"/>
  <c r="BJ26" i="17" s="1"/>
  <c r="BK26" i="17" s="1"/>
  <c r="BL26" i="17" s="1"/>
  <c r="BM26" i="17" s="1"/>
  <c r="BN26" i="17" s="1"/>
  <c r="BO26" i="17" s="1"/>
  <c r="BP26" i="17" s="1"/>
  <c r="BQ26" i="17" s="1"/>
  <c r="BR26" i="17" s="1"/>
  <c r="BS26" i="17" s="1"/>
  <c r="BT26" i="17" s="1"/>
  <c r="BU26" i="17" s="1"/>
  <c r="BV26" i="17" s="1"/>
  <c r="BW26" i="17" s="1"/>
  <c r="BX26" i="17" s="1"/>
  <c r="BY26" i="17" s="1"/>
  <c r="BZ26" i="17" s="1"/>
  <c r="CA26" i="17" s="1"/>
  <c r="CB26" i="17" s="1"/>
  <c r="CC26" i="17" s="1"/>
  <c r="CD26" i="17" s="1"/>
  <c r="CE26" i="17" s="1"/>
  <c r="CF26" i="17" s="1"/>
  <c r="CG26" i="17" s="1"/>
  <c r="CH26" i="17" s="1"/>
  <c r="CI26" i="17" s="1"/>
  <c r="CJ26" i="17" s="1"/>
  <c r="CK26" i="17" s="1"/>
  <c r="CL26" i="17" s="1"/>
  <c r="CM26" i="17" s="1"/>
  <c r="CN26" i="17" s="1"/>
  <c r="CO26" i="17" s="1"/>
  <c r="CP26" i="17" s="1"/>
  <c r="CQ26" i="17" s="1"/>
  <c r="CR26" i="17" s="1"/>
  <c r="CS26" i="17" s="1"/>
  <c r="CT26" i="17" s="1"/>
  <c r="CU26" i="17" s="1"/>
  <c r="CV26" i="17" s="1"/>
  <c r="CW26" i="17" s="1"/>
  <c r="CX26" i="17" s="1"/>
  <c r="CY26" i="17" s="1"/>
  <c r="CZ26" i="17" s="1"/>
  <c r="DA26" i="17" s="1"/>
  <c r="DB26" i="17" s="1"/>
  <c r="DC26" i="17" s="1"/>
  <c r="DD26" i="17" s="1"/>
  <c r="DE26" i="17" s="1"/>
  <c r="DF26" i="17" s="1"/>
  <c r="DG26" i="17" s="1"/>
  <c r="DH26" i="17" s="1"/>
  <c r="DI26" i="17" s="1"/>
  <c r="DJ26" i="17" s="1"/>
  <c r="DK26" i="17" s="1"/>
  <c r="DL26" i="17" s="1"/>
  <c r="DM26" i="17" s="1"/>
  <c r="DN26" i="17" s="1"/>
  <c r="DO26" i="17" s="1"/>
  <c r="DP26" i="17" s="1"/>
  <c r="B25" i="17"/>
  <c r="C25" i="17" s="1"/>
  <c r="D25" i="17" s="1"/>
  <c r="E25" i="17" s="1"/>
  <c r="F25" i="17" s="1"/>
  <c r="G25" i="17" s="1"/>
  <c r="H25" i="17" s="1"/>
  <c r="I25" i="17" s="1"/>
  <c r="J25" i="17" s="1"/>
  <c r="K25" i="17" s="1"/>
  <c r="L25" i="17" s="1"/>
  <c r="M25" i="17" s="1"/>
  <c r="N25" i="17" s="1"/>
  <c r="O25" i="17" s="1"/>
  <c r="P25" i="17" s="1"/>
  <c r="Q25" i="17" s="1"/>
  <c r="R25" i="17" s="1"/>
  <c r="S25" i="17" s="1"/>
  <c r="T25" i="17" s="1"/>
  <c r="U25" i="17" s="1"/>
  <c r="V25" i="17" s="1"/>
  <c r="W25" i="17" s="1"/>
  <c r="X25" i="17" s="1"/>
  <c r="Y25" i="17" s="1"/>
  <c r="Z25" i="17" s="1"/>
  <c r="AA25" i="17" s="1"/>
  <c r="AB25" i="17" s="1"/>
  <c r="AC25" i="17" s="1"/>
  <c r="AD25" i="17" s="1"/>
  <c r="AE25" i="17" s="1"/>
  <c r="AF25" i="17" s="1"/>
  <c r="AG25" i="17" s="1"/>
  <c r="AH25" i="17" s="1"/>
  <c r="AI25" i="17" s="1"/>
  <c r="AJ25" i="17" s="1"/>
  <c r="AK25" i="17" s="1"/>
  <c r="AL25" i="17" s="1"/>
  <c r="AM25" i="17" s="1"/>
  <c r="AN25" i="17" s="1"/>
  <c r="AO25" i="17" s="1"/>
  <c r="AP25" i="17" s="1"/>
  <c r="AQ25" i="17" s="1"/>
  <c r="AR25" i="17" s="1"/>
  <c r="AS25" i="17" s="1"/>
  <c r="AT25" i="17" s="1"/>
  <c r="AU25" i="17" s="1"/>
  <c r="AV25" i="17" s="1"/>
  <c r="AW25" i="17" s="1"/>
  <c r="AX25" i="17" s="1"/>
  <c r="AY25" i="17" s="1"/>
  <c r="AZ25" i="17" s="1"/>
  <c r="BA25" i="17" s="1"/>
  <c r="BB25" i="17" s="1"/>
  <c r="BC25" i="17" s="1"/>
  <c r="BD25" i="17" s="1"/>
  <c r="BE25" i="17" s="1"/>
  <c r="BF25" i="17" s="1"/>
  <c r="BG25" i="17" s="1"/>
  <c r="BH25" i="17" s="1"/>
  <c r="BI25" i="17" s="1"/>
  <c r="BJ25" i="17" s="1"/>
  <c r="BK25" i="17" s="1"/>
  <c r="BL25" i="17" s="1"/>
  <c r="BM25" i="17" s="1"/>
  <c r="BN25" i="17" s="1"/>
  <c r="BO25" i="17" s="1"/>
  <c r="BP25" i="17" s="1"/>
  <c r="BQ25" i="17" s="1"/>
  <c r="BR25" i="17" s="1"/>
  <c r="BS25" i="17" s="1"/>
  <c r="BT25" i="17" s="1"/>
  <c r="BU25" i="17" s="1"/>
  <c r="BV25" i="17" s="1"/>
  <c r="BW25" i="17" s="1"/>
  <c r="BX25" i="17" s="1"/>
  <c r="BY25" i="17" s="1"/>
  <c r="BZ25" i="17" s="1"/>
  <c r="CA25" i="17" s="1"/>
  <c r="CB25" i="17" s="1"/>
  <c r="CC25" i="17" s="1"/>
  <c r="CD25" i="17" s="1"/>
  <c r="CE25" i="17" s="1"/>
  <c r="CF25" i="17" s="1"/>
  <c r="CG25" i="17" s="1"/>
  <c r="CH25" i="17" s="1"/>
  <c r="CI25" i="17" s="1"/>
  <c r="CJ25" i="17" s="1"/>
  <c r="CK25" i="17" s="1"/>
  <c r="CL25" i="17" s="1"/>
  <c r="CM25" i="17" s="1"/>
  <c r="CN25" i="17" s="1"/>
  <c r="CO25" i="17" s="1"/>
  <c r="CP25" i="17" s="1"/>
  <c r="CQ25" i="17" s="1"/>
  <c r="CR25" i="17" s="1"/>
  <c r="CS25" i="17" s="1"/>
  <c r="CT25" i="17" s="1"/>
  <c r="CU25" i="17" s="1"/>
  <c r="CV25" i="17" s="1"/>
  <c r="CW25" i="17" s="1"/>
  <c r="CX25" i="17" s="1"/>
  <c r="CY25" i="17" s="1"/>
  <c r="CZ25" i="17" s="1"/>
  <c r="DA25" i="17" s="1"/>
  <c r="DB25" i="17" s="1"/>
  <c r="DC25" i="17" s="1"/>
  <c r="DD25" i="17" s="1"/>
  <c r="DE25" i="17" s="1"/>
  <c r="DF25" i="17" s="1"/>
  <c r="DG25" i="17" s="1"/>
  <c r="DH25" i="17" s="1"/>
  <c r="DI25" i="17" s="1"/>
  <c r="DJ25" i="17" s="1"/>
  <c r="DK25" i="17" s="1"/>
  <c r="DL25" i="17" s="1"/>
  <c r="DM25" i="17" s="1"/>
  <c r="DN25" i="17" s="1"/>
  <c r="DO25" i="17" s="1"/>
  <c r="DP25" i="17" s="1"/>
  <c r="B24" i="17"/>
  <c r="C24" i="17" s="1"/>
  <c r="D24" i="17" s="1"/>
  <c r="E24" i="17" s="1"/>
  <c r="F24" i="17" s="1"/>
  <c r="G24" i="17" s="1"/>
  <c r="H24" i="17" s="1"/>
  <c r="I24" i="17" s="1"/>
  <c r="J24" i="17" s="1"/>
  <c r="K24" i="17" s="1"/>
  <c r="L24" i="17" s="1"/>
  <c r="M24" i="17" s="1"/>
  <c r="N24" i="17" s="1"/>
  <c r="O24" i="17" s="1"/>
  <c r="P24" i="17" s="1"/>
  <c r="Q24" i="17" s="1"/>
  <c r="R24" i="17" s="1"/>
  <c r="S24" i="17" s="1"/>
  <c r="T24" i="17" s="1"/>
  <c r="U24" i="17" s="1"/>
  <c r="V24" i="17" s="1"/>
  <c r="W24" i="17" s="1"/>
  <c r="X24" i="17" s="1"/>
  <c r="Y24" i="17" s="1"/>
  <c r="Z24" i="17" s="1"/>
  <c r="AA24" i="17" s="1"/>
  <c r="AB24" i="17" s="1"/>
  <c r="AC24" i="17" s="1"/>
  <c r="AD24" i="17" s="1"/>
  <c r="AE24" i="17" s="1"/>
  <c r="AF24" i="17" s="1"/>
  <c r="AG24" i="17" s="1"/>
  <c r="AH24" i="17" s="1"/>
  <c r="AI24" i="17" s="1"/>
  <c r="AJ24" i="17" s="1"/>
  <c r="AK24" i="17" s="1"/>
  <c r="AL24" i="17" s="1"/>
  <c r="AM24" i="17" s="1"/>
  <c r="AN24" i="17" s="1"/>
  <c r="AO24" i="17" s="1"/>
  <c r="AP24" i="17" s="1"/>
  <c r="AQ24" i="17" s="1"/>
  <c r="AR24" i="17" s="1"/>
  <c r="AS24" i="17" s="1"/>
  <c r="AT24" i="17" s="1"/>
  <c r="AU24" i="17" s="1"/>
  <c r="AV24" i="17" s="1"/>
  <c r="AW24" i="17" s="1"/>
  <c r="AX24" i="17" s="1"/>
  <c r="AY24" i="17" s="1"/>
  <c r="AZ24" i="17" s="1"/>
  <c r="BA24" i="17" s="1"/>
  <c r="BB24" i="17" s="1"/>
  <c r="BC24" i="17" s="1"/>
  <c r="BD24" i="17" s="1"/>
  <c r="BE24" i="17" s="1"/>
  <c r="BF24" i="17" s="1"/>
  <c r="BG24" i="17" s="1"/>
  <c r="BH24" i="17" s="1"/>
  <c r="BI24" i="17" s="1"/>
  <c r="BJ24" i="17" s="1"/>
  <c r="BK24" i="17" s="1"/>
  <c r="BL24" i="17" s="1"/>
  <c r="BM24" i="17" s="1"/>
  <c r="BN24" i="17" s="1"/>
  <c r="BO24" i="17" s="1"/>
  <c r="BP24" i="17" s="1"/>
  <c r="BQ24" i="17" s="1"/>
  <c r="BR24" i="17" s="1"/>
  <c r="BS24" i="17" s="1"/>
  <c r="BT24" i="17" s="1"/>
  <c r="BU24" i="17" s="1"/>
  <c r="BV24" i="17" s="1"/>
  <c r="BW24" i="17" s="1"/>
  <c r="BX24" i="17" s="1"/>
  <c r="BY24" i="17" s="1"/>
  <c r="BZ24" i="17" s="1"/>
  <c r="CA24" i="17" s="1"/>
  <c r="CB24" i="17" s="1"/>
  <c r="CC24" i="17" s="1"/>
  <c r="CD24" i="17" s="1"/>
  <c r="CE24" i="17" s="1"/>
  <c r="CF24" i="17" s="1"/>
  <c r="CG24" i="17" s="1"/>
  <c r="CH24" i="17" s="1"/>
  <c r="CI24" i="17" s="1"/>
  <c r="CJ24" i="17" s="1"/>
  <c r="CK24" i="17" s="1"/>
  <c r="CL24" i="17" s="1"/>
  <c r="CM24" i="17" s="1"/>
  <c r="CN24" i="17" s="1"/>
  <c r="CO24" i="17" s="1"/>
  <c r="CP24" i="17" s="1"/>
  <c r="CQ24" i="17" s="1"/>
  <c r="CR24" i="17" s="1"/>
  <c r="CS24" i="17" s="1"/>
  <c r="CT24" i="17" s="1"/>
  <c r="CU24" i="17" s="1"/>
  <c r="CV24" i="17" s="1"/>
  <c r="CW24" i="17" s="1"/>
  <c r="CX24" i="17" s="1"/>
  <c r="CY24" i="17" s="1"/>
  <c r="CZ24" i="17" s="1"/>
  <c r="DA24" i="17" s="1"/>
  <c r="DB24" i="17" s="1"/>
  <c r="DC24" i="17" s="1"/>
  <c r="DD24" i="17" s="1"/>
  <c r="DE24" i="17" s="1"/>
  <c r="DF24" i="17" s="1"/>
  <c r="DG24" i="17" s="1"/>
  <c r="DH24" i="17" s="1"/>
  <c r="DI24" i="17" s="1"/>
  <c r="DJ24" i="17" s="1"/>
  <c r="DK24" i="17" s="1"/>
  <c r="DL24" i="17" s="1"/>
  <c r="DM24" i="17" s="1"/>
  <c r="DN24" i="17" s="1"/>
  <c r="DO24" i="17" s="1"/>
  <c r="DP24" i="17" s="1"/>
  <c r="B23" i="17"/>
  <c r="C23" i="17" s="1"/>
  <c r="D23" i="17" s="1"/>
  <c r="E23" i="17" s="1"/>
  <c r="F23" i="17" s="1"/>
  <c r="G23" i="17" s="1"/>
  <c r="H23" i="17" s="1"/>
  <c r="I23" i="17" s="1"/>
  <c r="J23" i="17" s="1"/>
  <c r="K23" i="17" s="1"/>
  <c r="L23" i="17" s="1"/>
  <c r="M23" i="17" s="1"/>
  <c r="N23" i="17" s="1"/>
  <c r="O23" i="17" s="1"/>
  <c r="P23" i="17" s="1"/>
  <c r="Q23" i="17" s="1"/>
  <c r="R23" i="17" s="1"/>
  <c r="S23" i="17" s="1"/>
  <c r="T23" i="17" s="1"/>
  <c r="U23" i="17" s="1"/>
  <c r="V23" i="17" s="1"/>
  <c r="W23" i="17" s="1"/>
  <c r="X23" i="17" s="1"/>
  <c r="Y23" i="17" s="1"/>
  <c r="Z23" i="17" s="1"/>
  <c r="AA23" i="17" s="1"/>
  <c r="AB23" i="17" s="1"/>
  <c r="AC23" i="17" s="1"/>
  <c r="AD23" i="17" s="1"/>
  <c r="AE23" i="17" s="1"/>
  <c r="AF23" i="17" s="1"/>
  <c r="AG23" i="17" s="1"/>
  <c r="AH23" i="17" s="1"/>
  <c r="AI23" i="17" s="1"/>
  <c r="AJ23" i="17" s="1"/>
  <c r="AK23" i="17" s="1"/>
  <c r="AL23" i="17" s="1"/>
  <c r="AM23" i="17" s="1"/>
  <c r="AN23" i="17" s="1"/>
  <c r="AO23" i="17" s="1"/>
  <c r="AP23" i="17" s="1"/>
  <c r="AQ23" i="17" s="1"/>
  <c r="AR23" i="17" s="1"/>
  <c r="AS23" i="17" s="1"/>
  <c r="AT23" i="17" s="1"/>
  <c r="AU23" i="17" s="1"/>
  <c r="AV23" i="17" s="1"/>
  <c r="AW23" i="17" s="1"/>
  <c r="AX23" i="17" s="1"/>
  <c r="AY23" i="17" s="1"/>
  <c r="AZ23" i="17" s="1"/>
  <c r="BA23" i="17" s="1"/>
  <c r="BB23" i="17" s="1"/>
  <c r="BC23" i="17" s="1"/>
  <c r="BD23" i="17" s="1"/>
  <c r="BE23" i="17" s="1"/>
  <c r="BF23" i="17" s="1"/>
  <c r="BG23" i="17" s="1"/>
  <c r="BH23" i="17" s="1"/>
  <c r="BI23" i="17" s="1"/>
  <c r="BJ23" i="17" s="1"/>
  <c r="BK23" i="17" s="1"/>
  <c r="BL23" i="17" s="1"/>
  <c r="BM23" i="17" s="1"/>
  <c r="BN23" i="17" s="1"/>
  <c r="BO23" i="17" s="1"/>
  <c r="BP23" i="17" s="1"/>
  <c r="BQ23" i="17" s="1"/>
  <c r="BR23" i="17" s="1"/>
  <c r="BS23" i="17" s="1"/>
  <c r="BT23" i="17" s="1"/>
  <c r="BU23" i="17" s="1"/>
  <c r="BV23" i="17" s="1"/>
  <c r="BW23" i="17" s="1"/>
  <c r="BX23" i="17" s="1"/>
  <c r="BY23" i="17" s="1"/>
  <c r="BZ23" i="17" s="1"/>
  <c r="CA23" i="17" s="1"/>
  <c r="CB23" i="17" s="1"/>
  <c r="CC23" i="17" s="1"/>
  <c r="CD23" i="17" s="1"/>
  <c r="CE23" i="17" s="1"/>
  <c r="CF23" i="17" s="1"/>
  <c r="CG23" i="17" s="1"/>
  <c r="CH23" i="17" s="1"/>
  <c r="CI23" i="17" s="1"/>
  <c r="CJ23" i="17" s="1"/>
  <c r="CK23" i="17" s="1"/>
  <c r="CL23" i="17" s="1"/>
  <c r="CM23" i="17" s="1"/>
  <c r="CN23" i="17" s="1"/>
  <c r="CO23" i="17" s="1"/>
  <c r="CP23" i="17" s="1"/>
  <c r="CQ23" i="17" s="1"/>
  <c r="CR23" i="17" s="1"/>
  <c r="CS23" i="17" s="1"/>
  <c r="CT23" i="17" s="1"/>
  <c r="CU23" i="17" s="1"/>
  <c r="CV23" i="17" s="1"/>
  <c r="CW23" i="17" s="1"/>
  <c r="CX23" i="17" s="1"/>
  <c r="CY23" i="17" s="1"/>
  <c r="CZ23" i="17" s="1"/>
  <c r="DA23" i="17" s="1"/>
  <c r="DB23" i="17" s="1"/>
  <c r="DC23" i="17" s="1"/>
  <c r="DD23" i="17" s="1"/>
  <c r="DE23" i="17" s="1"/>
  <c r="DF23" i="17" s="1"/>
  <c r="DG23" i="17" s="1"/>
  <c r="DH23" i="17" s="1"/>
  <c r="DI23" i="17" s="1"/>
  <c r="DJ23" i="17" s="1"/>
  <c r="DK23" i="17" s="1"/>
  <c r="DL23" i="17" s="1"/>
  <c r="DM23" i="17" s="1"/>
  <c r="DN23" i="17" s="1"/>
  <c r="DO23" i="17" s="1"/>
  <c r="DP23" i="17" s="1"/>
  <c r="B22" i="17"/>
  <c r="C22" i="17" s="1"/>
  <c r="D22" i="17" s="1"/>
  <c r="E22" i="17" s="1"/>
  <c r="F22" i="17" s="1"/>
  <c r="G22" i="17" s="1"/>
  <c r="H22" i="17" s="1"/>
  <c r="I22" i="17" s="1"/>
  <c r="J22" i="17" s="1"/>
  <c r="K22" i="17" s="1"/>
  <c r="L22" i="17" s="1"/>
  <c r="M22" i="17" s="1"/>
  <c r="N22" i="17" s="1"/>
  <c r="O22" i="17" s="1"/>
  <c r="P22" i="17" s="1"/>
  <c r="Q22" i="17" s="1"/>
  <c r="R22" i="17" s="1"/>
  <c r="S22" i="17" s="1"/>
  <c r="T22" i="17" s="1"/>
  <c r="U22" i="17" s="1"/>
  <c r="V22" i="17" s="1"/>
  <c r="W22" i="17" s="1"/>
  <c r="X22" i="17" s="1"/>
  <c r="Y22" i="17" s="1"/>
  <c r="Z22" i="17" s="1"/>
  <c r="AA22" i="17" s="1"/>
  <c r="AB22" i="17" s="1"/>
  <c r="AC22" i="17" s="1"/>
  <c r="AD22" i="17" s="1"/>
  <c r="AE22" i="17" s="1"/>
  <c r="AF22" i="17" s="1"/>
  <c r="AG22" i="17" s="1"/>
  <c r="AH22" i="17" s="1"/>
  <c r="AI22" i="17" s="1"/>
  <c r="AJ22" i="17" s="1"/>
  <c r="AK22" i="17" s="1"/>
  <c r="AL22" i="17" s="1"/>
  <c r="AM22" i="17" s="1"/>
  <c r="AN22" i="17" s="1"/>
  <c r="AO22" i="17" s="1"/>
  <c r="AP22" i="17" s="1"/>
  <c r="AQ22" i="17" s="1"/>
  <c r="AR22" i="17" s="1"/>
  <c r="AS22" i="17" s="1"/>
  <c r="AT22" i="17" s="1"/>
  <c r="AU22" i="17" s="1"/>
  <c r="AV22" i="17" s="1"/>
  <c r="AW22" i="17" s="1"/>
  <c r="AX22" i="17" s="1"/>
  <c r="AY22" i="17" s="1"/>
  <c r="AZ22" i="17" s="1"/>
  <c r="BA22" i="17" s="1"/>
  <c r="BB22" i="17" s="1"/>
  <c r="BC22" i="17" s="1"/>
  <c r="BD22" i="17" s="1"/>
  <c r="BE22" i="17" s="1"/>
  <c r="BF22" i="17" s="1"/>
  <c r="BG22" i="17" s="1"/>
  <c r="BH22" i="17" s="1"/>
  <c r="BI22" i="17" s="1"/>
  <c r="BJ22" i="17" s="1"/>
  <c r="BK22" i="17" s="1"/>
  <c r="BL22" i="17" s="1"/>
  <c r="BM22" i="17" s="1"/>
  <c r="BN22" i="17" s="1"/>
  <c r="BO22" i="17" s="1"/>
  <c r="BP22" i="17" s="1"/>
  <c r="BQ22" i="17" s="1"/>
  <c r="BR22" i="17" s="1"/>
  <c r="BS22" i="17" s="1"/>
  <c r="BT22" i="17" s="1"/>
  <c r="BU22" i="17" s="1"/>
  <c r="BV22" i="17" s="1"/>
  <c r="BW22" i="17" s="1"/>
  <c r="BX22" i="17" s="1"/>
  <c r="BY22" i="17" s="1"/>
  <c r="BZ22" i="17" s="1"/>
  <c r="CA22" i="17" s="1"/>
  <c r="CB22" i="17" s="1"/>
  <c r="CC22" i="17" s="1"/>
  <c r="CD22" i="17" s="1"/>
  <c r="CE22" i="17" s="1"/>
  <c r="CF22" i="17" s="1"/>
  <c r="CG22" i="17" s="1"/>
  <c r="CH22" i="17" s="1"/>
  <c r="CI22" i="17" s="1"/>
  <c r="CJ22" i="17" s="1"/>
  <c r="CK22" i="17" s="1"/>
  <c r="CL22" i="17" s="1"/>
  <c r="CM22" i="17" s="1"/>
  <c r="CN22" i="17" s="1"/>
  <c r="CO22" i="17" s="1"/>
  <c r="CP22" i="17" s="1"/>
  <c r="CQ22" i="17" s="1"/>
  <c r="CR22" i="17" s="1"/>
  <c r="CS22" i="17" s="1"/>
  <c r="CT22" i="17" s="1"/>
  <c r="CU22" i="17" s="1"/>
  <c r="CV22" i="17" s="1"/>
  <c r="CW22" i="17" s="1"/>
  <c r="CX22" i="17" s="1"/>
  <c r="CY22" i="17" s="1"/>
  <c r="CZ22" i="17" s="1"/>
  <c r="DA22" i="17" s="1"/>
  <c r="DB22" i="17" s="1"/>
  <c r="DC22" i="17" s="1"/>
  <c r="DD22" i="17" s="1"/>
  <c r="DE22" i="17" s="1"/>
  <c r="DF22" i="17" s="1"/>
  <c r="DG22" i="17" s="1"/>
  <c r="DH22" i="17" s="1"/>
  <c r="DI22" i="17" s="1"/>
  <c r="DJ22" i="17" s="1"/>
  <c r="DK22" i="17" s="1"/>
  <c r="DL22" i="17" s="1"/>
  <c r="DM22" i="17" s="1"/>
  <c r="DN22" i="17" s="1"/>
  <c r="DO22" i="17" s="1"/>
  <c r="DP22" i="17" s="1"/>
  <c r="B21" i="17"/>
  <c r="C21" i="17" s="1"/>
  <c r="D21" i="17" s="1"/>
  <c r="E21" i="17" s="1"/>
  <c r="F21" i="17" s="1"/>
  <c r="G21" i="17" s="1"/>
  <c r="H21" i="17" s="1"/>
  <c r="I21" i="17" s="1"/>
  <c r="J21" i="17" s="1"/>
  <c r="K21" i="17" s="1"/>
  <c r="L21" i="17" s="1"/>
  <c r="M21" i="17" s="1"/>
  <c r="N21" i="17" s="1"/>
  <c r="O21" i="17" s="1"/>
  <c r="P21" i="17" s="1"/>
  <c r="Q21" i="17" s="1"/>
  <c r="R21" i="17" s="1"/>
  <c r="S21" i="17" s="1"/>
  <c r="T21" i="17" s="1"/>
  <c r="U21" i="17" s="1"/>
  <c r="V21" i="17" s="1"/>
  <c r="W21" i="17" s="1"/>
  <c r="X21" i="17" s="1"/>
  <c r="Y21" i="17" s="1"/>
  <c r="Z21" i="17" s="1"/>
  <c r="AA21" i="17" s="1"/>
  <c r="AB21" i="17" s="1"/>
  <c r="AC21" i="17" s="1"/>
  <c r="AD21" i="17" s="1"/>
  <c r="AE21" i="17" s="1"/>
  <c r="AF21" i="17" s="1"/>
  <c r="AG21" i="17" s="1"/>
  <c r="AH21" i="17" s="1"/>
  <c r="AI21" i="17" s="1"/>
  <c r="AJ21" i="17" s="1"/>
  <c r="AK21" i="17" s="1"/>
  <c r="AL21" i="17" s="1"/>
  <c r="AM21" i="17" s="1"/>
  <c r="AN21" i="17" s="1"/>
  <c r="AO21" i="17" s="1"/>
  <c r="AP21" i="17" s="1"/>
  <c r="AQ21" i="17" s="1"/>
  <c r="AR21" i="17" s="1"/>
  <c r="AS21" i="17" s="1"/>
  <c r="AT21" i="17" s="1"/>
  <c r="AU21" i="17" s="1"/>
  <c r="AV21" i="17" s="1"/>
  <c r="AW21" i="17" s="1"/>
  <c r="AX21" i="17" s="1"/>
  <c r="AY21" i="17" s="1"/>
  <c r="AZ21" i="17" s="1"/>
  <c r="BA21" i="17" s="1"/>
  <c r="BB21" i="17" s="1"/>
  <c r="BC21" i="17" s="1"/>
  <c r="BD21" i="17" s="1"/>
  <c r="BE21" i="17" s="1"/>
  <c r="BF21" i="17" s="1"/>
  <c r="BG21" i="17" s="1"/>
  <c r="BH21" i="17" s="1"/>
  <c r="BI21" i="17" s="1"/>
  <c r="BJ21" i="17" s="1"/>
  <c r="BK21" i="17" s="1"/>
  <c r="BL21" i="17" s="1"/>
  <c r="BM21" i="17" s="1"/>
  <c r="BN21" i="17" s="1"/>
  <c r="BO21" i="17" s="1"/>
  <c r="BP21" i="17" s="1"/>
  <c r="BQ21" i="17" s="1"/>
  <c r="BR21" i="17" s="1"/>
  <c r="BS21" i="17" s="1"/>
  <c r="BT21" i="17" s="1"/>
  <c r="BU21" i="17" s="1"/>
  <c r="BV21" i="17" s="1"/>
  <c r="BW21" i="17" s="1"/>
  <c r="BX21" i="17" s="1"/>
  <c r="BY21" i="17" s="1"/>
  <c r="BZ21" i="17" s="1"/>
  <c r="CA21" i="17" s="1"/>
  <c r="CB21" i="17" s="1"/>
  <c r="CC21" i="17" s="1"/>
  <c r="CD21" i="17" s="1"/>
  <c r="CE21" i="17" s="1"/>
  <c r="CF21" i="17" s="1"/>
  <c r="CG21" i="17" s="1"/>
  <c r="CH21" i="17" s="1"/>
  <c r="CI21" i="17" s="1"/>
  <c r="CJ21" i="17" s="1"/>
  <c r="CK21" i="17" s="1"/>
  <c r="CL21" i="17" s="1"/>
  <c r="CM21" i="17" s="1"/>
  <c r="CN21" i="17" s="1"/>
  <c r="CO21" i="17" s="1"/>
  <c r="CP21" i="17" s="1"/>
  <c r="CQ21" i="17" s="1"/>
  <c r="CR21" i="17" s="1"/>
  <c r="CS21" i="17" s="1"/>
  <c r="CT21" i="17" s="1"/>
  <c r="CU21" i="17" s="1"/>
  <c r="CV21" i="17" s="1"/>
  <c r="CW21" i="17" s="1"/>
  <c r="CX21" i="17" s="1"/>
  <c r="CY21" i="17" s="1"/>
  <c r="CZ21" i="17" s="1"/>
  <c r="DA21" i="17" s="1"/>
  <c r="DB21" i="17" s="1"/>
  <c r="DC21" i="17" s="1"/>
  <c r="DD21" i="17" s="1"/>
  <c r="DE21" i="17" s="1"/>
  <c r="DF21" i="17" s="1"/>
  <c r="DG21" i="17" s="1"/>
  <c r="DH21" i="17" s="1"/>
  <c r="DI21" i="17" s="1"/>
  <c r="DJ21" i="17" s="1"/>
  <c r="DK21" i="17" s="1"/>
  <c r="DL21" i="17" s="1"/>
  <c r="DM21" i="17" s="1"/>
  <c r="DN21" i="17" s="1"/>
  <c r="DO21" i="17" s="1"/>
  <c r="DP21" i="17" s="1"/>
  <c r="B20" i="17"/>
  <c r="C20" i="17" s="1"/>
  <c r="D20" i="17" s="1"/>
  <c r="E20" i="17" s="1"/>
  <c r="F20" i="17" s="1"/>
  <c r="G20" i="17" s="1"/>
  <c r="H20" i="17" s="1"/>
  <c r="I20" i="17" s="1"/>
  <c r="J20" i="17" s="1"/>
  <c r="K20" i="17" s="1"/>
  <c r="L20" i="17" s="1"/>
  <c r="M20" i="17" s="1"/>
  <c r="N20" i="17" s="1"/>
  <c r="O20" i="17" s="1"/>
  <c r="P20" i="17" s="1"/>
  <c r="Q20" i="17" s="1"/>
  <c r="R20" i="17" s="1"/>
  <c r="S20" i="17" s="1"/>
  <c r="T20" i="17" s="1"/>
  <c r="U20" i="17" s="1"/>
  <c r="V20" i="17" s="1"/>
  <c r="W20" i="17" s="1"/>
  <c r="X20" i="17" s="1"/>
  <c r="Y20" i="17" s="1"/>
  <c r="Z20" i="17" s="1"/>
  <c r="AA20" i="17" s="1"/>
  <c r="AB20" i="17" s="1"/>
  <c r="AC20" i="17" s="1"/>
  <c r="AD20" i="17" s="1"/>
  <c r="AE20" i="17" s="1"/>
  <c r="AF20" i="17" s="1"/>
  <c r="AG20" i="17" s="1"/>
  <c r="AH20" i="17" s="1"/>
  <c r="AI20" i="17" s="1"/>
  <c r="AJ20" i="17" s="1"/>
  <c r="AK20" i="17" s="1"/>
  <c r="AL20" i="17" s="1"/>
  <c r="AM20" i="17" s="1"/>
  <c r="AN20" i="17" s="1"/>
  <c r="AO20" i="17" s="1"/>
  <c r="AP20" i="17" s="1"/>
  <c r="AQ20" i="17" s="1"/>
  <c r="AR20" i="17" s="1"/>
  <c r="AS20" i="17" s="1"/>
  <c r="AT20" i="17" s="1"/>
  <c r="AU20" i="17" s="1"/>
  <c r="AV20" i="17" s="1"/>
  <c r="AW20" i="17" s="1"/>
  <c r="AX20" i="17" s="1"/>
  <c r="AY20" i="17" s="1"/>
  <c r="AZ20" i="17" s="1"/>
  <c r="BA20" i="17" s="1"/>
  <c r="BB20" i="17" s="1"/>
  <c r="BC20" i="17" s="1"/>
  <c r="B19" i="17"/>
  <c r="C19" i="17" s="1"/>
  <c r="D19" i="17" s="1"/>
  <c r="E19" i="17" s="1"/>
  <c r="F19" i="17" s="1"/>
  <c r="G19" i="17" s="1"/>
  <c r="H19" i="17" s="1"/>
  <c r="I19" i="17" s="1"/>
  <c r="J19" i="17" s="1"/>
  <c r="K19" i="17" s="1"/>
  <c r="L19" i="17" s="1"/>
  <c r="M19" i="17" s="1"/>
  <c r="N19" i="17" s="1"/>
  <c r="O19" i="17" s="1"/>
  <c r="P19" i="17" s="1"/>
  <c r="Q19" i="17" s="1"/>
  <c r="R19" i="17" s="1"/>
  <c r="S19" i="17" s="1"/>
  <c r="T19" i="17" s="1"/>
  <c r="U19" i="17" s="1"/>
  <c r="V19" i="17" s="1"/>
  <c r="W19" i="17" s="1"/>
  <c r="X19" i="17" s="1"/>
  <c r="Y19" i="17" s="1"/>
  <c r="Z19" i="17" s="1"/>
  <c r="AA19" i="17" s="1"/>
  <c r="AB19" i="17" s="1"/>
  <c r="AC19" i="17" s="1"/>
  <c r="AD19" i="17" s="1"/>
  <c r="AE19" i="17" s="1"/>
  <c r="AF19" i="17" s="1"/>
  <c r="AG19" i="17" s="1"/>
  <c r="AH19" i="17" s="1"/>
  <c r="AI19" i="17" s="1"/>
  <c r="AJ19" i="17" s="1"/>
  <c r="AK19" i="17" s="1"/>
  <c r="AL19" i="17" s="1"/>
  <c r="AM19" i="17" s="1"/>
  <c r="AN19" i="17" s="1"/>
  <c r="AO19" i="17" s="1"/>
  <c r="AP19" i="17" s="1"/>
  <c r="AQ19" i="17" s="1"/>
  <c r="AR19" i="17" s="1"/>
  <c r="AS19" i="17" s="1"/>
  <c r="AT19" i="17" s="1"/>
  <c r="AU19" i="17" s="1"/>
  <c r="AV19" i="17" s="1"/>
  <c r="AW19" i="17" s="1"/>
  <c r="AX19" i="17" s="1"/>
  <c r="AY19" i="17" s="1"/>
  <c r="AZ19" i="17" s="1"/>
  <c r="BA19" i="17" s="1"/>
  <c r="BB19" i="17" s="1"/>
  <c r="BC19" i="17" s="1"/>
  <c r="BD19" i="17" s="1"/>
  <c r="BE19" i="17" s="1"/>
  <c r="BF19" i="17" s="1"/>
  <c r="BG19" i="17" s="1"/>
  <c r="BH19" i="17" s="1"/>
  <c r="BI19" i="17" s="1"/>
  <c r="BJ19" i="17" s="1"/>
  <c r="BK19" i="17" s="1"/>
  <c r="BL19" i="17" s="1"/>
  <c r="BM19" i="17" s="1"/>
  <c r="BN19" i="17" s="1"/>
  <c r="BO19" i="17" s="1"/>
  <c r="BP19" i="17" s="1"/>
  <c r="BQ19" i="17" s="1"/>
  <c r="BR19" i="17" s="1"/>
  <c r="BS19" i="17" s="1"/>
  <c r="BT19" i="17" s="1"/>
  <c r="BU19" i="17" s="1"/>
  <c r="BV19" i="17" s="1"/>
  <c r="BW19" i="17" s="1"/>
  <c r="BX19" i="17" s="1"/>
  <c r="BY19" i="17" s="1"/>
  <c r="BZ19" i="17" s="1"/>
  <c r="CA19" i="17" s="1"/>
  <c r="CB19" i="17" s="1"/>
  <c r="CC19" i="17" s="1"/>
  <c r="CD19" i="17" s="1"/>
  <c r="CE19" i="17" s="1"/>
  <c r="CF19" i="17" s="1"/>
  <c r="CG19" i="17" s="1"/>
  <c r="CH19" i="17" s="1"/>
  <c r="CI19" i="17" s="1"/>
  <c r="CJ19" i="17" s="1"/>
  <c r="CK19" i="17" s="1"/>
  <c r="CL19" i="17" s="1"/>
  <c r="CM19" i="17" s="1"/>
  <c r="CN19" i="17" s="1"/>
  <c r="CO19" i="17" s="1"/>
  <c r="CP19" i="17" s="1"/>
  <c r="CQ19" i="17" s="1"/>
  <c r="CR19" i="17" s="1"/>
  <c r="CS19" i="17" s="1"/>
  <c r="CT19" i="17" s="1"/>
  <c r="CU19" i="17" s="1"/>
  <c r="CV19" i="17" s="1"/>
  <c r="CW19" i="17" s="1"/>
  <c r="CX19" i="17" s="1"/>
  <c r="CY19" i="17" s="1"/>
  <c r="CZ19" i="17" s="1"/>
  <c r="DA19" i="17" s="1"/>
  <c r="DB19" i="17" s="1"/>
  <c r="DC19" i="17" s="1"/>
  <c r="DD19" i="17" s="1"/>
  <c r="DE19" i="17" s="1"/>
  <c r="DF19" i="17" s="1"/>
  <c r="DG19" i="17" s="1"/>
  <c r="DH19" i="17" s="1"/>
  <c r="DI19" i="17" s="1"/>
  <c r="DJ19" i="17" s="1"/>
  <c r="DK19" i="17" s="1"/>
  <c r="DL19" i="17" s="1"/>
  <c r="DM19" i="17" s="1"/>
  <c r="DN19" i="17" s="1"/>
  <c r="DO19" i="17" s="1"/>
  <c r="DP19" i="17" s="1"/>
  <c r="B18" i="17"/>
  <c r="C18" i="17" s="1"/>
  <c r="D18" i="17" s="1"/>
  <c r="E18" i="17" s="1"/>
  <c r="F18" i="17" s="1"/>
  <c r="G18" i="17" s="1"/>
  <c r="H18" i="17" s="1"/>
  <c r="I18" i="17" s="1"/>
  <c r="J18" i="17" s="1"/>
  <c r="K18" i="17" s="1"/>
  <c r="L18" i="17" s="1"/>
  <c r="M18" i="17" s="1"/>
  <c r="N18" i="17" s="1"/>
  <c r="O18" i="17" s="1"/>
  <c r="P18" i="17" s="1"/>
  <c r="Q18" i="17" s="1"/>
  <c r="R18" i="17" s="1"/>
  <c r="S18" i="17" s="1"/>
  <c r="T18" i="17" s="1"/>
  <c r="U18" i="17" s="1"/>
  <c r="V18" i="17" s="1"/>
  <c r="W18" i="17" s="1"/>
  <c r="X18" i="17" s="1"/>
  <c r="Y18" i="17" s="1"/>
  <c r="Z18" i="17" s="1"/>
  <c r="AA18" i="17" s="1"/>
  <c r="AB18" i="17" s="1"/>
  <c r="AC18" i="17" s="1"/>
  <c r="AD18" i="17" s="1"/>
  <c r="AE18" i="17" s="1"/>
  <c r="AF18" i="17" s="1"/>
  <c r="AG18" i="17" s="1"/>
  <c r="AH18" i="17" s="1"/>
  <c r="AI18" i="17" s="1"/>
  <c r="AJ18" i="17" s="1"/>
  <c r="AK18" i="17" s="1"/>
  <c r="AL18" i="17" s="1"/>
  <c r="AM18" i="17" s="1"/>
  <c r="AN18" i="17" s="1"/>
  <c r="AO18" i="17" s="1"/>
  <c r="AP18" i="17" s="1"/>
  <c r="AQ18" i="17" s="1"/>
  <c r="AR18" i="17" s="1"/>
  <c r="AS18" i="17" s="1"/>
  <c r="AT18" i="17" s="1"/>
  <c r="AU18" i="17" s="1"/>
  <c r="AV18" i="17" s="1"/>
  <c r="AW18" i="17" s="1"/>
  <c r="AX18" i="17" s="1"/>
  <c r="AY18" i="17" s="1"/>
  <c r="AZ18" i="17" s="1"/>
  <c r="BA18" i="17" s="1"/>
  <c r="BB18" i="17" s="1"/>
  <c r="BC18" i="17" s="1"/>
  <c r="BD18" i="17" s="1"/>
  <c r="BE18" i="17" s="1"/>
  <c r="BF18" i="17" s="1"/>
  <c r="BG18" i="17" s="1"/>
  <c r="BH18" i="17" s="1"/>
  <c r="BI18" i="17" s="1"/>
  <c r="BJ18" i="17" s="1"/>
  <c r="BK18" i="17" s="1"/>
  <c r="BL18" i="17" s="1"/>
  <c r="BM18" i="17" s="1"/>
  <c r="BN18" i="17" s="1"/>
  <c r="BO18" i="17" s="1"/>
  <c r="BP18" i="17" s="1"/>
  <c r="BQ18" i="17" s="1"/>
  <c r="BR18" i="17" s="1"/>
  <c r="BS18" i="17" s="1"/>
  <c r="BT18" i="17" s="1"/>
  <c r="BU18" i="17" s="1"/>
  <c r="BV18" i="17" s="1"/>
  <c r="BW18" i="17" s="1"/>
  <c r="BX18" i="17" s="1"/>
  <c r="BY18" i="17" s="1"/>
  <c r="BZ18" i="17" s="1"/>
  <c r="CA18" i="17" s="1"/>
  <c r="CB18" i="17" s="1"/>
  <c r="CC18" i="17" s="1"/>
  <c r="CD18" i="17" s="1"/>
  <c r="CE18" i="17" s="1"/>
  <c r="CF18" i="17" s="1"/>
  <c r="CG18" i="17" s="1"/>
  <c r="CH18" i="17" s="1"/>
  <c r="CI18" i="17" s="1"/>
  <c r="CJ18" i="17" s="1"/>
  <c r="CK18" i="17" s="1"/>
  <c r="CL18" i="17" s="1"/>
  <c r="CM18" i="17" s="1"/>
  <c r="CN18" i="17" s="1"/>
  <c r="CO18" i="17" s="1"/>
  <c r="CP18" i="17" s="1"/>
  <c r="CQ18" i="17" s="1"/>
  <c r="CR18" i="17" s="1"/>
  <c r="CS18" i="17" s="1"/>
  <c r="CT18" i="17" s="1"/>
  <c r="CU18" i="17" s="1"/>
  <c r="CV18" i="17" s="1"/>
  <c r="CW18" i="17" s="1"/>
  <c r="CX18" i="17" s="1"/>
  <c r="CY18" i="17" s="1"/>
  <c r="CZ18" i="17" s="1"/>
  <c r="DA18" i="17" s="1"/>
  <c r="DB18" i="17" s="1"/>
  <c r="DC18" i="17" s="1"/>
  <c r="DD18" i="17" s="1"/>
  <c r="DE18" i="17" s="1"/>
  <c r="DF18" i="17" s="1"/>
  <c r="DG18" i="17" s="1"/>
  <c r="DH18" i="17" s="1"/>
  <c r="DI18" i="17" s="1"/>
  <c r="DJ18" i="17" s="1"/>
  <c r="DK18" i="17" s="1"/>
  <c r="DL18" i="17" s="1"/>
  <c r="DM18" i="17" s="1"/>
  <c r="DN18" i="17" s="1"/>
  <c r="DO18" i="17" s="1"/>
  <c r="DP18" i="17" s="1"/>
  <c r="B17" i="17"/>
  <c r="C17" i="17" s="1"/>
  <c r="D17" i="17" s="1"/>
  <c r="E17" i="17" s="1"/>
  <c r="F17" i="17" s="1"/>
  <c r="G17" i="17" s="1"/>
  <c r="H17" i="17" s="1"/>
  <c r="I17" i="17" s="1"/>
  <c r="J17" i="17" s="1"/>
  <c r="K17" i="17" s="1"/>
  <c r="L17" i="17" s="1"/>
  <c r="M17" i="17" s="1"/>
  <c r="N17" i="17" s="1"/>
  <c r="O17" i="17" s="1"/>
  <c r="P17" i="17" s="1"/>
  <c r="Q17" i="17" s="1"/>
  <c r="R17" i="17" s="1"/>
  <c r="S17" i="17" s="1"/>
  <c r="T17" i="17" s="1"/>
  <c r="U17" i="17" s="1"/>
  <c r="V17" i="17" s="1"/>
  <c r="W17" i="17" s="1"/>
  <c r="X17" i="17" s="1"/>
  <c r="Y17" i="17" s="1"/>
  <c r="Z17" i="17" s="1"/>
  <c r="AA17" i="17" s="1"/>
  <c r="AB17" i="17" s="1"/>
  <c r="AC17" i="17" s="1"/>
  <c r="AD17" i="17" s="1"/>
  <c r="AE17" i="17" s="1"/>
  <c r="AF17" i="17" s="1"/>
  <c r="AG17" i="17" s="1"/>
  <c r="AH17" i="17" s="1"/>
  <c r="AI17" i="17" s="1"/>
  <c r="AJ17" i="17" s="1"/>
  <c r="AK17" i="17" s="1"/>
  <c r="AL17" i="17" s="1"/>
  <c r="AM17" i="17" s="1"/>
  <c r="AN17" i="17" s="1"/>
  <c r="AO17" i="17" s="1"/>
  <c r="AP17" i="17" s="1"/>
  <c r="AQ17" i="17" s="1"/>
  <c r="AR17" i="17" s="1"/>
  <c r="AS17" i="17" s="1"/>
  <c r="AT17" i="17" s="1"/>
  <c r="AU17" i="17" s="1"/>
  <c r="AV17" i="17" s="1"/>
  <c r="AW17" i="17" s="1"/>
  <c r="AX17" i="17" s="1"/>
  <c r="AY17" i="17" s="1"/>
  <c r="AZ17" i="17" s="1"/>
  <c r="BA17" i="17" s="1"/>
  <c r="BB17" i="17" s="1"/>
  <c r="BC17" i="17" s="1"/>
  <c r="BD17" i="17" s="1"/>
  <c r="BE17" i="17" s="1"/>
  <c r="BF17" i="17" s="1"/>
  <c r="BG17" i="17" s="1"/>
  <c r="BH17" i="17" s="1"/>
  <c r="BI17" i="17" s="1"/>
  <c r="BJ17" i="17" s="1"/>
  <c r="BK17" i="17" s="1"/>
  <c r="BL17" i="17" s="1"/>
  <c r="BM17" i="17" s="1"/>
  <c r="BN17" i="17" s="1"/>
  <c r="BO17" i="17" s="1"/>
  <c r="BP17" i="17" s="1"/>
  <c r="BQ17" i="17" s="1"/>
  <c r="BR17" i="17" s="1"/>
  <c r="BS17" i="17" s="1"/>
  <c r="BT17" i="17" s="1"/>
  <c r="BU17" i="17" s="1"/>
  <c r="BV17" i="17" s="1"/>
  <c r="BW17" i="17" s="1"/>
  <c r="BX17" i="17" s="1"/>
  <c r="BY17" i="17" s="1"/>
  <c r="BZ17" i="17" s="1"/>
  <c r="CA17" i="17" s="1"/>
  <c r="CB17" i="17" s="1"/>
  <c r="CC17" i="17" s="1"/>
  <c r="CD17" i="17" s="1"/>
  <c r="CE17" i="17" s="1"/>
  <c r="CF17" i="17" s="1"/>
  <c r="CG17" i="17" s="1"/>
  <c r="CH17" i="17" s="1"/>
  <c r="CI17" i="17" s="1"/>
  <c r="CJ17" i="17" s="1"/>
  <c r="CK17" i="17" s="1"/>
  <c r="CL17" i="17" s="1"/>
  <c r="CM17" i="17" s="1"/>
  <c r="CN17" i="17" s="1"/>
  <c r="CO17" i="17" s="1"/>
  <c r="CP17" i="17" s="1"/>
  <c r="CQ17" i="17" s="1"/>
  <c r="CR17" i="17" s="1"/>
  <c r="CS17" i="17" s="1"/>
  <c r="CT17" i="17" s="1"/>
  <c r="CU17" i="17" s="1"/>
  <c r="CV17" i="17" s="1"/>
  <c r="CW17" i="17" s="1"/>
  <c r="CX17" i="17" s="1"/>
  <c r="CY17" i="17" s="1"/>
  <c r="CZ17" i="17" s="1"/>
  <c r="DA17" i="17" s="1"/>
  <c r="DB17" i="17" s="1"/>
  <c r="DC17" i="17" s="1"/>
  <c r="DD17" i="17" s="1"/>
  <c r="DE17" i="17" s="1"/>
  <c r="DF17" i="17" s="1"/>
  <c r="DG17" i="17" s="1"/>
  <c r="DH17" i="17" s="1"/>
  <c r="DI17" i="17" s="1"/>
  <c r="DJ17" i="17" s="1"/>
  <c r="DK17" i="17" s="1"/>
  <c r="DL17" i="17" s="1"/>
  <c r="DM17" i="17" s="1"/>
  <c r="DN17" i="17" s="1"/>
  <c r="DO17" i="17" s="1"/>
  <c r="DP17" i="17" s="1"/>
  <c r="CK42" i="17"/>
  <c r="CS42" i="17"/>
  <c r="CZ42" i="17"/>
  <c r="BU32" i="17"/>
  <c r="BU34" i="17"/>
  <c r="BU35" i="17"/>
  <c r="BU41" i="17"/>
  <c r="BU42" i="17"/>
  <c r="BU43" i="17"/>
  <c r="BU44" i="17"/>
  <c r="CK56" i="17"/>
  <c r="CG54" i="17"/>
  <c r="CG53" i="17"/>
  <c r="CG52" i="17"/>
  <c r="CG51" i="17"/>
  <c r="BS54" i="17"/>
  <c r="BS53" i="17"/>
  <c r="BS52" i="17"/>
  <c r="BS51" i="17"/>
  <c r="T64" i="2"/>
  <c r="X7" i="8"/>
  <c r="X6" i="8"/>
  <c r="X5" i="8"/>
  <c r="X4" i="8"/>
  <c r="X3" i="8"/>
  <c r="T24" i="8" s="1"/>
  <c r="Y11" i="7"/>
  <c r="Y10" i="7"/>
  <c r="Y9" i="7"/>
  <c r="T58" i="7"/>
  <c r="T57" i="7"/>
  <c r="T56" i="7"/>
  <c r="Y8" i="7"/>
  <c r="Y7" i="7"/>
  <c r="Y6" i="7"/>
  <c r="Y5" i="7"/>
  <c r="T48" i="7"/>
  <c r="T47" i="7"/>
  <c r="T46" i="7"/>
  <c r="T62" i="7"/>
  <c r="T61" i="7"/>
  <c r="T60" i="7"/>
  <c r="T78" i="7"/>
  <c r="T77" i="7"/>
  <c r="T76" i="7"/>
  <c r="AU88" i="19" l="1"/>
  <c r="AC88" i="19"/>
  <c r="AT88" i="19"/>
  <c r="AB88" i="19"/>
  <c r="AY88" i="19"/>
  <c r="AX88" i="19"/>
  <c r="AS88" i="19"/>
  <c r="AV88" i="19"/>
  <c r="AD88" i="19"/>
  <c r="AW88" i="19"/>
  <c r="AZ88" i="19"/>
  <c r="AS90" i="19"/>
  <c r="AW90" i="19"/>
  <c r="AT90" i="19"/>
  <c r="AV90" i="19"/>
  <c r="AZ90" i="19"/>
  <c r="AY90" i="19"/>
  <c r="AD90" i="19"/>
  <c r="AB90" i="19"/>
  <c r="AX90" i="19"/>
  <c r="AC90" i="19"/>
  <c r="AU90" i="19"/>
  <c r="AT85" i="19"/>
  <c r="AY85" i="19"/>
  <c r="AV85" i="19"/>
  <c r="AX85" i="19"/>
  <c r="AC85" i="19"/>
  <c r="AU85" i="19"/>
  <c r="AB85" i="19"/>
  <c r="AW85" i="19"/>
  <c r="AS85" i="19"/>
  <c r="AZ85" i="19"/>
  <c r="AD85" i="19"/>
  <c r="A51" i="12"/>
  <c r="T80" i="12"/>
  <c r="AZ82" i="19"/>
  <c r="AY82" i="19"/>
  <c r="AX82" i="19"/>
  <c r="AW82" i="19"/>
  <c r="AV82" i="19"/>
  <c r="AU82" i="19"/>
  <c r="AT82" i="19"/>
  <c r="AC82" i="19"/>
  <c r="AE82" i="19"/>
  <c r="AB82" i="19"/>
  <c r="AD82" i="19"/>
  <c r="AR82" i="19"/>
  <c r="AS82" i="19"/>
  <c r="AQ82" i="19"/>
  <c r="AP82" i="19"/>
  <c r="AY113" i="19"/>
  <c r="E9" i="21"/>
  <c r="F8" i="21"/>
  <c r="D35" i="7"/>
  <c r="AW13" i="10"/>
  <c r="AX12" i="10"/>
  <c r="AR31" i="19"/>
  <c r="BH103" i="20" s="1"/>
  <c r="AL79" i="19"/>
  <c r="AD79" i="19"/>
  <c r="AO79" i="19"/>
  <c r="AK79" i="19"/>
  <c r="AC79" i="19"/>
  <c r="AN79" i="19"/>
  <c r="AJ79" i="19"/>
  <c r="AI79" i="19"/>
  <c r="AH79" i="19"/>
  <c r="AE79" i="19"/>
  <c r="AM79" i="19"/>
  <c r="AG79" i="19"/>
  <c r="AF79" i="19"/>
  <c r="AM88" i="19"/>
  <c r="AF88" i="19"/>
  <c r="AG88" i="19"/>
  <c r="AE88" i="19"/>
  <c r="AL88" i="19"/>
  <c r="AK88" i="19"/>
  <c r="AQ88" i="19"/>
  <c r="AJ88" i="19"/>
  <c r="AN88" i="19"/>
  <c r="AP88" i="19"/>
  <c r="AI88" i="19"/>
  <c r="AO88" i="19"/>
  <c r="AH88" i="19"/>
  <c r="AJ90" i="19"/>
  <c r="AI90" i="19"/>
  <c r="AQ90" i="19"/>
  <c r="AH90" i="19"/>
  <c r="AP90" i="19"/>
  <c r="AG90" i="19"/>
  <c r="AO90" i="19"/>
  <c r="AF90" i="19"/>
  <c r="AN90" i="19"/>
  <c r="AE90" i="19"/>
  <c r="AK90" i="19"/>
  <c r="AM90" i="19"/>
  <c r="AL90" i="19"/>
  <c r="AL85" i="19"/>
  <c r="AK85" i="19"/>
  <c r="AJ85" i="19"/>
  <c r="AQ85" i="19"/>
  <c r="AI85" i="19"/>
  <c r="AE85" i="19"/>
  <c r="AP85" i="19"/>
  <c r="AH85" i="19"/>
  <c r="AM85" i="19"/>
  <c r="AO85" i="19"/>
  <c r="AG85" i="19"/>
  <c r="AN85" i="19"/>
  <c r="AF85" i="19"/>
  <c r="AO78" i="19"/>
  <c r="AN78" i="19"/>
  <c r="Z47" i="15"/>
  <c r="H67" i="21"/>
  <c r="S30" i="19"/>
  <c r="AS36" i="19"/>
  <c r="AS44" i="19"/>
  <c r="AS38" i="19"/>
  <c r="AS46" i="19"/>
  <c r="AS39" i="19"/>
  <c r="AS47" i="19"/>
  <c r="Z63" i="3"/>
  <c r="Z67" i="3" s="1"/>
  <c r="Z74" i="3"/>
  <c r="Z73" i="3"/>
  <c r="Z72" i="3"/>
  <c r="Z76" i="3" s="1"/>
  <c r="I126" i="21"/>
  <c r="I127" i="21"/>
  <c r="I141" i="21"/>
  <c r="H141" i="21" s="1"/>
  <c r="G142" i="21"/>
  <c r="G135" i="21"/>
  <c r="H135" i="21"/>
  <c r="I135" i="21"/>
  <c r="F36" i="10"/>
  <c r="J135" i="21" s="1"/>
  <c r="I143" i="21"/>
  <c r="H143" i="21" s="1"/>
  <c r="G144" i="21"/>
  <c r="H136" i="21"/>
  <c r="F37" i="10"/>
  <c r="J136" i="21" s="1"/>
  <c r="G136" i="21"/>
  <c r="I136" i="21"/>
  <c r="I142" i="21"/>
  <c r="H142" i="21" s="1"/>
  <c r="G143" i="21"/>
  <c r="G145" i="21"/>
  <c r="I144" i="21"/>
  <c r="H144" i="21" s="1"/>
  <c r="G137" i="21"/>
  <c r="G141" i="21" s="1"/>
  <c r="H137" i="21"/>
  <c r="F38" i="10"/>
  <c r="J137" i="21" s="1"/>
  <c r="I137" i="21"/>
  <c r="F39" i="10"/>
  <c r="J138" i="21" s="1"/>
  <c r="G138" i="21"/>
  <c r="H138" i="21"/>
  <c r="I138" i="21"/>
  <c r="I140" i="21"/>
  <c r="H140" i="21" s="1"/>
  <c r="H197" i="21"/>
  <c r="I197" i="21"/>
  <c r="AS40" i="19"/>
  <c r="AS41" i="19"/>
  <c r="AS42" i="19"/>
  <c r="AS43" i="19"/>
  <c r="AG30" i="19"/>
  <c r="AH30" i="19" s="1"/>
  <c r="AG31" i="19"/>
  <c r="AG32" i="19"/>
  <c r="AS32" i="19" s="1"/>
  <c r="AG33" i="19"/>
  <c r="AS33" i="19" s="1"/>
  <c r="AG28" i="19"/>
  <c r="AH28" i="19" s="1"/>
  <c r="AG34" i="19"/>
  <c r="AS34" i="19" s="1"/>
  <c r="AG35" i="19"/>
  <c r="AH29" i="19"/>
  <c r="C42" i="1"/>
  <c r="E42" i="1" s="1"/>
  <c r="Z15" i="8"/>
  <c r="H463" i="21" s="1"/>
  <c r="G463" i="21" s="1"/>
  <c r="F11" i="11"/>
  <c r="G20" i="11"/>
  <c r="J387" i="21" s="1"/>
  <c r="H387" i="21"/>
  <c r="G139" i="21"/>
  <c r="H139" i="21"/>
  <c r="I139" i="21"/>
  <c r="AU105" i="19"/>
  <c r="AU104" i="19"/>
  <c r="AV103" i="19"/>
  <c r="AG29" i="19"/>
  <c r="H134" i="21"/>
  <c r="I134" i="21"/>
  <c r="G134" i="21"/>
  <c r="K28" i="13"/>
  <c r="H25" i="13"/>
  <c r="I348" i="21" s="1"/>
  <c r="H31" i="8"/>
  <c r="I99" i="21" s="1"/>
  <c r="H29" i="8"/>
  <c r="I97" i="21" s="1"/>
  <c r="H26" i="8"/>
  <c r="I94" i="21" s="1"/>
  <c r="H25" i="8"/>
  <c r="I93" i="21" s="1"/>
  <c r="F17" i="8"/>
  <c r="J85" i="21" s="1"/>
  <c r="H30" i="8"/>
  <c r="I98" i="21" s="1"/>
  <c r="I33" i="21"/>
  <c r="D3" i="21"/>
  <c r="H29" i="13"/>
  <c r="I352" i="21" s="1"/>
  <c r="F18" i="10"/>
  <c r="J197" i="21" s="1"/>
  <c r="E19" i="3"/>
  <c r="F21" i="8"/>
  <c r="J89" i="21" s="1"/>
  <c r="F45" i="10"/>
  <c r="J143" i="21" s="1"/>
  <c r="F44" i="10"/>
  <c r="J142" i="21" s="1"/>
  <c r="F43" i="10"/>
  <c r="J141" i="21" s="1"/>
  <c r="F46" i="10"/>
  <c r="J144" i="21" s="1"/>
  <c r="F42" i="10"/>
  <c r="J140" i="21" s="1"/>
  <c r="T39" i="10"/>
  <c r="Y54" i="15"/>
  <c r="CG56" i="17"/>
  <c r="O131" i="20"/>
  <c r="Y55" i="15"/>
  <c r="AA55" i="15"/>
  <c r="CK54" i="17"/>
  <c r="S129" i="20"/>
  <c r="DQ52" i="17"/>
  <c r="DQ53" i="17"/>
  <c r="AX129" i="20"/>
  <c r="DG56" i="17"/>
  <c r="AN132" i="20"/>
  <c r="DG55" i="17"/>
  <c r="AN131" i="20"/>
  <c r="DG52" i="17"/>
  <c r="AN128" i="20"/>
  <c r="DG50" i="17"/>
  <c r="AN126" i="20"/>
  <c r="K20" i="13"/>
  <c r="H21" i="13"/>
  <c r="J17" i="21"/>
  <c r="J16" i="21"/>
  <c r="DQ51" i="17"/>
  <c r="AX127" i="20"/>
  <c r="DQ50" i="17"/>
  <c r="AX126" i="20"/>
  <c r="DG53" i="17"/>
  <c r="AN129" i="20"/>
  <c r="DG54" i="17"/>
  <c r="AN130" i="20"/>
  <c r="DG51" i="17"/>
  <c r="AN127" i="20"/>
  <c r="G17" i="11"/>
  <c r="J384" i="21" s="1"/>
  <c r="AV94" i="20"/>
  <c r="S60" i="2"/>
  <c r="A124" i="20"/>
  <c r="A3" i="20"/>
  <c r="A97" i="20"/>
  <c r="V78" i="19"/>
  <c r="V90" i="19"/>
  <c r="V82" i="19"/>
  <c r="V88" i="19"/>
  <c r="V85" i="19"/>
  <c r="V79" i="19"/>
  <c r="AB79" i="19"/>
  <c r="AO56" i="17"/>
  <c r="BH121" i="20"/>
  <c r="A56" i="17"/>
  <c r="A121" i="20"/>
  <c r="AN100" i="19"/>
  <c r="AD56" i="17"/>
  <c r="AV121" i="20"/>
  <c r="DR29" i="17"/>
  <c r="AA1" i="3"/>
  <c r="H21" i="19"/>
  <c r="AI37" i="19" s="1"/>
  <c r="L21" i="19" s="1"/>
  <c r="J111" i="21" s="1"/>
  <c r="AL30" i="19"/>
  <c r="H22" i="19"/>
  <c r="AI38" i="19" s="1"/>
  <c r="U31" i="19"/>
  <c r="K31" i="19" s="1"/>
  <c r="H29" i="19"/>
  <c r="AI45" i="19" s="1"/>
  <c r="H31" i="19"/>
  <c r="AI47" i="19" s="1"/>
  <c r="U25" i="19"/>
  <c r="K25" i="19" s="1"/>
  <c r="S14" i="19"/>
  <c r="S15" i="19"/>
  <c r="S23" i="19"/>
  <c r="H23" i="19"/>
  <c r="AI39" i="19" s="1"/>
  <c r="S16" i="19"/>
  <c r="H24" i="19"/>
  <c r="AI40" i="19" s="1"/>
  <c r="L24" i="19" s="1"/>
  <c r="J114" i="21" s="1"/>
  <c r="S22" i="19"/>
  <c r="H30" i="19"/>
  <c r="AI46" i="19" s="1"/>
  <c r="S24" i="19"/>
  <c r="AB107" i="19"/>
  <c r="Y56" i="15"/>
  <c r="AA46" i="3"/>
  <c r="H13" i="19"/>
  <c r="AA56" i="15"/>
  <c r="H14" i="19"/>
  <c r="AC109" i="19"/>
  <c r="H15" i="19"/>
  <c r="AI31" i="19" s="1"/>
  <c r="AC110" i="19"/>
  <c r="H16" i="19"/>
  <c r="AI32" i="19" s="1"/>
  <c r="L16" i="19" s="1"/>
  <c r="J106" i="21" s="1"/>
  <c r="AK30" i="19"/>
  <c r="H24" i="8"/>
  <c r="I92" i="21" s="1"/>
  <c r="K24" i="8"/>
  <c r="U14" i="19"/>
  <c r="U17" i="19"/>
  <c r="K17" i="19" s="1"/>
  <c r="U22" i="19"/>
  <c r="K22" i="19" s="1"/>
  <c r="V60" i="15"/>
  <c r="Z110" i="3"/>
  <c r="Z114" i="3" s="1"/>
  <c r="AJ28" i="19"/>
  <c r="U16" i="19"/>
  <c r="K16" i="19" s="1"/>
  <c r="X60" i="15"/>
  <c r="Z38" i="19"/>
  <c r="AA38" i="19" s="1"/>
  <c r="Z29" i="19"/>
  <c r="AA29" i="19" s="1"/>
  <c r="AU114" i="19" s="1"/>
  <c r="Z30" i="19"/>
  <c r="AA30" i="19" s="1"/>
  <c r="Z28" i="19"/>
  <c r="H23" i="8"/>
  <c r="I91" i="21" s="1"/>
  <c r="K23" i="8"/>
  <c r="AJ45" i="19"/>
  <c r="S12" i="19"/>
  <c r="U15" i="19"/>
  <c r="K15" i="19" s="1"/>
  <c r="T60" i="15"/>
  <c r="U24" i="19"/>
  <c r="K24" i="19" s="1"/>
  <c r="AA48" i="3"/>
  <c r="AJ46" i="3"/>
  <c r="Z89" i="3"/>
  <c r="Z93" i="3" s="1"/>
  <c r="Z8" i="4"/>
  <c r="X10" i="11"/>
  <c r="F10" i="11" s="1"/>
  <c r="H377" i="21" s="1"/>
  <c r="H22" i="8"/>
  <c r="I90" i="21" s="1"/>
  <c r="K22" i="8"/>
  <c r="AL39" i="19"/>
  <c r="AR39" i="19"/>
  <c r="AK41" i="19"/>
  <c r="Q25" i="19" s="1"/>
  <c r="AR41" i="19"/>
  <c r="AL28" i="19"/>
  <c r="AK28" i="19"/>
  <c r="AY119" i="19"/>
  <c r="Z96" i="19"/>
  <c r="AY128" i="19"/>
  <c r="Z80" i="19"/>
  <c r="Z89" i="19"/>
  <c r="Z81" i="19"/>
  <c r="Z91" i="19"/>
  <c r="Z84" i="19"/>
  <c r="Z92" i="19"/>
  <c r="AY117" i="19"/>
  <c r="Z94" i="19"/>
  <c r="AY118" i="19"/>
  <c r="AY126" i="19"/>
  <c r="Z86" i="19"/>
  <c r="Z95" i="19"/>
  <c r="AJ29" i="19"/>
  <c r="N13" i="19" s="1"/>
  <c r="I103" i="21" s="1"/>
  <c r="AY127" i="19"/>
  <c r="Z87" i="19"/>
  <c r="AJ30" i="19"/>
  <c r="AK29" i="19"/>
  <c r="Q13" i="19" s="1"/>
  <c r="AL32" i="19"/>
  <c r="AR32" i="19"/>
  <c r="AH31" i="19"/>
  <c r="AA21" i="19"/>
  <c r="Z21" i="19" s="1"/>
  <c r="AA20" i="19"/>
  <c r="Z20" i="19" s="1"/>
  <c r="AA19" i="19"/>
  <c r="Z19" i="19" s="1"/>
  <c r="E7" i="11"/>
  <c r="K18" i="8"/>
  <c r="H19" i="8"/>
  <c r="I87" i="21" s="1"/>
  <c r="K19" i="8"/>
  <c r="H27" i="8"/>
  <c r="I95" i="21" s="1"/>
  <c r="K27" i="8"/>
  <c r="A11" i="19"/>
  <c r="AW7" i="19"/>
  <c r="AR30" i="19"/>
  <c r="AR28" i="19"/>
  <c r="AO38" i="17"/>
  <c r="AO48" i="17"/>
  <c r="S17" i="19"/>
  <c r="S25" i="19"/>
  <c r="Z31" i="19"/>
  <c r="AA31" i="19" s="1"/>
  <c r="U66" i="10" s="1"/>
  <c r="H202" i="21" s="1"/>
  <c r="Z40" i="19"/>
  <c r="AA40" i="19" s="1"/>
  <c r="AU125" i="19" s="1"/>
  <c r="AJ38" i="19"/>
  <c r="AJ46" i="19"/>
  <c r="AZ117" i="19"/>
  <c r="AZ127" i="19"/>
  <c r="I128" i="21"/>
  <c r="Y52" i="15"/>
  <c r="AJ47" i="3"/>
  <c r="Z5" i="4"/>
  <c r="Z64" i="3"/>
  <c r="Z99" i="3"/>
  <c r="Z112" i="3"/>
  <c r="Z23" i="19"/>
  <c r="W51" i="19"/>
  <c r="U18" i="19"/>
  <c r="K18" i="19" s="1"/>
  <c r="U26" i="19"/>
  <c r="K26" i="19" s="1"/>
  <c r="H17" i="19"/>
  <c r="AI33" i="19" s="1"/>
  <c r="H25" i="19"/>
  <c r="AI41" i="19" s="1"/>
  <c r="L25" i="19" s="1"/>
  <c r="J115" i="21" s="1"/>
  <c r="S18" i="19"/>
  <c r="S26" i="19"/>
  <c r="Z32" i="19"/>
  <c r="AA32" i="19" s="1"/>
  <c r="AQ32" i="19" s="1"/>
  <c r="Z41" i="19"/>
  <c r="AA41" i="19" s="1"/>
  <c r="AJ31" i="19"/>
  <c r="AJ39" i="19"/>
  <c r="AJ47" i="19"/>
  <c r="AZ119" i="19"/>
  <c r="AZ128" i="19"/>
  <c r="BA128" i="19" s="1"/>
  <c r="AK42" i="19"/>
  <c r="Q26" i="19" s="1"/>
  <c r="I129" i="21"/>
  <c r="BD20" i="17"/>
  <c r="BE20" i="17" s="1"/>
  <c r="BF20" i="17" s="1"/>
  <c r="BG20" i="17" s="1"/>
  <c r="BH20" i="17" s="1"/>
  <c r="BI20" i="17" s="1"/>
  <c r="BJ20" i="17" s="1"/>
  <c r="BK20" i="17" s="1"/>
  <c r="BL20" i="17" s="1"/>
  <c r="BM20" i="17" s="1"/>
  <c r="BN20" i="17" s="1"/>
  <c r="BO20" i="17" s="1"/>
  <c r="BP20" i="17" s="1"/>
  <c r="BQ20" i="17" s="1"/>
  <c r="BR20" i="17" s="1"/>
  <c r="BS20" i="17" s="1"/>
  <c r="BT20" i="17" s="1"/>
  <c r="BU20" i="17" s="1"/>
  <c r="BV20" i="17" s="1"/>
  <c r="BW20" i="17" s="1"/>
  <c r="BX20" i="17" s="1"/>
  <c r="BY20" i="17" s="1"/>
  <c r="BZ20" i="17" s="1"/>
  <c r="CA20" i="17" s="1"/>
  <c r="CB20" i="17" s="1"/>
  <c r="CC20" i="17" s="1"/>
  <c r="CD20" i="17" s="1"/>
  <c r="CE20" i="17" s="1"/>
  <c r="CF20" i="17" s="1"/>
  <c r="CG20" i="17" s="1"/>
  <c r="CH20" i="17" s="1"/>
  <c r="CI20" i="17" s="1"/>
  <c r="CJ20" i="17" s="1"/>
  <c r="CK20" i="17" s="1"/>
  <c r="CL20" i="17" s="1"/>
  <c r="CM20" i="17" s="1"/>
  <c r="CN20" i="17" s="1"/>
  <c r="CO20" i="17" s="1"/>
  <c r="CP20" i="17" s="1"/>
  <c r="CQ20" i="17" s="1"/>
  <c r="CR20" i="17" s="1"/>
  <c r="CS20" i="17" s="1"/>
  <c r="CT20" i="17" s="1"/>
  <c r="CU20" i="17" s="1"/>
  <c r="CV20" i="17" s="1"/>
  <c r="CW20" i="17" s="1"/>
  <c r="CX20" i="17" s="1"/>
  <c r="CY20" i="17" s="1"/>
  <c r="CZ20" i="17" s="1"/>
  <c r="DA20" i="17" s="1"/>
  <c r="DB20" i="17" s="1"/>
  <c r="DC20" i="17" s="1"/>
  <c r="DD20" i="17" s="1"/>
  <c r="DE20" i="17" s="1"/>
  <c r="DF20" i="17" s="1"/>
  <c r="DG20" i="17" s="1"/>
  <c r="DH20" i="17" s="1"/>
  <c r="DI20" i="17" s="1"/>
  <c r="DJ20" i="17" s="1"/>
  <c r="DK20" i="17" s="1"/>
  <c r="DL20" i="17" s="1"/>
  <c r="DM20" i="17" s="1"/>
  <c r="DN20" i="17" s="1"/>
  <c r="DO20" i="17" s="1"/>
  <c r="DP20" i="17" s="1"/>
  <c r="AJ48" i="3"/>
  <c r="Z6" i="4"/>
  <c r="Z65" i="3"/>
  <c r="Z100" i="3"/>
  <c r="Z119" i="3"/>
  <c r="Z123" i="3" s="1"/>
  <c r="AA123" i="3" s="1"/>
  <c r="U19" i="19"/>
  <c r="K19" i="19" s="1"/>
  <c r="U27" i="19"/>
  <c r="K27" i="19" s="1"/>
  <c r="H18" i="19"/>
  <c r="AI34" i="19" s="1"/>
  <c r="L18" i="19" s="1"/>
  <c r="J108" i="21" s="1"/>
  <c r="H26" i="19"/>
  <c r="AI42" i="19" s="1"/>
  <c r="L26" i="19" s="1"/>
  <c r="J116" i="21" s="1"/>
  <c r="S19" i="19"/>
  <c r="S27" i="19"/>
  <c r="AZ122" i="19"/>
  <c r="BA122" i="19" s="1"/>
  <c r="Z34" i="19"/>
  <c r="AA34" i="19" s="1"/>
  <c r="Z42" i="19"/>
  <c r="AA42" i="19" s="1"/>
  <c r="AJ32" i="19"/>
  <c r="N16" i="19" s="1"/>
  <c r="I106" i="21" s="1"/>
  <c r="AJ40" i="19"/>
  <c r="N24" i="19" s="1"/>
  <c r="I114" i="21" s="1"/>
  <c r="AZ120" i="19"/>
  <c r="AZ129" i="19"/>
  <c r="BA129" i="19" s="1"/>
  <c r="AK43" i="19"/>
  <c r="Z111" i="3"/>
  <c r="Z120" i="3"/>
  <c r="U12" i="19"/>
  <c r="U20" i="19"/>
  <c r="K20" i="19" s="1"/>
  <c r="U28" i="19"/>
  <c r="K28" i="19" s="1"/>
  <c r="H19" i="19"/>
  <c r="AI35" i="19" s="1"/>
  <c r="L19" i="19" s="1"/>
  <c r="J109" i="21" s="1"/>
  <c r="H27" i="19"/>
  <c r="AI43" i="19" s="1"/>
  <c r="S20" i="19"/>
  <c r="S28" i="19"/>
  <c r="Z35" i="19"/>
  <c r="AA35" i="19" s="1"/>
  <c r="Z44" i="19"/>
  <c r="AA44" i="19" s="1"/>
  <c r="AJ33" i="19"/>
  <c r="AJ41" i="19"/>
  <c r="N25" i="19" s="1"/>
  <c r="I115" i="21" s="1"/>
  <c r="AZ121" i="19"/>
  <c r="AZ130" i="19"/>
  <c r="BA130" i="19" s="1"/>
  <c r="AK44" i="19"/>
  <c r="Q28" i="19" s="1"/>
  <c r="AW41" i="3"/>
  <c r="Z39" i="19"/>
  <c r="AA39" i="19" s="1"/>
  <c r="AU124" i="19" s="1"/>
  <c r="Z98" i="3"/>
  <c r="Z102" i="3" s="1"/>
  <c r="Z90" i="3"/>
  <c r="U13" i="19"/>
  <c r="U21" i="19"/>
  <c r="K21" i="19" s="1"/>
  <c r="U29" i="19"/>
  <c r="AL29" i="19"/>
  <c r="AO43" i="17"/>
  <c r="H12" i="19"/>
  <c r="H20" i="19"/>
  <c r="AI36" i="19" s="1"/>
  <c r="L20" i="19" s="1"/>
  <c r="J110" i="21" s="1"/>
  <c r="H28" i="19"/>
  <c r="AI44" i="19" s="1"/>
  <c r="L28" i="19" s="1"/>
  <c r="J118" i="21" s="1"/>
  <c r="S13" i="19"/>
  <c r="S21" i="19"/>
  <c r="S29" i="19"/>
  <c r="Z36" i="19"/>
  <c r="AA36" i="19" s="1"/>
  <c r="Z45" i="19"/>
  <c r="AA45" i="19" s="1"/>
  <c r="AJ34" i="19"/>
  <c r="N18" i="19" s="1"/>
  <c r="I108" i="21" s="1"/>
  <c r="AJ42" i="19"/>
  <c r="N26" i="19" s="1"/>
  <c r="I116" i="21" s="1"/>
  <c r="AZ113" i="19"/>
  <c r="AZ123" i="19"/>
  <c r="BA123" i="19" s="1"/>
  <c r="AZ131" i="19"/>
  <c r="BA131" i="19" s="1"/>
  <c r="Z37" i="19"/>
  <c r="AA37" i="19" s="1"/>
  <c r="Z46" i="19"/>
  <c r="AA46" i="19" s="1"/>
  <c r="AJ35" i="19"/>
  <c r="N19" i="19" s="1"/>
  <c r="I109" i="21" s="1"/>
  <c r="AJ43" i="19"/>
  <c r="AZ114" i="19"/>
  <c r="AZ124" i="19"/>
  <c r="BA124" i="19" s="1"/>
  <c r="AZ132" i="19"/>
  <c r="BA132" i="19" s="1"/>
  <c r="S31" i="19"/>
  <c r="AJ36" i="19"/>
  <c r="N20" i="19" s="1"/>
  <c r="I110" i="21" s="1"/>
  <c r="AJ44" i="19"/>
  <c r="N28" i="19" s="1"/>
  <c r="I118" i="21" s="1"/>
  <c r="AZ115" i="19"/>
  <c r="AZ125" i="19"/>
  <c r="BA125" i="19" s="1"/>
  <c r="AJ37" i="19"/>
  <c r="N21" i="19" s="1"/>
  <c r="I111" i="21" s="1"/>
  <c r="AZ116" i="19"/>
  <c r="AZ126" i="19"/>
  <c r="Z48" i="15"/>
  <c r="Z49" i="15"/>
  <c r="W56" i="15"/>
  <c r="W55" i="15"/>
  <c r="W54" i="15"/>
  <c r="U55" i="15"/>
  <c r="U56" i="15"/>
  <c r="U54" i="15"/>
  <c r="AK47" i="19"/>
  <c r="AK46" i="19"/>
  <c r="Q30" i="19" s="1"/>
  <c r="AK45" i="19"/>
  <c r="Q29" i="19" s="1"/>
  <c r="AK39" i="19"/>
  <c r="Q23" i="19" s="1"/>
  <c r="AK38" i="19"/>
  <c r="Q22" i="19" s="1"/>
  <c r="J128" i="21"/>
  <c r="J127" i="21"/>
  <c r="J126" i="21"/>
  <c r="T50" i="15"/>
  <c r="AZ118" i="19"/>
  <c r="AA154" i="19"/>
  <c r="Q36" i="19" s="1"/>
  <c r="AO41" i="17"/>
  <c r="AK34" i="19"/>
  <c r="Q18" i="19" s="1"/>
  <c r="AK35" i="19"/>
  <c r="AK37" i="19"/>
  <c r="Q21" i="19" s="1"/>
  <c r="AK36" i="19"/>
  <c r="Q20" i="19" s="1"/>
  <c r="AK33" i="19"/>
  <c r="AK31" i="19"/>
  <c r="Q15" i="19" s="1"/>
  <c r="AK32" i="19"/>
  <c r="Q16" i="19" s="1"/>
  <c r="AK40" i="19"/>
  <c r="Q24" i="19" s="1"/>
  <c r="AO42" i="17"/>
  <c r="AO40" i="17"/>
  <c r="AO53" i="17"/>
  <c r="AO54" i="17"/>
  <c r="W60" i="19"/>
  <c r="A3" i="17"/>
  <c r="AO51" i="17"/>
  <c r="AO55" i="17"/>
  <c r="AO52" i="17"/>
  <c r="AO50" i="17"/>
  <c r="AL42" i="19"/>
  <c r="AL40" i="19"/>
  <c r="AL38" i="19"/>
  <c r="AO44" i="17"/>
  <c r="AL37" i="19"/>
  <c r="AL35" i="19"/>
  <c r="AL34" i="19"/>
  <c r="AL33" i="19"/>
  <c r="AO32" i="17"/>
  <c r="Z158" i="19"/>
  <c r="Z162" i="19"/>
  <c r="Z163" i="19" s="1"/>
  <c r="AL41" i="19"/>
  <c r="AL44" i="19"/>
  <c r="AL45" i="19"/>
  <c r="Z47" i="19"/>
  <c r="AA47" i="19" s="1"/>
  <c r="AL46" i="19"/>
  <c r="AL47" i="19"/>
  <c r="Z33" i="19"/>
  <c r="AA33" i="19" s="1"/>
  <c r="Z43" i="19"/>
  <c r="AL43" i="19"/>
  <c r="AH35" i="19"/>
  <c r="AL31" i="19"/>
  <c r="AD156" i="19"/>
  <c r="L36" i="19" s="1"/>
  <c r="J125" i="21" s="1"/>
  <c r="D37" i="19"/>
  <c r="K36" i="19"/>
  <c r="AL36" i="19"/>
  <c r="U107" i="3"/>
  <c r="C4" i="3" s="1"/>
  <c r="H20" i="4" s="1"/>
  <c r="H29" i="21" s="1"/>
  <c r="K30" i="19"/>
  <c r="Y97" i="19"/>
  <c r="Z97" i="19" s="1"/>
  <c r="Y83" i="19"/>
  <c r="Z83" i="19" s="1"/>
  <c r="Y93" i="19"/>
  <c r="Z93" i="19" s="1"/>
  <c r="V50" i="19"/>
  <c r="T12" i="19" s="1"/>
  <c r="W53" i="19"/>
  <c r="T13" i="19" s="1"/>
  <c r="K23" i="19"/>
  <c r="X53" i="19"/>
  <c r="X51" i="19"/>
  <c r="X50" i="19"/>
  <c r="X52" i="19"/>
  <c r="AN33" i="19"/>
  <c r="T2" i="19"/>
  <c r="Y28" i="19"/>
  <c r="AW39" i="3"/>
  <c r="H18" i="8"/>
  <c r="I86" i="21" s="1"/>
  <c r="AJ45" i="3"/>
  <c r="U27" i="5"/>
  <c r="U29" i="5"/>
  <c r="E51" i="3"/>
  <c r="D18" i="5"/>
  <c r="V62" i="3"/>
  <c r="AQ47" i="3"/>
  <c r="AI51" i="3"/>
  <c r="AF57" i="3" s="1"/>
  <c r="BA47" i="3"/>
  <c r="AH57" i="3" s="1"/>
  <c r="AG51" i="3"/>
  <c r="AF58" i="3" s="1"/>
  <c r="AM8" i="3"/>
  <c r="AH16" i="3"/>
  <c r="AI16" i="3"/>
  <c r="E11" i="4"/>
  <c r="E42" i="3"/>
  <c r="AJ16" i="3"/>
  <c r="AI8" i="3"/>
  <c r="AK16" i="3"/>
  <c r="AJ8" i="3"/>
  <c r="AK8" i="3"/>
  <c r="AL8" i="3"/>
  <c r="AL16" i="3"/>
  <c r="AN8" i="3"/>
  <c r="AM16" i="3"/>
  <c r="AG8" i="3"/>
  <c r="AO8" i="3"/>
  <c r="AN16" i="3"/>
  <c r="AH8" i="3"/>
  <c r="AG16" i="3"/>
  <c r="W74" i="3"/>
  <c r="H20" i="3"/>
  <c r="E11" i="3"/>
  <c r="D21" i="5"/>
  <c r="X83" i="3"/>
  <c r="T83" i="3" s="1"/>
  <c r="Z8" i="6"/>
  <c r="Y10" i="6"/>
  <c r="AC6" i="6"/>
  <c r="DL2" i="17"/>
  <c r="AB35" i="2"/>
  <c r="AB34" i="2"/>
  <c r="AB31" i="2"/>
  <c r="AB29" i="2"/>
  <c r="AB25" i="2"/>
  <c r="C27" i="7"/>
  <c r="C28" i="7"/>
  <c r="C26" i="7"/>
  <c r="D26" i="7"/>
  <c r="AZ3" i="17"/>
  <c r="X3" i="17"/>
  <c r="B16" i="17"/>
  <c r="C16" i="17" s="1"/>
  <c r="D16" i="17" s="1"/>
  <c r="E16" i="17" s="1"/>
  <c r="F16" i="17" s="1"/>
  <c r="G16" i="17" s="1"/>
  <c r="H16" i="17" s="1"/>
  <c r="I16" i="17" s="1"/>
  <c r="J16" i="17" s="1"/>
  <c r="K16" i="17" s="1"/>
  <c r="L16" i="17" s="1"/>
  <c r="M16" i="17" s="1"/>
  <c r="N16" i="17" s="1"/>
  <c r="O16" i="17" s="1"/>
  <c r="P16" i="17" s="1"/>
  <c r="Q16" i="17" s="1"/>
  <c r="R16" i="17" s="1"/>
  <c r="S16" i="17" s="1"/>
  <c r="T16" i="17" s="1"/>
  <c r="U16" i="17" s="1"/>
  <c r="V16" i="17" s="1"/>
  <c r="W16" i="17" s="1"/>
  <c r="X16" i="17" s="1"/>
  <c r="Y16" i="17" s="1"/>
  <c r="Z16" i="17" s="1"/>
  <c r="AA16" i="17" s="1"/>
  <c r="AB16" i="17" s="1"/>
  <c r="AC16" i="17" s="1"/>
  <c r="AD16" i="17" s="1"/>
  <c r="AE16" i="17" s="1"/>
  <c r="AF16" i="17" s="1"/>
  <c r="AG16" i="17" s="1"/>
  <c r="AH16" i="17" s="1"/>
  <c r="AI16" i="17" s="1"/>
  <c r="AJ16" i="17" s="1"/>
  <c r="AK16" i="17" s="1"/>
  <c r="AL16" i="17" s="1"/>
  <c r="AM16" i="17" s="1"/>
  <c r="AN16" i="17" s="1"/>
  <c r="AO16" i="17" s="1"/>
  <c r="AP16" i="17" s="1"/>
  <c r="AQ16" i="17" s="1"/>
  <c r="AR16" i="17" s="1"/>
  <c r="AS16" i="17" s="1"/>
  <c r="AT16" i="17" s="1"/>
  <c r="AU16" i="17" s="1"/>
  <c r="AV16" i="17" s="1"/>
  <c r="AW16" i="17" s="1"/>
  <c r="AX16" i="17" s="1"/>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BR16" i="17" s="1"/>
  <c r="BS16" i="17" s="1"/>
  <c r="BT16" i="17" s="1"/>
  <c r="BU16" i="17" s="1"/>
  <c r="BV16" i="17" s="1"/>
  <c r="BW16" i="17" s="1"/>
  <c r="BX16" i="17" s="1"/>
  <c r="BY16" i="17" s="1"/>
  <c r="BZ16" i="17" s="1"/>
  <c r="CA16" i="17" s="1"/>
  <c r="CB16" i="17" s="1"/>
  <c r="CC16" i="17" s="1"/>
  <c r="CD16" i="17" s="1"/>
  <c r="CE16" i="17" s="1"/>
  <c r="CF16" i="17" s="1"/>
  <c r="CG16" i="17" s="1"/>
  <c r="CH16" i="17" s="1"/>
  <c r="CI16" i="17" s="1"/>
  <c r="CJ16" i="17" s="1"/>
  <c r="CK16" i="17" s="1"/>
  <c r="CL16" i="17" s="1"/>
  <c r="CM16" i="17" s="1"/>
  <c r="CN16" i="17" s="1"/>
  <c r="CO16" i="17" s="1"/>
  <c r="CP16" i="17" s="1"/>
  <c r="CQ16" i="17" s="1"/>
  <c r="CR16" i="17" s="1"/>
  <c r="CS16" i="17" s="1"/>
  <c r="CT16" i="17" s="1"/>
  <c r="CU16" i="17" s="1"/>
  <c r="CV16" i="17" s="1"/>
  <c r="CW16" i="17" s="1"/>
  <c r="CX16" i="17" s="1"/>
  <c r="CY16" i="17" s="1"/>
  <c r="CZ16" i="17" s="1"/>
  <c r="DA16" i="17" s="1"/>
  <c r="DB16" i="17" s="1"/>
  <c r="DC16" i="17" s="1"/>
  <c r="DD16" i="17" s="1"/>
  <c r="DE16" i="17" s="1"/>
  <c r="DF16" i="17" s="1"/>
  <c r="DG16" i="17" s="1"/>
  <c r="DH16" i="17" s="1"/>
  <c r="DI16" i="17" s="1"/>
  <c r="DJ16" i="17" s="1"/>
  <c r="DK16" i="17" s="1"/>
  <c r="DL16" i="17" s="1"/>
  <c r="DM16" i="17" s="1"/>
  <c r="DN16" i="17" s="1"/>
  <c r="DO16" i="17" s="1"/>
  <c r="DP16" i="17" s="1"/>
  <c r="B15" i="17"/>
  <c r="C15" i="17" s="1"/>
  <c r="D15" i="17" s="1"/>
  <c r="E15" i="17" s="1"/>
  <c r="F15" i="17" s="1"/>
  <c r="G15" i="17" s="1"/>
  <c r="H15" i="17" s="1"/>
  <c r="I15" i="17" s="1"/>
  <c r="J15" i="17" s="1"/>
  <c r="K15" i="17" s="1"/>
  <c r="L15" i="17" s="1"/>
  <c r="M15" i="17" s="1"/>
  <c r="N15" i="17" s="1"/>
  <c r="O15" i="17" s="1"/>
  <c r="P15" i="17" s="1"/>
  <c r="Q15" i="17" s="1"/>
  <c r="R15" i="17" s="1"/>
  <c r="S15" i="17" s="1"/>
  <c r="T15" i="17" s="1"/>
  <c r="U15" i="17" s="1"/>
  <c r="V15" i="17" s="1"/>
  <c r="W15" i="17" s="1"/>
  <c r="X15" i="17" s="1"/>
  <c r="Y15" i="17" s="1"/>
  <c r="Z15" i="17" s="1"/>
  <c r="AA15" i="17" s="1"/>
  <c r="AB15" i="17" s="1"/>
  <c r="AC15" i="17" s="1"/>
  <c r="AD15" i="17" s="1"/>
  <c r="AE15" i="17" s="1"/>
  <c r="AF15" i="17" s="1"/>
  <c r="AG15" i="17" s="1"/>
  <c r="AH15" i="17" s="1"/>
  <c r="AI15" i="17" s="1"/>
  <c r="AJ15" i="17" s="1"/>
  <c r="AK15" i="17" s="1"/>
  <c r="AL15" i="17" s="1"/>
  <c r="AM15" i="17" s="1"/>
  <c r="AN15" i="17" s="1"/>
  <c r="AO15" i="17" s="1"/>
  <c r="AP15" i="17" s="1"/>
  <c r="AQ15" i="17" s="1"/>
  <c r="AR15" i="17" s="1"/>
  <c r="AS15" i="17" s="1"/>
  <c r="AT15" i="17" s="1"/>
  <c r="AU15" i="17" s="1"/>
  <c r="AV15" i="17" s="1"/>
  <c r="AW15" i="17" s="1"/>
  <c r="AX15" i="17" s="1"/>
  <c r="AY15" i="17" s="1"/>
  <c r="AZ15" i="17" s="1"/>
  <c r="BA15" i="17" s="1"/>
  <c r="BB15" i="17" s="1"/>
  <c r="BC15" i="17" s="1"/>
  <c r="BD15" i="17" s="1"/>
  <c r="BE15" i="17" s="1"/>
  <c r="BF15" i="17" s="1"/>
  <c r="BG15" i="17" s="1"/>
  <c r="BH15" i="17" s="1"/>
  <c r="BI15" i="17" s="1"/>
  <c r="BJ15" i="17" s="1"/>
  <c r="BK15" i="17" s="1"/>
  <c r="BL15" i="17" s="1"/>
  <c r="BM15" i="17" s="1"/>
  <c r="BN15" i="17" s="1"/>
  <c r="BO15" i="17" s="1"/>
  <c r="BP15" i="17" s="1"/>
  <c r="BQ15" i="17" s="1"/>
  <c r="BR15" i="17" s="1"/>
  <c r="BS15" i="17" s="1"/>
  <c r="BT15" i="17" s="1"/>
  <c r="BU15" i="17" s="1"/>
  <c r="BV15" i="17" s="1"/>
  <c r="BW15" i="17" s="1"/>
  <c r="BX15" i="17" s="1"/>
  <c r="BY15" i="17" s="1"/>
  <c r="BZ15" i="17" s="1"/>
  <c r="CA15" i="17" s="1"/>
  <c r="CB15" i="17" s="1"/>
  <c r="CC15" i="17" s="1"/>
  <c r="CD15" i="17" s="1"/>
  <c r="CE15" i="17" s="1"/>
  <c r="CF15" i="17" s="1"/>
  <c r="CG15" i="17" s="1"/>
  <c r="CH15" i="17" s="1"/>
  <c r="CI15" i="17" s="1"/>
  <c r="CJ15" i="17" s="1"/>
  <c r="CK15" i="17" s="1"/>
  <c r="CL15" i="17" s="1"/>
  <c r="CM15" i="17" s="1"/>
  <c r="CN15" i="17" s="1"/>
  <c r="CO15" i="17" s="1"/>
  <c r="CP15" i="17" s="1"/>
  <c r="CQ15" i="17" s="1"/>
  <c r="CR15" i="17" s="1"/>
  <c r="CS15" i="17" s="1"/>
  <c r="CT15" i="17" s="1"/>
  <c r="CU15" i="17" s="1"/>
  <c r="CV15" i="17" s="1"/>
  <c r="CW15" i="17" s="1"/>
  <c r="CX15" i="17" s="1"/>
  <c r="CY15" i="17" s="1"/>
  <c r="CZ15" i="17" s="1"/>
  <c r="DA15" i="17" s="1"/>
  <c r="DB15" i="17" s="1"/>
  <c r="DC15" i="17" s="1"/>
  <c r="DD15" i="17" s="1"/>
  <c r="DE15" i="17" s="1"/>
  <c r="DF15" i="17" s="1"/>
  <c r="DG15" i="17" s="1"/>
  <c r="DH15" i="17" s="1"/>
  <c r="DI15" i="17" s="1"/>
  <c r="DJ15" i="17" s="1"/>
  <c r="DK15" i="17" s="1"/>
  <c r="DL15" i="17" s="1"/>
  <c r="DM15" i="17" s="1"/>
  <c r="DN15" i="17" s="1"/>
  <c r="DO15" i="17" s="1"/>
  <c r="DP15" i="17" s="1"/>
  <c r="B14" i="17"/>
  <c r="C14" i="17" s="1"/>
  <c r="D14" i="17" s="1"/>
  <c r="E14" i="17" s="1"/>
  <c r="F14" i="17" s="1"/>
  <c r="G14" i="17" s="1"/>
  <c r="H14" i="17" s="1"/>
  <c r="I14" i="17" s="1"/>
  <c r="J14" i="17" s="1"/>
  <c r="K14" i="17" s="1"/>
  <c r="L14" i="17" s="1"/>
  <c r="M14" i="17" s="1"/>
  <c r="N14" i="17" s="1"/>
  <c r="O14" i="17" s="1"/>
  <c r="P14" i="17" s="1"/>
  <c r="Q14" i="17" s="1"/>
  <c r="R14" i="17" s="1"/>
  <c r="S14" i="17" s="1"/>
  <c r="T14" i="17" s="1"/>
  <c r="U14" i="17" s="1"/>
  <c r="V14" i="17" s="1"/>
  <c r="W14" i="17" s="1"/>
  <c r="X14" i="17" s="1"/>
  <c r="Y14" i="17" s="1"/>
  <c r="Z14" i="17" s="1"/>
  <c r="AA14" i="17" s="1"/>
  <c r="AB14" i="17" s="1"/>
  <c r="AC14" i="17" s="1"/>
  <c r="AD14" i="17" s="1"/>
  <c r="AE14" i="17" s="1"/>
  <c r="AF14" i="17" s="1"/>
  <c r="AG14" i="17" s="1"/>
  <c r="AH14" i="17" s="1"/>
  <c r="AI14" i="17" s="1"/>
  <c r="AJ14" i="17" s="1"/>
  <c r="AK14" i="17" s="1"/>
  <c r="AL14" i="17" s="1"/>
  <c r="AM14" i="17" s="1"/>
  <c r="AN14" i="17" s="1"/>
  <c r="AO14" i="17" s="1"/>
  <c r="AP14" i="17" s="1"/>
  <c r="AQ14" i="17" s="1"/>
  <c r="AR14" i="17" s="1"/>
  <c r="AS14" i="17" s="1"/>
  <c r="AT14" i="17" s="1"/>
  <c r="AU14" i="17" s="1"/>
  <c r="AV14" i="17" s="1"/>
  <c r="AW14" i="17" s="1"/>
  <c r="AX14" i="17" s="1"/>
  <c r="AY14" i="17" s="1"/>
  <c r="AZ14" i="17" s="1"/>
  <c r="BA14" i="17" s="1"/>
  <c r="BB14" i="17" s="1"/>
  <c r="BC14" i="17" s="1"/>
  <c r="BD14" i="17" s="1"/>
  <c r="BE14" i="17" s="1"/>
  <c r="BF14" i="17" s="1"/>
  <c r="BG14" i="17" s="1"/>
  <c r="BH14" i="17" s="1"/>
  <c r="BI14" i="17" s="1"/>
  <c r="BJ14" i="17" s="1"/>
  <c r="BK14" i="17" s="1"/>
  <c r="BL14" i="17" s="1"/>
  <c r="BM14" i="17" s="1"/>
  <c r="BN14" i="17" s="1"/>
  <c r="BO14" i="17" s="1"/>
  <c r="BP14" i="17" s="1"/>
  <c r="BQ14" i="17" s="1"/>
  <c r="BR14" i="17" s="1"/>
  <c r="BS14" i="17" s="1"/>
  <c r="BT14" i="17" s="1"/>
  <c r="BU14" i="17" s="1"/>
  <c r="BV14" i="17" s="1"/>
  <c r="BW14" i="17" s="1"/>
  <c r="BX14" i="17" s="1"/>
  <c r="BY14" i="17" s="1"/>
  <c r="BZ14" i="17" s="1"/>
  <c r="CA14" i="17" s="1"/>
  <c r="CB14" i="17" s="1"/>
  <c r="CC14" i="17" s="1"/>
  <c r="CD14" i="17" s="1"/>
  <c r="CE14" i="17" s="1"/>
  <c r="CF14" i="17" s="1"/>
  <c r="CG14" i="17" s="1"/>
  <c r="CH14" i="17" s="1"/>
  <c r="CI14" i="17" s="1"/>
  <c r="CJ14" i="17" s="1"/>
  <c r="CK14" i="17" s="1"/>
  <c r="CL14" i="17" s="1"/>
  <c r="CM14" i="17" s="1"/>
  <c r="CN14" i="17" s="1"/>
  <c r="CO14" i="17" s="1"/>
  <c r="CP14" i="17" s="1"/>
  <c r="CQ14" i="17" s="1"/>
  <c r="CR14" i="17" s="1"/>
  <c r="CS14" i="17" s="1"/>
  <c r="CT14" i="17" s="1"/>
  <c r="CU14" i="17" s="1"/>
  <c r="CV14" i="17" s="1"/>
  <c r="CW14" i="17" s="1"/>
  <c r="CX14" i="17" s="1"/>
  <c r="CY14" i="17" s="1"/>
  <c r="CZ14" i="17" s="1"/>
  <c r="DA14" i="17" s="1"/>
  <c r="DB14" i="17" s="1"/>
  <c r="DC14" i="17" s="1"/>
  <c r="DD14" i="17" s="1"/>
  <c r="DE14" i="17" s="1"/>
  <c r="DF14" i="17" s="1"/>
  <c r="DG14" i="17" s="1"/>
  <c r="DH14" i="17" s="1"/>
  <c r="DI14" i="17" s="1"/>
  <c r="DJ14" i="17" s="1"/>
  <c r="DK14" i="17" s="1"/>
  <c r="DL14" i="17" s="1"/>
  <c r="DM14" i="17" s="1"/>
  <c r="DN14" i="17" s="1"/>
  <c r="DO14" i="17" s="1"/>
  <c r="DP14" i="17" s="1"/>
  <c r="B13" i="17"/>
  <c r="C13" i="17" s="1"/>
  <c r="D13" i="17" s="1"/>
  <c r="E13" i="17" s="1"/>
  <c r="F13" i="17" s="1"/>
  <c r="G13" i="17" s="1"/>
  <c r="H13" i="17" s="1"/>
  <c r="I13" i="17" s="1"/>
  <c r="J13" i="17" s="1"/>
  <c r="K13" i="17" s="1"/>
  <c r="L13" i="17" s="1"/>
  <c r="M13" i="17" s="1"/>
  <c r="N13" i="17" s="1"/>
  <c r="O13" i="17" s="1"/>
  <c r="P13" i="17" s="1"/>
  <c r="Q13" i="17" s="1"/>
  <c r="R13" i="17" s="1"/>
  <c r="S13" i="17" s="1"/>
  <c r="T13" i="17" s="1"/>
  <c r="U13" i="17" s="1"/>
  <c r="V13" i="17" s="1"/>
  <c r="W13" i="17" s="1"/>
  <c r="X13" i="17" s="1"/>
  <c r="Y13" i="17" s="1"/>
  <c r="Z13" i="17" s="1"/>
  <c r="AA13" i="17" s="1"/>
  <c r="AB13" i="17" s="1"/>
  <c r="AC13" i="17" s="1"/>
  <c r="AD13" i="17" s="1"/>
  <c r="AE13" i="17" s="1"/>
  <c r="AF13" i="17" s="1"/>
  <c r="AG13" i="17" s="1"/>
  <c r="AH13" i="17" s="1"/>
  <c r="AI13" i="17" s="1"/>
  <c r="AJ13" i="17" s="1"/>
  <c r="AK13" i="17" s="1"/>
  <c r="AL13" i="17" s="1"/>
  <c r="AM13" i="17" s="1"/>
  <c r="AN13" i="17" s="1"/>
  <c r="AO13" i="17" s="1"/>
  <c r="AP13" i="17" s="1"/>
  <c r="AQ13" i="17" s="1"/>
  <c r="AR13" i="17" s="1"/>
  <c r="AS13" i="17" s="1"/>
  <c r="AT13" i="17" s="1"/>
  <c r="AU13" i="17" s="1"/>
  <c r="AV13" i="17" s="1"/>
  <c r="AW13" i="17" s="1"/>
  <c r="AX13" i="17" s="1"/>
  <c r="AY13" i="17" s="1"/>
  <c r="AZ13" i="17" s="1"/>
  <c r="BA13" i="17" s="1"/>
  <c r="BB13" i="17" s="1"/>
  <c r="BC13" i="17" s="1"/>
  <c r="BD13" i="17" s="1"/>
  <c r="BE13" i="17" s="1"/>
  <c r="BF13" i="17" s="1"/>
  <c r="BG13" i="17" s="1"/>
  <c r="BH13" i="17" s="1"/>
  <c r="BI13" i="17" s="1"/>
  <c r="BJ13" i="17" s="1"/>
  <c r="BK13" i="17" s="1"/>
  <c r="BL13" i="17" s="1"/>
  <c r="BM13" i="17" s="1"/>
  <c r="BN13" i="17" s="1"/>
  <c r="BO13" i="17" s="1"/>
  <c r="BP13" i="17" s="1"/>
  <c r="BQ13" i="17" s="1"/>
  <c r="BR13" i="17" s="1"/>
  <c r="BS13" i="17" s="1"/>
  <c r="BT13" i="17" s="1"/>
  <c r="BU13" i="17" s="1"/>
  <c r="BV13" i="17" s="1"/>
  <c r="BW13" i="17" s="1"/>
  <c r="BX13" i="17" s="1"/>
  <c r="BY13" i="17" s="1"/>
  <c r="BZ13" i="17" s="1"/>
  <c r="CA13" i="17" s="1"/>
  <c r="CB13" i="17" s="1"/>
  <c r="CC13" i="17" s="1"/>
  <c r="CD13" i="17" s="1"/>
  <c r="CE13" i="17" s="1"/>
  <c r="CF13" i="17" s="1"/>
  <c r="CG13" i="17" s="1"/>
  <c r="CH13" i="17" s="1"/>
  <c r="CI13" i="17" s="1"/>
  <c r="CJ13" i="17" s="1"/>
  <c r="CK13" i="17" s="1"/>
  <c r="CL13" i="17" s="1"/>
  <c r="CM13" i="17" s="1"/>
  <c r="CN13" i="17" s="1"/>
  <c r="CO13" i="17" s="1"/>
  <c r="CP13" i="17" s="1"/>
  <c r="CQ13" i="17" s="1"/>
  <c r="CR13" i="17" s="1"/>
  <c r="CS13" i="17" s="1"/>
  <c r="CT13" i="17" s="1"/>
  <c r="CU13" i="17" s="1"/>
  <c r="CV13" i="17" s="1"/>
  <c r="CW13" i="17" s="1"/>
  <c r="CX13" i="17" s="1"/>
  <c r="CY13" i="17" s="1"/>
  <c r="CZ13" i="17" s="1"/>
  <c r="DA13" i="17" s="1"/>
  <c r="DB13" i="17" s="1"/>
  <c r="DC13" i="17" s="1"/>
  <c r="DD13" i="17" s="1"/>
  <c r="DE13" i="17" s="1"/>
  <c r="DF13" i="17" s="1"/>
  <c r="DG13" i="17" s="1"/>
  <c r="DH13" i="17" s="1"/>
  <c r="DI13" i="17" s="1"/>
  <c r="DJ13" i="17" s="1"/>
  <c r="DK13" i="17" s="1"/>
  <c r="DL13" i="17" s="1"/>
  <c r="DM13" i="17" s="1"/>
  <c r="DN13" i="17" s="1"/>
  <c r="DO13" i="17" s="1"/>
  <c r="DP13" i="17" s="1"/>
  <c r="B12" i="17"/>
  <c r="C12" i="17" s="1"/>
  <c r="D12" i="17" s="1"/>
  <c r="E12" i="17" s="1"/>
  <c r="F12" i="17" s="1"/>
  <c r="G12" i="17" s="1"/>
  <c r="H12" i="17" s="1"/>
  <c r="I12" i="17" s="1"/>
  <c r="J12" i="17" s="1"/>
  <c r="K12" i="17" s="1"/>
  <c r="L12" i="17" s="1"/>
  <c r="M12" i="17" s="1"/>
  <c r="N12" i="17" s="1"/>
  <c r="O12" i="17" s="1"/>
  <c r="P12" i="17" s="1"/>
  <c r="Q12" i="17" s="1"/>
  <c r="R12" i="17" s="1"/>
  <c r="S12" i="17" s="1"/>
  <c r="T12" i="17" s="1"/>
  <c r="U12" i="17" s="1"/>
  <c r="V12" i="17" s="1"/>
  <c r="W12" i="17" s="1"/>
  <c r="X12" i="17" s="1"/>
  <c r="Y12" i="17" s="1"/>
  <c r="Z12" i="17" s="1"/>
  <c r="AA12" i="17" s="1"/>
  <c r="AB12" i="17" s="1"/>
  <c r="AC12" i="17" s="1"/>
  <c r="AD12" i="17" s="1"/>
  <c r="AE12" i="17" s="1"/>
  <c r="AF12" i="17" s="1"/>
  <c r="AG12" i="17" s="1"/>
  <c r="AH12" i="17" s="1"/>
  <c r="AI12" i="17" s="1"/>
  <c r="AJ12" i="17" s="1"/>
  <c r="AK12" i="17" s="1"/>
  <c r="AL12" i="17" s="1"/>
  <c r="AM12" i="17" s="1"/>
  <c r="AN12" i="17" s="1"/>
  <c r="AO12" i="17" s="1"/>
  <c r="AP12" i="17" s="1"/>
  <c r="AQ12" i="17" s="1"/>
  <c r="AR12" i="17" s="1"/>
  <c r="AS12" i="17" s="1"/>
  <c r="AT12" i="17" s="1"/>
  <c r="AU12" i="17" s="1"/>
  <c r="AV12" i="17" s="1"/>
  <c r="AW12" i="17" s="1"/>
  <c r="AX12" i="17" s="1"/>
  <c r="AY12" i="17" s="1"/>
  <c r="AZ12" i="17" s="1"/>
  <c r="BA12" i="17" s="1"/>
  <c r="BB12" i="17" s="1"/>
  <c r="BC12" i="17" s="1"/>
  <c r="BD12" i="17" s="1"/>
  <c r="BE12" i="17" s="1"/>
  <c r="BF12" i="17" s="1"/>
  <c r="BG12" i="17" s="1"/>
  <c r="BH12" i="17" s="1"/>
  <c r="BI12" i="17" s="1"/>
  <c r="BJ12" i="17" s="1"/>
  <c r="BK12" i="17" s="1"/>
  <c r="BL12" i="17" s="1"/>
  <c r="BM12" i="17" s="1"/>
  <c r="BN12" i="17" s="1"/>
  <c r="BO12" i="17" s="1"/>
  <c r="BP12" i="17" s="1"/>
  <c r="BQ12" i="17" s="1"/>
  <c r="BR12" i="17" s="1"/>
  <c r="BS12" i="17" s="1"/>
  <c r="BT12" i="17" s="1"/>
  <c r="BU12" i="17" s="1"/>
  <c r="BV12" i="17" s="1"/>
  <c r="BW12" i="17" s="1"/>
  <c r="BX12" i="17" s="1"/>
  <c r="BY12" i="17" s="1"/>
  <c r="BZ12" i="17" s="1"/>
  <c r="CA12" i="17" s="1"/>
  <c r="CB12" i="17" s="1"/>
  <c r="CC12" i="17" s="1"/>
  <c r="CD12" i="17" s="1"/>
  <c r="CE12" i="17" s="1"/>
  <c r="CF12" i="17" s="1"/>
  <c r="CG12" i="17" s="1"/>
  <c r="CH12" i="17" s="1"/>
  <c r="CI12" i="17" s="1"/>
  <c r="CJ12" i="17" s="1"/>
  <c r="CK12" i="17" s="1"/>
  <c r="CL12" i="17" s="1"/>
  <c r="CM12" i="17" s="1"/>
  <c r="CN12" i="17" s="1"/>
  <c r="CO12" i="17" s="1"/>
  <c r="CP12" i="17" s="1"/>
  <c r="CQ12" i="17" s="1"/>
  <c r="CR12" i="17" s="1"/>
  <c r="CS12" i="17" s="1"/>
  <c r="CT12" i="17" s="1"/>
  <c r="CU12" i="17" s="1"/>
  <c r="CV12" i="17" s="1"/>
  <c r="CW12" i="17" s="1"/>
  <c r="CX12" i="17" s="1"/>
  <c r="CY12" i="17" s="1"/>
  <c r="CZ12" i="17" s="1"/>
  <c r="DA12" i="17" s="1"/>
  <c r="DB12" i="17" s="1"/>
  <c r="DC12" i="17" s="1"/>
  <c r="DD12" i="17" s="1"/>
  <c r="DE12" i="17" s="1"/>
  <c r="DF12" i="17" s="1"/>
  <c r="DG12" i="17" s="1"/>
  <c r="DH12" i="17" s="1"/>
  <c r="DI12" i="17" s="1"/>
  <c r="DJ12" i="17" s="1"/>
  <c r="DK12" i="17" s="1"/>
  <c r="DL12" i="17" s="1"/>
  <c r="DM12" i="17" s="1"/>
  <c r="DN12" i="17" s="1"/>
  <c r="DO12" i="17" s="1"/>
  <c r="DP12" i="17" s="1"/>
  <c r="B11" i="17"/>
  <c r="C11" i="17" s="1"/>
  <c r="D11" i="17" s="1"/>
  <c r="E11" i="17" s="1"/>
  <c r="F11" i="17" s="1"/>
  <c r="G11" i="17" s="1"/>
  <c r="H11" i="17" s="1"/>
  <c r="I11" i="17" s="1"/>
  <c r="J11" i="17" s="1"/>
  <c r="K11" i="17" s="1"/>
  <c r="L11" i="17" s="1"/>
  <c r="M11" i="17" s="1"/>
  <c r="N11" i="17" s="1"/>
  <c r="O11" i="17" s="1"/>
  <c r="P11" i="17" s="1"/>
  <c r="Q11" i="17" s="1"/>
  <c r="R11" i="17" s="1"/>
  <c r="S11" i="17" s="1"/>
  <c r="T11" i="17" s="1"/>
  <c r="U11" i="17" s="1"/>
  <c r="V11" i="17" s="1"/>
  <c r="W11" i="17" s="1"/>
  <c r="X11" i="17" s="1"/>
  <c r="Y11" i="17" s="1"/>
  <c r="Z11" i="17" s="1"/>
  <c r="AA11" i="17" s="1"/>
  <c r="AB11" i="17" s="1"/>
  <c r="AC11" i="17" s="1"/>
  <c r="AD11" i="17" s="1"/>
  <c r="AE11" i="17" s="1"/>
  <c r="AF11" i="17" s="1"/>
  <c r="AG11" i="17" s="1"/>
  <c r="AH11" i="17" s="1"/>
  <c r="AI11" i="17" s="1"/>
  <c r="AJ11" i="17" s="1"/>
  <c r="AK11" i="17" s="1"/>
  <c r="AL11" i="17" s="1"/>
  <c r="AM11" i="17" s="1"/>
  <c r="AN11" i="17" s="1"/>
  <c r="AO11" i="17" s="1"/>
  <c r="AP11" i="17" s="1"/>
  <c r="AQ11" i="17" s="1"/>
  <c r="AR11" i="17" s="1"/>
  <c r="AS11" i="17" s="1"/>
  <c r="AT11" i="17" s="1"/>
  <c r="AU11" i="17" s="1"/>
  <c r="AV11" i="17" s="1"/>
  <c r="AW11" i="17" s="1"/>
  <c r="AX11" i="17" s="1"/>
  <c r="AY11" i="17" s="1"/>
  <c r="AZ11" i="17" s="1"/>
  <c r="BA11" i="17" s="1"/>
  <c r="BB11" i="17" s="1"/>
  <c r="BC11" i="17" s="1"/>
  <c r="BD11" i="17" s="1"/>
  <c r="BE11" i="17" s="1"/>
  <c r="BF11" i="17" s="1"/>
  <c r="BG11" i="17" s="1"/>
  <c r="BH11" i="17" s="1"/>
  <c r="BI11" i="17" s="1"/>
  <c r="BJ11" i="17" s="1"/>
  <c r="BK11" i="17" s="1"/>
  <c r="BL11" i="17" s="1"/>
  <c r="BM11" i="17" s="1"/>
  <c r="BN11" i="17" s="1"/>
  <c r="BO11" i="17" s="1"/>
  <c r="BP11" i="17" s="1"/>
  <c r="BQ11" i="17" s="1"/>
  <c r="BR11" i="17" s="1"/>
  <c r="BS11" i="17" s="1"/>
  <c r="BT11" i="17" s="1"/>
  <c r="BU11" i="17" s="1"/>
  <c r="BV11" i="17" s="1"/>
  <c r="BW11" i="17" s="1"/>
  <c r="BX11" i="17" s="1"/>
  <c r="BY11" i="17" s="1"/>
  <c r="BZ11" i="17" s="1"/>
  <c r="CA11" i="17" s="1"/>
  <c r="CB11" i="17" s="1"/>
  <c r="CC11" i="17" s="1"/>
  <c r="CD11" i="17" s="1"/>
  <c r="CE11" i="17" s="1"/>
  <c r="CF11" i="17" s="1"/>
  <c r="CG11" i="17" s="1"/>
  <c r="CH11" i="17" s="1"/>
  <c r="CI11" i="17" s="1"/>
  <c r="CJ11" i="17" s="1"/>
  <c r="CK11" i="17" s="1"/>
  <c r="CL11" i="17" s="1"/>
  <c r="CM11" i="17" s="1"/>
  <c r="CN11" i="17" s="1"/>
  <c r="CO11" i="17" s="1"/>
  <c r="CP11" i="17" s="1"/>
  <c r="CQ11" i="17" s="1"/>
  <c r="CR11" i="17" s="1"/>
  <c r="CS11" i="17" s="1"/>
  <c r="CT11" i="17" s="1"/>
  <c r="CU11" i="17" s="1"/>
  <c r="CV11" i="17" s="1"/>
  <c r="CW11" i="17" s="1"/>
  <c r="CX11" i="17" s="1"/>
  <c r="CY11" i="17" s="1"/>
  <c r="CZ11" i="17" s="1"/>
  <c r="DA11" i="17" s="1"/>
  <c r="DB11" i="17" s="1"/>
  <c r="DC11" i="17" s="1"/>
  <c r="DD11" i="17" s="1"/>
  <c r="DE11" i="17" s="1"/>
  <c r="DF11" i="17" s="1"/>
  <c r="DG11" i="17" s="1"/>
  <c r="DH11" i="17" s="1"/>
  <c r="DI11" i="17" s="1"/>
  <c r="DJ11" i="17" s="1"/>
  <c r="DK11" i="17" s="1"/>
  <c r="DL11" i="17" s="1"/>
  <c r="DM11" i="17" s="1"/>
  <c r="DN11" i="17" s="1"/>
  <c r="DO11" i="17" s="1"/>
  <c r="DP11" i="17" s="1"/>
  <c r="B10" i="17"/>
  <c r="C10" i="17" s="1"/>
  <c r="D10" i="17" s="1"/>
  <c r="E10" i="17" s="1"/>
  <c r="F10" i="17" s="1"/>
  <c r="G10" i="17" s="1"/>
  <c r="H10" i="17" s="1"/>
  <c r="I10" i="17" s="1"/>
  <c r="J10" i="17" s="1"/>
  <c r="K10" i="17" s="1"/>
  <c r="L10" i="17" s="1"/>
  <c r="M10" i="17" s="1"/>
  <c r="N10" i="17" s="1"/>
  <c r="O10" i="17" s="1"/>
  <c r="P10" i="17" s="1"/>
  <c r="Q10" i="17" s="1"/>
  <c r="R10" i="17" s="1"/>
  <c r="S10" i="17" s="1"/>
  <c r="T10" i="17" s="1"/>
  <c r="U10" i="17" s="1"/>
  <c r="V10" i="17" s="1"/>
  <c r="W10" i="17" s="1"/>
  <c r="X10" i="17" s="1"/>
  <c r="Y10" i="17" s="1"/>
  <c r="Z10" i="17" s="1"/>
  <c r="AA10" i="17" s="1"/>
  <c r="AB10" i="17" s="1"/>
  <c r="AC10" i="17" s="1"/>
  <c r="AD10" i="17" s="1"/>
  <c r="AE10" i="17" s="1"/>
  <c r="AF10" i="17" s="1"/>
  <c r="AG10" i="17" s="1"/>
  <c r="AH10" i="17" s="1"/>
  <c r="AI10" i="17" s="1"/>
  <c r="AJ10" i="17" s="1"/>
  <c r="AK10" i="17" s="1"/>
  <c r="AL10" i="17" s="1"/>
  <c r="AM10" i="17" s="1"/>
  <c r="AN10" i="17" s="1"/>
  <c r="AO10" i="17" s="1"/>
  <c r="AP10" i="17" s="1"/>
  <c r="AQ10" i="17" s="1"/>
  <c r="AR10" i="17" s="1"/>
  <c r="AS10" i="17" s="1"/>
  <c r="AT10" i="17" s="1"/>
  <c r="AU10" i="17" s="1"/>
  <c r="AV10" i="17" s="1"/>
  <c r="AW10" i="17" s="1"/>
  <c r="AX10" i="17" s="1"/>
  <c r="AY10" i="17" s="1"/>
  <c r="AZ10" i="17" s="1"/>
  <c r="BA10" i="17" s="1"/>
  <c r="BB10" i="17" s="1"/>
  <c r="BC10" i="17" s="1"/>
  <c r="BD10" i="17" s="1"/>
  <c r="BE10" i="17" s="1"/>
  <c r="BF10" i="17" s="1"/>
  <c r="BG10" i="17" s="1"/>
  <c r="BH10" i="17" s="1"/>
  <c r="BI10" i="17" s="1"/>
  <c r="BJ10" i="17" s="1"/>
  <c r="BK10" i="17" s="1"/>
  <c r="BL10" i="17" s="1"/>
  <c r="BM10" i="17" s="1"/>
  <c r="BN10" i="17" s="1"/>
  <c r="BO10" i="17" s="1"/>
  <c r="BP10" i="17" s="1"/>
  <c r="BQ10" i="17" s="1"/>
  <c r="BR10" i="17" s="1"/>
  <c r="BS10" i="17" s="1"/>
  <c r="BT10" i="17" s="1"/>
  <c r="BU10" i="17" s="1"/>
  <c r="BV10" i="17" s="1"/>
  <c r="BW10" i="17" s="1"/>
  <c r="BX10" i="17" s="1"/>
  <c r="BY10" i="17" s="1"/>
  <c r="BZ10" i="17" s="1"/>
  <c r="CA10" i="17" s="1"/>
  <c r="CB10" i="17" s="1"/>
  <c r="CC10" i="17" s="1"/>
  <c r="CD10" i="17" s="1"/>
  <c r="CE10" i="17" s="1"/>
  <c r="CF10" i="17" s="1"/>
  <c r="CG10" i="17" s="1"/>
  <c r="CH10" i="17" s="1"/>
  <c r="CI10" i="17" s="1"/>
  <c r="CJ10" i="17" s="1"/>
  <c r="CK10" i="17" s="1"/>
  <c r="CL10" i="17" s="1"/>
  <c r="CM10" i="17" s="1"/>
  <c r="CN10" i="17" s="1"/>
  <c r="CO10" i="17" s="1"/>
  <c r="CP10" i="17" s="1"/>
  <c r="CQ10" i="17" s="1"/>
  <c r="CR10" i="17" s="1"/>
  <c r="CS10" i="17" s="1"/>
  <c r="CT10" i="17" s="1"/>
  <c r="CU10" i="17" s="1"/>
  <c r="CV10" i="17" s="1"/>
  <c r="CW10" i="17" s="1"/>
  <c r="CX10" i="17" s="1"/>
  <c r="CY10" i="17" s="1"/>
  <c r="CZ10" i="17" s="1"/>
  <c r="DA10" i="17" s="1"/>
  <c r="DB10" i="17" s="1"/>
  <c r="DC10" i="17" s="1"/>
  <c r="DD10" i="17" s="1"/>
  <c r="DE10" i="17" s="1"/>
  <c r="DF10" i="17" s="1"/>
  <c r="DG10" i="17" s="1"/>
  <c r="DH10" i="17" s="1"/>
  <c r="DI10" i="17" s="1"/>
  <c r="DJ10" i="17" s="1"/>
  <c r="DK10" i="17" s="1"/>
  <c r="DL10" i="17" s="1"/>
  <c r="DM10" i="17" s="1"/>
  <c r="DN10" i="17" s="1"/>
  <c r="DO10" i="17" s="1"/>
  <c r="DP10" i="17" s="1"/>
  <c r="B9" i="17"/>
  <c r="C9" i="17" s="1"/>
  <c r="D9" i="17" s="1"/>
  <c r="E9" i="17" s="1"/>
  <c r="F9" i="17" s="1"/>
  <c r="G9" i="17" s="1"/>
  <c r="H9" i="17" s="1"/>
  <c r="I9" i="17" s="1"/>
  <c r="J9" i="17" s="1"/>
  <c r="K9" i="17" s="1"/>
  <c r="L9" i="17" s="1"/>
  <c r="M9" i="17" s="1"/>
  <c r="N9" i="17" s="1"/>
  <c r="O9" i="17" s="1"/>
  <c r="P9" i="17" s="1"/>
  <c r="Q9" i="17" s="1"/>
  <c r="R9" i="17" s="1"/>
  <c r="S9" i="17" s="1"/>
  <c r="T9" i="17" s="1"/>
  <c r="U9" i="17" s="1"/>
  <c r="V9" i="17" s="1"/>
  <c r="W9" i="17" s="1"/>
  <c r="X9" i="17" s="1"/>
  <c r="Y9" i="17" s="1"/>
  <c r="Z9" i="17" s="1"/>
  <c r="AA9" i="17" s="1"/>
  <c r="AB9" i="17" s="1"/>
  <c r="AC9" i="17" s="1"/>
  <c r="AD9" i="17" s="1"/>
  <c r="AE9" i="17" s="1"/>
  <c r="AF9" i="17" s="1"/>
  <c r="AG9" i="17" s="1"/>
  <c r="AH9" i="17" s="1"/>
  <c r="AI9" i="17" s="1"/>
  <c r="AJ9" i="17" s="1"/>
  <c r="AK9" i="17" s="1"/>
  <c r="AL9" i="17" s="1"/>
  <c r="AM9" i="17" s="1"/>
  <c r="AN9" i="17" s="1"/>
  <c r="AO9" i="17" s="1"/>
  <c r="AP9" i="17" s="1"/>
  <c r="AQ9" i="17" s="1"/>
  <c r="AR9" i="17" s="1"/>
  <c r="AS9" i="17" s="1"/>
  <c r="AT9" i="17" s="1"/>
  <c r="AU9" i="17" s="1"/>
  <c r="AV9" i="17" s="1"/>
  <c r="AW9" i="17" s="1"/>
  <c r="AX9" i="17" s="1"/>
  <c r="AY9" i="17" s="1"/>
  <c r="AZ9" i="17" s="1"/>
  <c r="BA9" i="17" s="1"/>
  <c r="BB9" i="17" s="1"/>
  <c r="BC9" i="17" s="1"/>
  <c r="BD9" i="17" s="1"/>
  <c r="BE9" i="17" s="1"/>
  <c r="BF9" i="17" s="1"/>
  <c r="BG9" i="17" s="1"/>
  <c r="BH9" i="17" s="1"/>
  <c r="BI9" i="17" s="1"/>
  <c r="BJ9" i="17" s="1"/>
  <c r="BK9" i="17" s="1"/>
  <c r="BL9" i="17" s="1"/>
  <c r="BM9" i="17" s="1"/>
  <c r="BN9" i="17" s="1"/>
  <c r="BO9" i="17" s="1"/>
  <c r="BP9" i="17" s="1"/>
  <c r="BQ9" i="17" s="1"/>
  <c r="BR9" i="17" s="1"/>
  <c r="BS9" i="17" s="1"/>
  <c r="BT9" i="17" s="1"/>
  <c r="BU9" i="17" s="1"/>
  <c r="BV9" i="17" s="1"/>
  <c r="BW9" i="17" s="1"/>
  <c r="BX9" i="17" s="1"/>
  <c r="BY9" i="17" s="1"/>
  <c r="BZ9" i="17" s="1"/>
  <c r="CA9" i="17" s="1"/>
  <c r="CB9" i="17" s="1"/>
  <c r="CC9" i="17" s="1"/>
  <c r="CD9" i="17" s="1"/>
  <c r="CE9" i="17" s="1"/>
  <c r="CF9" i="17" s="1"/>
  <c r="CG9" i="17" s="1"/>
  <c r="CH9" i="17" s="1"/>
  <c r="CI9" i="17" s="1"/>
  <c r="CJ9" i="17" s="1"/>
  <c r="CK9" i="17" s="1"/>
  <c r="CL9" i="17" s="1"/>
  <c r="CM9" i="17" s="1"/>
  <c r="CN9" i="17" s="1"/>
  <c r="CO9" i="17" s="1"/>
  <c r="CP9" i="17" s="1"/>
  <c r="CQ9" i="17" s="1"/>
  <c r="CR9" i="17" s="1"/>
  <c r="CS9" i="17" s="1"/>
  <c r="CT9" i="17" s="1"/>
  <c r="CU9" i="17" s="1"/>
  <c r="CV9" i="17" s="1"/>
  <c r="CW9" i="17" s="1"/>
  <c r="CX9" i="17" s="1"/>
  <c r="CY9" i="17" s="1"/>
  <c r="CZ9" i="17" s="1"/>
  <c r="DA9" i="17" s="1"/>
  <c r="DB9" i="17" s="1"/>
  <c r="DC9" i="17" s="1"/>
  <c r="DD9" i="17" s="1"/>
  <c r="DE9" i="17" s="1"/>
  <c r="DF9" i="17" s="1"/>
  <c r="DG9" i="17" s="1"/>
  <c r="DH9" i="17" s="1"/>
  <c r="DI9" i="17" s="1"/>
  <c r="DJ9" i="17" s="1"/>
  <c r="DK9" i="17" s="1"/>
  <c r="DL9" i="17" s="1"/>
  <c r="DM9" i="17" s="1"/>
  <c r="DN9" i="17" s="1"/>
  <c r="DO9" i="17" s="1"/>
  <c r="DP9" i="17" s="1"/>
  <c r="B8" i="17"/>
  <c r="C8" i="17" s="1"/>
  <c r="D8" i="17" s="1"/>
  <c r="E8" i="17" s="1"/>
  <c r="F8" i="17" s="1"/>
  <c r="G8" i="17" s="1"/>
  <c r="H8" i="17" s="1"/>
  <c r="I8" i="17" s="1"/>
  <c r="J8" i="17" s="1"/>
  <c r="K8" i="17" s="1"/>
  <c r="L8" i="17" s="1"/>
  <c r="M8" i="17" s="1"/>
  <c r="N8" i="17" s="1"/>
  <c r="O8" i="17" s="1"/>
  <c r="P8" i="17" s="1"/>
  <c r="Q8" i="17" s="1"/>
  <c r="R8" i="17" s="1"/>
  <c r="S8" i="17" s="1"/>
  <c r="T8" i="17" s="1"/>
  <c r="U8" i="17" s="1"/>
  <c r="V8" i="17" s="1"/>
  <c r="W8" i="17" s="1"/>
  <c r="X8" i="17" s="1"/>
  <c r="Y8" i="17" s="1"/>
  <c r="Z8" i="17" s="1"/>
  <c r="AA8" i="17" s="1"/>
  <c r="AB8" i="17" s="1"/>
  <c r="AC8" i="17" s="1"/>
  <c r="AD8" i="17" s="1"/>
  <c r="AE8" i="17" s="1"/>
  <c r="AF8" i="17" s="1"/>
  <c r="AG8" i="17" s="1"/>
  <c r="AH8" i="17" s="1"/>
  <c r="AI8" i="17" s="1"/>
  <c r="AJ8" i="17" s="1"/>
  <c r="AK8" i="17" s="1"/>
  <c r="AL8" i="17" s="1"/>
  <c r="AM8" i="17" s="1"/>
  <c r="AN8" i="17" s="1"/>
  <c r="AO8" i="17" s="1"/>
  <c r="AP8" i="17" s="1"/>
  <c r="AQ8" i="17" s="1"/>
  <c r="AR8" i="17" s="1"/>
  <c r="AS8" i="17" s="1"/>
  <c r="AT8" i="17" s="1"/>
  <c r="AU8" i="17" s="1"/>
  <c r="AV8" i="17" s="1"/>
  <c r="AW8" i="17" s="1"/>
  <c r="AX8" i="17" s="1"/>
  <c r="AY8" i="17" s="1"/>
  <c r="AZ8" i="17" s="1"/>
  <c r="BA8" i="17" s="1"/>
  <c r="BB8" i="17" s="1"/>
  <c r="BC8" i="17" s="1"/>
  <c r="BD8" i="17" s="1"/>
  <c r="BE8" i="17" s="1"/>
  <c r="BF8" i="17" s="1"/>
  <c r="BG8" i="17" s="1"/>
  <c r="BH8" i="17" s="1"/>
  <c r="BI8" i="17" s="1"/>
  <c r="BJ8" i="17" s="1"/>
  <c r="BK8" i="17" s="1"/>
  <c r="BL8" i="17" s="1"/>
  <c r="BM8" i="17" s="1"/>
  <c r="BN8" i="17" s="1"/>
  <c r="BO8" i="17" s="1"/>
  <c r="BP8" i="17" s="1"/>
  <c r="BQ8" i="17" s="1"/>
  <c r="BR8" i="17" s="1"/>
  <c r="BS8" i="17" s="1"/>
  <c r="BT8" i="17" s="1"/>
  <c r="BU8" i="17" s="1"/>
  <c r="BV8" i="17" s="1"/>
  <c r="BW8" i="17" s="1"/>
  <c r="BX8" i="17" s="1"/>
  <c r="BY8" i="17" s="1"/>
  <c r="BZ8" i="17" s="1"/>
  <c r="CA8" i="17" s="1"/>
  <c r="CB8" i="17" s="1"/>
  <c r="CC8" i="17" s="1"/>
  <c r="CD8" i="17" s="1"/>
  <c r="CE8" i="17" s="1"/>
  <c r="CF8" i="17" s="1"/>
  <c r="CG8" i="17" s="1"/>
  <c r="CH8" i="17" s="1"/>
  <c r="CI8" i="17" s="1"/>
  <c r="CJ8" i="17" s="1"/>
  <c r="CK8" i="17" s="1"/>
  <c r="CL8" i="17" s="1"/>
  <c r="CM8" i="17" s="1"/>
  <c r="CN8" i="17" s="1"/>
  <c r="CO8" i="17" s="1"/>
  <c r="CP8" i="17" s="1"/>
  <c r="CQ8" i="17" s="1"/>
  <c r="CR8" i="17" s="1"/>
  <c r="CS8" i="17" s="1"/>
  <c r="CT8" i="17" s="1"/>
  <c r="CU8" i="17" s="1"/>
  <c r="CV8" i="17" s="1"/>
  <c r="CW8" i="17" s="1"/>
  <c r="CX8" i="17" s="1"/>
  <c r="CY8" i="17" s="1"/>
  <c r="CZ8" i="17" s="1"/>
  <c r="DA8" i="17" s="1"/>
  <c r="DB8" i="17" s="1"/>
  <c r="DC8" i="17" s="1"/>
  <c r="DD8" i="17" s="1"/>
  <c r="DE8" i="17" s="1"/>
  <c r="DF8" i="17" s="1"/>
  <c r="DG8" i="17" s="1"/>
  <c r="DH8" i="17" s="1"/>
  <c r="DI8" i="17" s="1"/>
  <c r="DJ8" i="17" s="1"/>
  <c r="DK8" i="17" s="1"/>
  <c r="DL8" i="17" s="1"/>
  <c r="DM8" i="17" s="1"/>
  <c r="DN8" i="17" s="1"/>
  <c r="DO8" i="17" s="1"/>
  <c r="DP8" i="17" s="1"/>
  <c r="B7" i="17"/>
  <c r="C7" i="17" s="1"/>
  <c r="D7" i="17" s="1"/>
  <c r="E7" i="17" s="1"/>
  <c r="F7" i="17" s="1"/>
  <c r="G7" i="17" s="1"/>
  <c r="H7" i="17" s="1"/>
  <c r="I7" i="17" s="1"/>
  <c r="J7" i="17" s="1"/>
  <c r="K7" i="17" s="1"/>
  <c r="L7" i="17" s="1"/>
  <c r="M7" i="17" s="1"/>
  <c r="N7" i="17" s="1"/>
  <c r="O7" i="17" s="1"/>
  <c r="P7" i="17" s="1"/>
  <c r="Q7" i="17" s="1"/>
  <c r="R7" i="17" s="1"/>
  <c r="S7" i="17" s="1"/>
  <c r="T7" i="17" s="1"/>
  <c r="U7" i="17" s="1"/>
  <c r="V7" i="17" s="1"/>
  <c r="W7" i="17" s="1"/>
  <c r="X7" i="17" s="1"/>
  <c r="Y7" i="17" s="1"/>
  <c r="Z7" i="17" s="1"/>
  <c r="AA7" i="17" s="1"/>
  <c r="AB7" i="17" s="1"/>
  <c r="AC7" i="17" s="1"/>
  <c r="AD7" i="17" s="1"/>
  <c r="AE7" i="17" s="1"/>
  <c r="AF7" i="17" s="1"/>
  <c r="AG7" i="17" s="1"/>
  <c r="AH7" i="17" s="1"/>
  <c r="AI7" i="17" s="1"/>
  <c r="AJ7" i="17" s="1"/>
  <c r="AK7" i="17" s="1"/>
  <c r="AL7" i="17" s="1"/>
  <c r="AM7" i="17" s="1"/>
  <c r="AN7" i="17" s="1"/>
  <c r="AO7" i="17" s="1"/>
  <c r="AP7" i="17" s="1"/>
  <c r="AQ7" i="17" s="1"/>
  <c r="AR7" i="17" s="1"/>
  <c r="AS7" i="17" s="1"/>
  <c r="AT7" i="17" s="1"/>
  <c r="AU7" i="17" s="1"/>
  <c r="AV7" i="17" s="1"/>
  <c r="AW7" i="17" s="1"/>
  <c r="AX7" i="17" s="1"/>
  <c r="AY7" i="17" s="1"/>
  <c r="AZ7" i="17" s="1"/>
  <c r="BA7" i="17" s="1"/>
  <c r="BB7" i="17" s="1"/>
  <c r="BC7" i="17" s="1"/>
  <c r="BD7" i="17" s="1"/>
  <c r="BE7" i="17" s="1"/>
  <c r="BF7" i="17" s="1"/>
  <c r="BG7" i="17" s="1"/>
  <c r="BH7" i="17" s="1"/>
  <c r="BI7" i="17" s="1"/>
  <c r="BJ7" i="17" s="1"/>
  <c r="BK7" i="17" s="1"/>
  <c r="BL7" i="17" s="1"/>
  <c r="BM7" i="17" s="1"/>
  <c r="BN7" i="17" s="1"/>
  <c r="BO7" i="17" s="1"/>
  <c r="BP7" i="17" s="1"/>
  <c r="BQ7" i="17" s="1"/>
  <c r="BR7" i="17" s="1"/>
  <c r="BS7" i="17" s="1"/>
  <c r="BT7" i="17" s="1"/>
  <c r="BU7" i="17" s="1"/>
  <c r="BV7" i="17" s="1"/>
  <c r="BW7" i="17" s="1"/>
  <c r="BX7" i="17" s="1"/>
  <c r="BY7" i="17" s="1"/>
  <c r="BZ7" i="17" s="1"/>
  <c r="CA7" i="17" s="1"/>
  <c r="CB7" i="17" s="1"/>
  <c r="CC7" i="17" s="1"/>
  <c r="CD7" i="17" s="1"/>
  <c r="CE7" i="17" s="1"/>
  <c r="CF7" i="17" s="1"/>
  <c r="CG7" i="17" s="1"/>
  <c r="CH7" i="17" s="1"/>
  <c r="CI7" i="17" s="1"/>
  <c r="CJ7" i="17" s="1"/>
  <c r="CK7" i="17" s="1"/>
  <c r="CL7" i="17" s="1"/>
  <c r="CM7" i="17" s="1"/>
  <c r="CN7" i="17" s="1"/>
  <c r="CO7" i="17" s="1"/>
  <c r="CP7" i="17" s="1"/>
  <c r="CQ7" i="17" s="1"/>
  <c r="CR7" i="17" s="1"/>
  <c r="CS7" i="17" s="1"/>
  <c r="CT7" i="17" s="1"/>
  <c r="CU7" i="17" s="1"/>
  <c r="CV7" i="17" s="1"/>
  <c r="CW7" i="17" s="1"/>
  <c r="CX7" i="17" s="1"/>
  <c r="CY7" i="17" s="1"/>
  <c r="CZ7" i="17" s="1"/>
  <c r="DA7" i="17" s="1"/>
  <c r="DB7" i="17" s="1"/>
  <c r="DC7" i="17" s="1"/>
  <c r="DD7" i="17" s="1"/>
  <c r="DE7" i="17" s="1"/>
  <c r="DF7" i="17" s="1"/>
  <c r="DG7" i="17" s="1"/>
  <c r="DH7" i="17" s="1"/>
  <c r="DI7" i="17" s="1"/>
  <c r="DJ7" i="17" s="1"/>
  <c r="DK7" i="17" s="1"/>
  <c r="DL7" i="17" s="1"/>
  <c r="DM7" i="17" s="1"/>
  <c r="DN7" i="17" s="1"/>
  <c r="DO7" i="17" s="1"/>
  <c r="DP7" i="17" s="1"/>
  <c r="B6" i="17"/>
  <c r="C6" i="17" s="1"/>
  <c r="D6" i="17" s="1"/>
  <c r="E6" i="17" s="1"/>
  <c r="F6" i="17" s="1"/>
  <c r="G6" i="17" s="1"/>
  <c r="H6" i="17" s="1"/>
  <c r="I6" i="17" s="1"/>
  <c r="J6" i="17" s="1"/>
  <c r="K6" i="17" s="1"/>
  <c r="L6" i="17" s="1"/>
  <c r="M6" i="17" s="1"/>
  <c r="N6" i="17" s="1"/>
  <c r="O6" i="17" s="1"/>
  <c r="P6" i="17" s="1"/>
  <c r="Q6" i="17" s="1"/>
  <c r="R6" i="17" s="1"/>
  <c r="S6" i="17" s="1"/>
  <c r="T6" i="17" s="1"/>
  <c r="U6" i="17" s="1"/>
  <c r="V6" i="17" s="1"/>
  <c r="W6" i="17" s="1"/>
  <c r="X6" i="17" s="1"/>
  <c r="Y6" i="17" s="1"/>
  <c r="Z6" i="17" s="1"/>
  <c r="AA6" i="17" s="1"/>
  <c r="AB6" i="17" s="1"/>
  <c r="AC6" i="17" s="1"/>
  <c r="AD6" i="17" s="1"/>
  <c r="AE6" i="17" s="1"/>
  <c r="AF6" i="17" s="1"/>
  <c r="AG6" i="17" s="1"/>
  <c r="AH6" i="17" s="1"/>
  <c r="AI6" i="17" s="1"/>
  <c r="AJ6" i="17" s="1"/>
  <c r="AK6" i="17" s="1"/>
  <c r="AL6" i="17" s="1"/>
  <c r="AM6" i="17" s="1"/>
  <c r="AN6" i="17" s="1"/>
  <c r="AO6" i="17" s="1"/>
  <c r="AP6" i="17" s="1"/>
  <c r="AQ6" i="17" s="1"/>
  <c r="AR6" i="17" s="1"/>
  <c r="AS6" i="17" s="1"/>
  <c r="AT6" i="17" s="1"/>
  <c r="AU6" i="17" s="1"/>
  <c r="AV6" i="17" s="1"/>
  <c r="AW6" i="17" s="1"/>
  <c r="AX6" i="17" s="1"/>
  <c r="AY6" i="17" s="1"/>
  <c r="AZ6" i="17" s="1"/>
  <c r="BA6" i="17" s="1"/>
  <c r="BB6" i="17" s="1"/>
  <c r="BC6" i="17" s="1"/>
  <c r="BD6" i="17" s="1"/>
  <c r="BE6" i="17" s="1"/>
  <c r="BF6" i="17" s="1"/>
  <c r="BG6" i="17" s="1"/>
  <c r="BH6" i="17" s="1"/>
  <c r="BI6" i="17" s="1"/>
  <c r="BJ6" i="17" s="1"/>
  <c r="BK6" i="17" s="1"/>
  <c r="BL6" i="17" s="1"/>
  <c r="BM6" i="17" s="1"/>
  <c r="BN6" i="17" s="1"/>
  <c r="BO6" i="17" s="1"/>
  <c r="BP6" i="17" s="1"/>
  <c r="BQ6" i="17" s="1"/>
  <c r="BR6" i="17" s="1"/>
  <c r="BS6" i="17" s="1"/>
  <c r="BT6" i="17" s="1"/>
  <c r="BU6" i="17" s="1"/>
  <c r="BV6" i="17" s="1"/>
  <c r="BW6" i="17" s="1"/>
  <c r="BX6" i="17" s="1"/>
  <c r="BY6" i="17" s="1"/>
  <c r="BZ6" i="17" s="1"/>
  <c r="CA6" i="17" s="1"/>
  <c r="CB6" i="17" s="1"/>
  <c r="CC6" i="17" s="1"/>
  <c r="CD6" i="17" s="1"/>
  <c r="CE6" i="17" s="1"/>
  <c r="CF6" i="17" s="1"/>
  <c r="CG6" i="17" s="1"/>
  <c r="CH6" i="17" s="1"/>
  <c r="CI6" i="17" s="1"/>
  <c r="CJ6" i="17" s="1"/>
  <c r="CK6" i="17" s="1"/>
  <c r="CL6" i="17" s="1"/>
  <c r="CM6" i="17" s="1"/>
  <c r="CN6" i="17" s="1"/>
  <c r="CO6" i="17" s="1"/>
  <c r="CP6" i="17" s="1"/>
  <c r="CQ6" i="17" s="1"/>
  <c r="CR6" i="17" s="1"/>
  <c r="CS6" i="17" s="1"/>
  <c r="CT6" i="17" s="1"/>
  <c r="CU6" i="17" s="1"/>
  <c r="CV6" i="17" s="1"/>
  <c r="CW6" i="17" s="1"/>
  <c r="CX6" i="17" s="1"/>
  <c r="CY6" i="17" s="1"/>
  <c r="CZ6" i="17" s="1"/>
  <c r="DA6" i="17" s="1"/>
  <c r="DB6" i="17" s="1"/>
  <c r="DC6" i="17" s="1"/>
  <c r="DD6" i="17" s="1"/>
  <c r="DE6" i="17" s="1"/>
  <c r="DF6" i="17" s="1"/>
  <c r="DG6" i="17" s="1"/>
  <c r="DH6" i="17" s="1"/>
  <c r="DI6" i="17" s="1"/>
  <c r="DJ6" i="17" s="1"/>
  <c r="DK6" i="17" s="1"/>
  <c r="DL6" i="17" s="1"/>
  <c r="DM6" i="17" s="1"/>
  <c r="DN6" i="17" s="1"/>
  <c r="DO6" i="17" s="1"/>
  <c r="DP6" i="17" s="1"/>
  <c r="B5" i="17"/>
  <c r="C5" i="17" s="1"/>
  <c r="D5" i="17" s="1"/>
  <c r="E5" i="17" s="1"/>
  <c r="F5" i="17" s="1"/>
  <c r="G5" i="17" s="1"/>
  <c r="H5" i="17" s="1"/>
  <c r="I5" i="17" s="1"/>
  <c r="J5" i="17" s="1"/>
  <c r="K5" i="17" s="1"/>
  <c r="L5" i="17" s="1"/>
  <c r="M5" i="17" s="1"/>
  <c r="N5" i="17" s="1"/>
  <c r="O5" i="17" s="1"/>
  <c r="P5" i="17" s="1"/>
  <c r="Q5" i="17" s="1"/>
  <c r="R5" i="17" s="1"/>
  <c r="S5" i="17" s="1"/>
  <c r="T5" i="17" s="1"/>
  <c r="U5" i="17" s="1"/>
  <c r="V5" i="17" s="1"/>
  <c r="W5" i="17" s="1"/>
  <c r="X5" i="17" s="1"/>
  <c r="Y5" i="17" s="1"/>
  <c r="Z5" i="17" s="1"/>
  <c r="AA5" i="17" s="1"/>
  <c r="AB5" i="17" s="1"/>
  <c r="AC5" i="17" s="1"/>
  <c r="AD5" i="17" s="1"/>
  <c r="AE5" i="17" s="1"/>
  <c r="AF5" i="17" s="1"/>
  <c r="AG5" i="17" s="1"/>
  <c r="AH5" i="17" s="1"/>
  <c r="AI5" i="17" s="1"/>
  <c r="AJ5" i="17" s="1"/>
  <c r="AK5" i="17" s="1"/>
  <c r="AL5" i="17" s="1"/>
  <c r="AM5" i="17" s="1"/>
  <c r="AN5" i="17" s="1"/>
  <c r="AO5" i="17" s="1"/>
  <c r="AP5" i="17" s="1"/>
  <c r="AQ5" i="17" s="1"/>
  <c r="AR5" i="17" s="1"/>
  <c r="AS5" i="17" s="1"/>
  <c r="AT5" i="17" s="1"/>
  <c r="AU5" i="17" s="1"/>
  <c r="AV5" i="17" s="1"/>
  <c r="AW5" i="17" s="1"/>
  <c r="AX5" i="17" s="1"/>
  <c r="AY5" i="17" s="1"/>
  <c r="AZ5" i="17" s="1"/>
  <c r="BA5" i="17" s="1"/>
  <c r="BB5" i="17" s="1"/>
  <c r="BC5" i="17" s="1"/>
  <c r="BD5" i="17" s="1"/>
  <c r="BE5" i="17" s="1"/>
  <c r="BF5" i="17" s="1"/>
  <c r="BG5" i="17" s="1"/>
  <c r="BH5" i="17" s="1"/>
  <c r="BI5" i="17" s="1"/>
  <c r="BJ5" i="17" s="1"/>
  <c r="BK5" i="17" s="1"/>
  <c r="BL5" i="17" s="1"/>
  <c r="BM5" i="17" s="1"/>
  <c r="BN5" i="17" s="1"/>
  <c r="BO5" i="17" s="1"/>
  <c r="BP5" i="17" s="1"/>
  <c r="BQ5" i="17" s="1"/>
  <c r="BR5" i="17" s="1"/>
  <c r="BS5" i="17" s="1"/>
  <c r="BT5" i="17" s="1"/>
  <c r="BU5" i="17" s="1"/>
  <c r="BV5" i="17" s="1"/>
  <c r="BW5" i="17" s="1"/>
  <c r="BX5" i="17" s="1"/>
  <c r="BY5" i="17" s="1"/>
  <c r="BZ5" i="17" s="1"/>
  <c r="CA5" i="17" s="1"/>
  <c r="CB5" i="17" s="1"/>
  <c r="CC5" i="17" s="1"/>
  <c r="CD5" i="17" s="1"/>
  <c r="CE5" i="17" s="1"/>
  <c r="CF5" i="17" s="1"/>
  <c r="CG5" i="17" s="1"/>
  <c r="CH5" i="17" s="1"/>
  <c r="CI5" i="17" s="1"/>
  <c r="CJ5" i="17" s="1"/>
  <c r="CK5" i="17" s="1"/>
  <c r="CL5" i="17" s="1"/>
  <c r="CM5" i="17" s="1"/>
  <c r="CN5" i="17" s="1"/>
  <c r="CO5" i="17" s="1"/>
  <c r="CP5" i="17" s="1"/>
  <c r="CQ5" i="17" s="1"/>
  <c r="CR5" i="17" s="1"/>
  <c r="CS5" i="17" s="1"/>
  <c r="CT5" i="17" s="1"/>
  <c r="CU5" i="17" s="1"/>
  <c r="CV5" i="17" s="1"/>
  <c r="CW5" i="17" s="1"/>
  <c r="CX5" i="17" s="1"/>
  <c r="CY5" i="17" s="1"/>
  <c r="CZ5" i="17" s="1"/>
  <c r="DA5" i="17" s="1"/>
  <c r="DB5" i="17" s="1"/>
  <c r="DC5" i="17" s="1"/>
  <c r="DD5" i="17" s="1"/>
  <c r="DE5" i="17" s="1"/>
  <c r="DF5" i="17" s="1"/>
  <c r="DG5" i="17" s="1"/>
  <c r="DH5" i="17" s="1"/>
  <c r="DI5" i="17" s="1"/>
  <c r="DJ5" i="17" s="1"/>
  <c r="DK5" i="17" s="1"/>
  <c r="DL5" i="17" s="1"/>
  <c r="DM5" i="17" s="1"/>
  <c r="DN5" i="17" s="1"/>
  <c r="DO5" i="17" s="1"/>
  <c r="DP5" i="17" s="1"/>
  <c r="B4" i="17"/>
  <c r="C4" i="17" s="1"/>
  <c r="D4" i="17" s="1"/>
  <c r="E4" i="17" s="1"/>
  <c r="F4" i="17" s="1"/>
  <c r="G4" i="17" s="1"/>
  <c r="H4" i="17" s="1"/>
  <c r="I4" i="17" s="1"/>
  <c r="J4" i="17" s="1"/>
  <c r="K4" i="17" s="1"/>
  <c r="L4" i="17" s="1"/>
  <c r="M4" i="17" s="1"/>
  <c r="N4" i="17" s="1"/>
  <c r="O4" i="17" s="1"/>
  <c r="P4" i="17" s="1"/>
  <c r="Q4" i="17" s="1"/>
  <c r="R4" i="17" s="1"/>
  <c r="S4" i="17" s="1"/>
  <c r="T4" i="17" s="1"/>
  <c r="U4" i="17" s="1"/>
  <c r="V4" i="17" s="1"/>
  <c r="W4" i="17" s="1"/>
  <c r="X4" i="17" s="1"/>
  <c r="Y4" i="17" s="1"/>
  <c r="Z4" i="17" s="1"/>
  <c r="AA4" i="17" s="1"/>
  <c r="AB4" i="17" s="1"/>
  <c r="AC4" i="17" s="1"/>
  <c r="AD4" i="17" s="1"/>
  <c r="AE4" i="17" s="1"/>
  <c r="AF4" i="17" s="1"/>
  <c r="AG4" i="17" s="1"/>
  <c r="AH4" i="17" s="1"/>
  <c r="AI4" i="17" s="1"/>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BN4" i="17" s="1"/>
  <c r="BO4" i="17" s="1"/>
  <c r="BP4" i="17" s="1"/>
  <c r="BQ4" i="17" s="1"/>
  <c r="BR4" i="17" s="1"/>
  <c r="BS4" i="17" s="1"/>
  <c r="BT4" i="17" s="1"/>
  <c r="BU4" i="17" s="1"/>
  <c r="BV4" i="17" s="1"/>
  <c r="BW4" i="17" s="1"/>
  <c r="BX4" i="17" s="1"/>
  <c r="K16" i="5"/>
  <c r="S18" i="16"/>
  <c r="S48" i="10"/>
  <c r="S46" i="10"/>
  <c r="S44" i="10"/>
  <c r="S42" i="10"/>
  <c r="S40" i="10"/>
  <c r="S37" i="12"/>
  <c r="S36" i="12"/>
  <c r="S35" i="12"/>
  <c r="T27" i="13"/>
  <c r="D52" i="13"/>
  <c r="S40" i="13"/>
  <c r="E28" i="13"/>
  <c r="E24" i="13"/>
  <c r="E20" i="13"/>
  <c r="J351" i="21"/>
  <c r="J347" i="21"/>
  <c r="J343" i="21"/>
  <c r="F27" i="13"/>
  <c r="J350" i="21" s="1"/>
  <c r="J342" i="21"/>
  <c r="F30" i="13"/>
  <c r="J353" i="21" s="1"/>
  <c r="T13" i="13"/>
  <c r="T12" i="13"/>
  <c r="T11" i="13"/>
  <c r="E13" i="13"/>
  <c r="C13" i="13"/>
  <c r="H13" i="13" s="1"/>
  <c r="C12" i="13"/>
  <c r="C10" i="13"/>
  <c r="H10" i="13" s="1"/>
  <c r="E12" i="13"/>
  <c r="F11" i="13"/>
  <c r="H9" i="13"/>
  <c r="B2" i="13"/>
  <c r="B1" i="13"/>
  <c r="E2" i="13"/>
  <c r="H33" i="12"/>
  <c r="I301" i="21" s="1"/>
  <c r="F33" i="12"/>
  <c r="J301" i="21" s="1"/>
  <c r="K31" i="8"/>
  <c r="K30" i="8"/>
  <c r="D17" i="10"/>
  <c r="H15" i="12"/>
  <c r="I285" i="21" s="1"/>
  <c r="Y23" i="12"/>
  <c r="I304" i="21"/>
  <c r="H32" i="12"/>
  <c r="I300" i="21" s="1"/>
  <c r="F32" i="12"/>
  <c r="J300" i="21" s="1"/>
  <c r="K19" i="12"/>
  <c r="K18" i="12"/>
  <c r="H26" i="12"/>
  <c r="I296" i="21" s="1"/>
  <c r="H25" i="12"/>
  <c r="I295" i="21" s="1"/>
  <c r="H24" i="12"/>
  <c r="I294" i="21" s="1"/>
  <c r="H23" i="12"/>
  <c r="I293" i="21" s="1"/>
  <c r="H22" i="12"/>
  <c r="H21" i="12"/>
  <c r="H20" i="12"/>
  <c r="I290" i="21" s="1"/>
  <c r="H19" i="12"/>
  <c r="I289" i="21" s="1"/>
  <c r="H18" i="12"/>
  <c r="I288" i="21" s="1"/>
  <c r="H17" i="12"/>
  <c r="I287" i="21" s="1"/>
  <c r="H16" i="12"/>
  <c r="I286" i="21" s="1"/>
  <c r="F27" i="12"/>
  <c r="J297" i="21" s="1"/>
  <c r="F26" i="12"/>
  <c r="J296" i="21" s="1"/>
  <c r="F25" i="12"/>
  <c r="J295" i="21" s="1"/>
  <c r="F24" i="12"/>
  <c r="J294" i="21" s="1"/>
  <c r="F23" i="12"/>
  <c r="J293" i="21" s="1"/>
  <c r="F22" i="12"/>
  <c r="J292" i="21" s="1"/>
  <c r="F21" i="12"/>
  <c r="J291" i="21" s="1"/>
  <c r="F20" i="12"/>
  <c r="J290" i="21" s="1"/>
  <c r="F19" i="12"/>
  <c r="J289" i="21" s="1"/>
  <c r="F18" i="12"/>
  <c r="J288" i="21" s="1"/>
  <c r="F16" i="12"/>
  <c r="J286" i="21" s="1"/>
  <c r="F15" i="12"/>
  <c r="J285" i="21" s="1"/>
  <c r="D27" i="12"/>
  <c r="D26" i="12"/>
  <c r="D25" i="12"/>
  <c r="D24" i="12"/>
  <c r="D23" i="12"/>
  <c r="D22" i="12"/>
  <c r="D21" i="12"/>
  <c r="D19" i="12"/>
  <c r="D18" i="12"/>
  <c r="C8" i="12" s="1"/>
  <c r="D17" i="12"/>
  <c r="D16" i="12"/>
  <c r="D15" i="12"/>
  <c r="B10" i="12"/>
  <c r="B8" i="12"/>
  <c r="X18" i="11"/>
  <c r="D29" i="16"/>
  <c r="G222" i="21"/>
  <c r="F26" i="16"/>
  <c r="J221" i="21" s="1"/>
  <c r="D25" i="16"/>
  <c r="D24" i="16"/>
  <c r="F23" i="16"/>
  <c r="J218" i="21" s="1"/>
  <c r="F22" i="16"/>
  <c r="J217" i="21" s="1"/>
  <c r="F21" i="16"/>
  <c r="J216" i="21" s="1"/>
  <c r="F20" i="16"/>
  <c r="J215" i="21" s="1"/>
  <c r="F18" i="16"/>
  <c r="J213" i="21" s="1"/>
  <c r="F13" i="16"/>
  <c r="J212" i="21" s="1"/>
  <c r="D12" i="16"/>
  <c r="D11" i="16"/>
  <c r="H23" i="10"/>
  <c r="H64" i="10"/>
  <c r="H63" i="10"/>
  <c r="H62" i="10"/>
  <c r="H61" i="10"/>
  <c r="H60" i="10"/>
  <c r="E2" i="16"/>
  <c r="B2" i="16"/>
  <c r="B1" i="16"/>
  <c r="H58" i="10"/>
  <c r="H57" i="10"/>
  <c r="H56" i="10"/>
  <c r="H55" i="10"/>
  <c r="H54" i="10"/>
  <c r="H48" i="10"/>
  <c r="H52" i="10"/>
  <c r="H149" i="21" s="1"/>
  <c r="H51" i="10"/>
  <c r="H50" i="10"/>
  <c r="H49" i="10"/>
  <c r="B2" i="5"/>
  <c r="B1" i="5"/>
  <c r="J139" i="21"/>
  <c r="J134" i="21"/>
  <c r="H33" i="10"/>
  <c r="H32" i="10"/>
  <c r="H31" i="10"/>
  <c r="H30" i="10"/>
  <c r="H29" i="10"/>
  <c r="E33" i="10"/>
  <c r="E32" i="10"/>
  <c r="E31" i="10"/>
  <c r="E30" i="10"/>
  <c r="E29" i="10"/>
  <c r="E28" i="10"/>
  <c r="H21" i="10"/>
  <c r="H20" i="10"/>
  <c r="D21" i="10"/>
  <c r="D20" i="10"/>
  <c r="H17" i="10"/>
  <c r="C22" i="10"/>
  <c r="W31" i="2"/>
  <c r="K17" i="2" s="1"/>
  <c r="H12" i="10"/>
  <c r="H10" i="10"/>
  <c r="H11" i="10"/>
  <c r="B2" i="12"/>
  <c r="B2" i="11"/>
  <c r="B2" i="10"/>
  <c r="B2" i="15"/>
  <c r="B2" i="8"/>
  <c r="B2" i="7"/>
  <c r="B1" i="12"/>
  <c r="B1" i="11"/>
  <c r="B1" i="10"/>
  <c r="B1" i="15"/>
  <c r="B1" i="8"/>
  <c r="B1" i="7"/>
  <c r="U45" i="15"/>
  <c r="O9" i="4"/>
  <c r="I6" i="15"/>
  <c r="D2" i="15"/>
  <c r="E2" i="2"/>
  <c r="I6" i="8"/>
  <c r="T25" i="2"/>
  <c r="H13" i="2" s="1"/>
  <c r="I4" i="21" s="1"/>
  <c r="B7" i="2"/>
  <c r="H2" i="21" s="1"/>
  <c r="T50" i="2"/>
  <c r="B26" i="2" s="1"/>
  <c r="C17" i="8"/>
  <c r="E2" i="12"/>
  <c r="E2" i="11"/>
  <c r="E2" i="10"/>
  <c r="D2" i="8"/>
  <c r="T3" i="8" s="1"/>
  <c r="C41" i="7"/>
  <c r="C39" i="7"/>
  <c r="I40" i="7"/>
  <c r="F40" i="7"/>
  <c r="J72" i="21" s="1"/>
  <c r="D40" i="7"/>
  <c r="C40" i="7"/>
  <c r="I38" i="7"/>
  <c r="F38" i="7"/>
  <c r="J71" i="21" s="1"/>
  <c r="D38" i="7"/>
  <c r="C38" i="7"/>
  <c r="I37" i="7"/>
  <c r="F37" i="7"/>
  <c r="J70" i="21" s="1"/>
  <c r="D37" i="7"/>
  <c r="C37" i="7"/>
  <c r="I36" i="7"/>
  <c r="F36" i="7"/>
  <c r="J69" i="21" s="1"/>
  <c r="D36" i="7"/>
  <c r="C36" i="7"/>
  <c r="I33" i="7"/>
  <c r="F33" i="7"/>
  <c r="J68" i="21" s="1"/>
  <c r="D33" i="7"/>
  <c r="C33" i="7"/>
  <c r="I31" i="7"/>
  <c r="F31" i="7"/>
  <c r="D31" i="7"/>
  <c r="C31" i="7"/>
  <c r="I30" i="7"/>
  <c r="F30" i="7"/>
  <c r="J66" i="21" s="1"/>
  <c r="D30" i="7"/>
  <c r="C30" i="7"/>
  <c r="I29" i="7"/>
  <c r="F29" i="7"/>
  <c r="J65" i="21" s="1"/>
  <c r="D29" i="7"/>
  <c r="C29" i="7"/>
  <c r="I28" i="7"/>
  <c r="F28" i="7"/>
  <c r="J64" i="21" s="1"/>
  <c r="D28" i="7"/>
  <c r="I27" i="7"/>
  <c r="F27" i="7"/>
  <c r="J63" i="21" s="1"/>
  <c r="D27" i="7"/>
  <c r="I26" i="7"/>
  <c r="F26" i="7"/>
  <c r="J62" i="21" s="1"/>
  <c r="I24" i="7"/>
  <c r="F24" i="7"/>
  <c r="J60" i="21" s="1"/>
  <c r="I23" i="7"/>
  <c r="F23" i="7"/>
  <c r="J59" i="21" s="1"/>
  <c r="D23" i="7"/>
  <c r="C23" i="7"/>
  <c r="I22" i="7"/>
  <c r="F22" i="7"/>
  <c r="J58" i="21" s="1"/>
  <c r="D22" i="7"/>
  <c r="C22" i="7"/>
  <c r="F42" i="7"/>
  <c r="J73" i="21" s="1"/>
  <c r="C32" i="7"/>
  <c r="C17" i="7" s="1"/>
  <c r="F22" i="5"/>
  <c r="J35" i="21" s="1"/>
  <c r="E7" i="5"/>
  <c r="H16" i="5"/>
  <c r="I195" i="21" s="1"/>
  <c r="CL2" i="17"/>
  <c r="L12" i="4"/>
  <c r="L6" i="4" s="1"/>
  <c r="D40" i="3"/>
  <c r="S10" i="5"/>
  <c r="U10" i="5" s="1"/>
  <c r="V15" i="3"/>
  <c r="E33" i="3" s="1"/>
  <c r="F16" i="5"/>
  <c r="J195" i="21" s="1"/>
  <c r="B16" i="5"/>
  <c r="H195" i="21" s="1"/>
  <c r="F13" i="5"/>
  <c r="J194" i="21" s="1"/>
  <c r="S9" i="5"/>
  <c r="T9" i="5" s="1"/>
  <c r="H18" i="4"/>
  <c r="H28" i="21" s="1"/>
  <c r="L18" i="4"/>
  <c r="M5" i="1" s="1"/>
  <c r="AS29" i="19" l="1"/>
  <c r="AS28" i="19"/>
  <c r="AX86" i="19"/>
  <c r="AW86" i="19"/>
  <c r="AV86" i="19"/>
  <c r="AB86" i="19"/>
  <c r="AY86" i="19"/>
  <c r="AU86" i="19"/>
  <c r="AS86" i="19"/>
  <c r="AT86" i="19"/>
  <c r="AD86" i="19"/>
  <c r="AC86" i="19"/>
  <c r="AZ86" i="19"/>
  <c r="AZ92" i="19"/>
  <c r="AB92" i="19"/>
  <c r="AY92" i="19"/>
  <c r="AX92" i="19"/>
  <c r="AW92" i="19"/>
  <c r="AS92" i="19"/>
  <c r="AV92" i="19"/>
  <c r="AU92" i="19"/>
  <c r="AT92" i="19"/>
  <c r="AD92" i="19"/>
  <c r="AC92" i="19"/>
  <c r="AU96" i="19"/>
  <c r="AZ96" i="19"/>
  <c r="AT96" i="19"/>
  <c r="AY96" i="19"/>
  <c r="AV96" i="19"/>
  <c r="AB96" i="19"/>
  <c r="AW96" i="19"/>
  <c r="AC96" i="19"/>
  <c r="AS96" i="19"/>
  <c r="AX96" i="19"/>
  <c r="AD96" i="19"/>
  <c r="AD84" i="19"/>
  <c r="AZ84" i="19"/>
  <c r="AC84" i="19"/>
  <c r="AY84" i="19"/>
  <c r="AB84" i="19"/>
  <c r="AU84" i="19"/>
  <c r="AT84" i="19"/>
  <c r="AX84" i="19"/>
  <c r="AW84" i="19"/>
  <c r="AV84" i="19"/>
  <c r="AS84" i="19"/>
  <c r="AX94" i="19"/>
  <c r="AW94" i="19"/>
  <c r="AV94" i="19"/>
  <c r="AS94" i="19"/>
  <c r="AY94" i="19"/>
  <c r="AU94" i="19"/>
  <c r="AD94" i="19"/>
  <c r="AT94" i="19"/>
  <c r="AC94" i="19"/>
  <c r="AB94" i="19"/>
  <c r="AZ94" i="19"/>
  <c r="AD93" i="19"/>
  <c r="AY93" i="19"/>
  <c r="AW93" i="19"/>
  <c r="AC93" i="19"/>
  <c r="AT93" i="19"/>
  <c r="AS93" i="19"/>
  <c r="AU93" i="19"/>
  <c r="AZ93" i="19"/>
  <c r="AX93" i="19"/>
  <c r="AV93" i="19"/>
  <c r="AB93" i="19"/>
  <c r="AZ87" i="19"/>
  <c r="AD87" i="19"/>
  <c r="AU87" i="19"/>
  <c r="AT87" i="19"/>
  <c r="AY87" i="19"/>
  <c r="AC87" i="19"/>
  <c r="AS87" i="19"/>
  <c r="AX87" i="19"/>
  <c r="AB87" i="19"/>
  <c r="AW87" i="19"/>
  <c r="AV87" i="19"/>
  <c r="AV91" i="19"/>
  <c r="AY91" i="19"/>
  <c r="AU91" i="19"/>
  <c r="AD91" i="19"/>
  <c r="AT91" i="19"/>
  <c r="AC91" i="19"/>
  <c r="AS91" i="19"/>
  <c r="AB91" i="19"/>
  <c r="AZ91" i="19"/>
  <c r="AX91" i="19"/>
  <c r="AW91" i="19"/>
  <c r="AY97" i="19"/>
  <c r="AX97" i="19"/>
  <c r="AW97" i="19"/>
  <c r="AB97" i="19"/>
  <c r="AV97" i="19"/>
  <c r="AZ97" i="19"/>
  <c r="AU97" i="19"/>
  <c r="AS97" i="19"/>
  <c r="AT97" i="19"/>
  <c r="AD97" i="19"/>
  <c r="AC97" i="19"/>
  <c r="AY89" i="19"/>
  <c r="AX89" i="19"/>
  <c r="AS89" i="19"/>
  <c r="AD89" i="19"/>
  <c r="AB89" i="19"/>
  <c r="AW89" i="19"/>
  <c r="AC89" i="19"/>
  <c r="AZ89" i="19"/>
  <c r="AV89" i="19"/>
  <c r="AU89" i="19"/>
  <c r="AT89" i="19"/>
  <c r="AD95" i="19"/>
  <c r="AC95" i="19"/>
  <c r="AS95" i="19"/>
  <c r="AZ95" i="19"/>
  <c r="AB95" i="19"/>
  <c r="AY95" i="19"/>
  <c r="AX95" i="19"/>
  <c r="AU95" i="19"/>
  <c r="AW95" i="19"/>
  <c r="AV95" i="19"/>
  <c r="AT95" i="19"/>
  <c r="C6" i="12"/>
  <c r="D35" i="13" s="1"/>
  <c r="U9" i="5"/>
  <c r="V7" i="5" s="1"/>
  <c r="AT83" i="19"/>
  <c r="AU83" i="19"/>
  <c r="AZ83" i="19"/>
  <c r="AY83" i="19"/>
  <c r="AX83" i="19"/>
  <c r="AW83" i="19"/>
  <c r="AV83" i="19"/>
  <c r="AZ81" i="19"/>
  <c r="AY81" i="19"/>
  <c r="AX81" i="19"/>
  <c r="AW81" i="19"/>
  <c r="AV81" i="19"/>
  <c r="AU81" i="19"/>
  <c r="AD83" i="19"/>
  <c r="AS83" i="19"/>
  <c r="AC83" i="19"/>
  <c r="AB83" i="19"/>
  <c r="AD81" i="19"/>
  <c r="AC81" i="19"/>
  <c r="AT81" i="19"/>
  <c r="AB81" i="19"/>
  <c r="AS81" i="19"/>
  <c r="AS30" i="19"/>
  <c r="E10" i="21"/>
  <c r="F9" i="21"/>
  <c r="AO35" i="17"/>
  <c r="AX13" i="10"/>
  <c r="AW14" i="10"/>
  <c r="S67" i="10"/>
  <c r="V32" i="10"/>
  <c r="AO94" i="19"/>
  <c r="AJ94" i="19"/>
  <c r="AN94" i="19"/>
  <c r="AI94" i="19"/>
  <c r="AP94" i="19"/>
  <c r="AM94" i="19"/>
  <c r="AH94" i="19"/>
  <c r="AG94" i="19"/>
  <c r="AF94" i="19"/>
  <c r="AE94" i="19"/>
  <c r="AK94" i="19"/>
  <c r="AQ94" i="19"/>
  <c r="AL94" i="19"/>
  <c r="AR94" i="19"/>
  <c r="AH87" i="19"/>
  <c r="AQ87" i="19"/>
  <c r="AG87" i="19"/>
  <c r="AP87" i="19"/>
  <c r="AF87" i="19"/>
  <c r="AO87" i="19"/>
  <c r="AE87" i="19"/>
  <c r="AN87" i="19"/>
  <c r="AL87" i="19"/>
  <c r="AM87" i="19"/>
  <c r="AK87" i="19"/>
  <c r="AI87" i="19"/>
  <c r="AJ87" i="19"/>
  <c r="AM96" i="19"/>
  <c r="AF96" i="19"/>
  <c r="AN96" i="19"/>
  <c r="AE96" i="19"/>
  <c r="AL96" i="19"/>
  <c r="AG96" i="19"/>
  <c r="AK96" i="19"/>
  <c r="AQ96" i="19"/>
  <c r="AJ96" i="19"/>
  <c r="AP96" i="19"/>
  <c r="AI96" i="19"/>
  <c r="AO96" i="19"/>
  <c r="AH96" i="19"/>
  <c r="AR96" i="19"/>
  <c r="AV105" i="19"/>
  <c r="AE106" i="19"/>
  <c r="AQ84" i="19"/>
  <c r="AF84" i="19"/>
  <c r="AP84" i="19"/>
  <c r="AE84" i="19"/>
  <c r="AO84" i="19"/>
  <c r="AL84" i="19"/>
  <c r="AN84" i="19"/>
  <c r="AK84" i="19"/>
  <c r="AM84" i="19"/>
  <c r="AJ84" i="19"/>
  <c r="AG84" i="19"/>
  <c r="AI84" i="19"/>
  <c r="AH84" i="19"/>
  <c r="AH95" i="19"/>
  <c r="AQ95" i="19"/>
  <c r="AG95" i="19"/>
  <c r="AP95" i="19"/>
  <c r="AF95" i="19"/>
  <c r="AO95" i="19"/>
  <c r="AE95" i="19"/>
  <c r="AN95" i="19"/>
  <c r="AL95" i="19"/>
  <c r="AI95" i="19"/>
  <c r="AM95" i="19"/>
  <c r="AK95" i="19"/>
  <c r="AJ95" i="19"/>
  <c r="AR95" i="19"/>
  <c r="AN91" i="19"/>
  <c r="AH91" i="19"/>
  <c r="AM91" i="19"/>
  <c r="AG91" i="19"/>
  <c r="AO91" i="19"/>
  <c r="AI91" i="19"/>
  <c r="AF91" i="19"/>
  <c r="AE91" i="19"/>
  <c r="AL91" i="19"/>
  <c r="AQ91" i="19"/>
  <c r="AK91" i="19"/>
  <c r="AP91" i="19"/>
  <c r="AJ91" i="19"/>
  <c r="AR91" i="19"/>
  <c r="AP97" i="19"/>
  <c r="AL97" i="19"/>
  <c r="AO97" i="19"/>
  <c r="AK97" i="19"/>
  <c r="AN97" i="19"/>
  <c r="AJ97" i="19"/>
  <c r="AM97" i="19"/>
  <c r="AI97" i="19"/>
  <c r="AH97" i="19"/>
  <c r="AQ97" i="19"/>
  <c r="AG97" i="19"/>
  <c r="AE97" i="19"/>
  <c r="AF97" i="19"/>
  <c r="AR97" i="19"/>
  <c r="AQ92" i="19"/>
  <c r="AF92" i="19"/>
  <c r="AP92" i="19"/>
  <c r="AE92" i="19"/>
  <c r="AO92" i="19"/>
  <c r="AL92" i="19"/>
  <c r="AN92" i="19"/>
  <c r="AK92" i="19"/>
  <c r="AM92" i="19"/>
  <c r="AJ92" i="19"/>
  <c r="AI92" i="19"/>
  <c r="AH92" i="19"/>
  <c r="AG92" i="19"/>
  <c r="AR92" i="19"/>
  <c r="AI30" i="19"/>
  <c r="L14" i="19" s="1"/>
  <c r="J104" i="21" s="1"/>
  <c r="AO86" i="19"/>
  <c r="AJ86" i="19"/>
  <c r="AN86" i="19"/>
  <c r="AI86" i="19"/>
  <c r="AM86" i="19"/>
  <c r="AH86" i="19"/>
  <c r="AG86" i="19"/>
  <c r="AF86" i="19"/>
  <c r="AE86" i="19"/>
  <c r="AP86" i="19"/>
  <c r="AQ86" i="19"/>
  <c r="AL86" i="19"/>
  <c r="AK86" i="19"/>
  <c r="AP89" i="19"/>
  <c r="AL89" i="19"/>
  <c r="AQ89" i="19"/>
  <c r="AO89" i="19"/>
  <c r="AK89" i="19"/>
  <c r="AN89" i="19"/>
  <c r="AJ89" i="19"/>
  <c r="AM89" i="19"/>
  <c r="AI89" i="19"/>
  <c r="AH89" i="19"/>
  <c r="AE89" i="19"/>
  <c r="AG89" i="19"/>
  <c r="AF89" i="19"/>
  <c r="AL93" i="19"/>
  <c r="AK93" i="19"/>
  <c r="AJ93" i="19"/>
  <c r="AQ93" i="19"/>
  <c r="AI93" i="19"/>
  <c r="AE93" i="19"/>
  <c r="AP93" i="19"/>
  <c r="AH93" i="19"/>
  <c r="AM93" i="19"/>
  <c r="AO93" i="19"/>
  <c r="AG93" i="19"/>
  <c r="AN93" i="19"/>
  <c r="AF93" i="19"/>
  <c r="AR93" i="19"/>
  <c r="AN83" i="19"/>
  <c r="AH83" i="19"/>
  <c r="AI83" i="19"/>
  <c r="AM83" i="19"/>
  <c r="AG83" i="19"/>
  <c r="AF83" i="19"/>
  <c r="AO83" i="19"/>
  <c r="AE83" i="19"/>
  <c r="AL83" i="19"/>
  <c r="AQ83" i="19"/>
  <c r="AK83" i="19"/>
  <c r="AP83" i="19"/>
  <c r="AJ83" i="19"/>
  <c r="AO80" i="19"/>
  <c r="AJ80" i="19"/>
  <c r="AI80" i="19"/>
  <c r="AH80" i="19"/>
  <c r="AK80" i="19"/>
  <c r="AN80" i="19"/>
  <c r="AG80" i="19"/>
  <c r="AM80" i="19"/>
  <c r="AF80" i="19"/>
  <c r="AE80" i="19"/>
  <c r="AC80" i="19"/>
  <c r="AL80" i="19"/>
  <c r="AD80" i="19"/>
  <c r="AW105" i="19"/>
  <c r="AF106" i="19"/>
  <c r="J129" i="21"/>
  <c r="Z58" i="15"/>
  <c r="H129" i="21" s="1"/>
  <c r="H378" i="21"/>
  <c r="W3" i="8"/>
  <c r="H8" i="8" s="1"/>
  <c r="I82" i="21" s="1"/>
  <c r="V3" i="8"/>
  <c r="K8" i="8" s="1"/>
  <c r="U3" i="8"/>
  <c r="F8" i="8" s="1"/>
  <c r="D8" i="8"/>
  <c r="W16" i="8" s="1"/>
  <c r="AM122" i="19"/>
  <c r="H111" i="21" s="1"/>
  <c r="G111" i="21" s="1"/>
  <c r="AU122" i="19"/>
  <c r="AQ37" i="19"/>
  <c r="AD43" i="17" s="1"/>
  <c r="AM119" i="19"/>
  <c r="H108" i="21" s="1"/>
  <c r="AU119" i="19"/>
  <c r="AQ34" i="19"/>
  <c r="AD40" i="17" s="1"/>
  <c r="AU132" i="19"/>
  <c r="AQ47" i="19"/>
  <c r="AD55" i="17" s="1"/>
  <c r="AQ38" i="19"/>
  <c r="AD44" i="17" s="1"/>
  <c r="AU123" i="19"/>
  <c r="AY44" i="17" s="1"/>
  <c r="AQ36" i="19"/>
  <c r="AD42" i="17" s="1"/>
  <c r="AU121" i="19"/>
  <c r="AY42" i="17" s="1"/>
  <c r="AS35" i="19"/>
  <c r="W19" i="2"/>
  <c r="Y17" i="2" s="1"/>
  <c r="C11" i="2" s="1"/>
  <c r="W22" i="2"/>
  <c r="W20" i="2"/>
  <c r="W21" i="2"/>
  <c r="Y11" i="12"/>
  <c r="I291" i="21"/>
  <c r="AS129" i="19"/>
  <c r="A116" i="20" s="1"/>
  <c r="AU129" i="19"/>
  <c r="AQ44" i="19"/>
  <c r="AV116" i="20" s="1"/>
  <c r="AQ31" i="19"/>
  <c r="AV103" i="20" s="1"/>
  <c r="AU116" i="19"/>
  <c r="AY35" i="17" s="1"/>
  <c r="AQ33" i="19"/>
  <c r="AV105" i="20" s="1"/>
  <c r="AU118" i="19"/>
  <c r="AQ35" i="19"/>
  <c r="AD41" i="17" s="1"/>
  <c r="AU120" i="19"/>
  <c r="AY41" i="17" s="1"/>
  <c r="AM126" i="19"/>
  <c r="H115" i="21" s="1"/>
  <c r="G115" i="21" s="1"/>
  <c r="AU126" i="19"/>
  <c r="AQ41" i="19"/>
  <c r="AD49" i="17" s="1"/>
  <c r="C18" i="7"/>
  <c r="AM131" i="19"/>
  <c r="H120" i="21" s="1"/>
  <c r="G120" i="21" s="1"/>
  <c r="AQ46" i="19"/>
  <c r="AV118" i="20" s="1"/>
  <c r="AU131" i="19"/>
  <c r="AU130" i="19"/>
  <c r="AY53" i="17" s="1"/>
  <c r="AQ45" i="19"/>
  <c r="AV117" i="20" s="1"/>
  <c r="AU127" i="19"/>
  <c r="AY50" i="17" s="1"/>
  <c r="AQ42" i="19"/>
  <c r="AD50" i="17" s="1"/>
  <c r="AD36" i="17"/>
  <c r="AU117" i="19"/>
  <c r="AY36" i="17" s="1"/>
  <c r="AS31" i="19"/>
  <c r="AQ30" i="19"/>
  <c r="AD34" i="17" s="1"/>
  <c r="AU115" i="19"/>
  <c r="AY34" i="17" s="1"/>
  <c r="I196" i="21"/>
  <c r="H196" i="21"/>
  <c r="H151" i="21"/>
  <c r="I151" i="21"/>
  <c r="G154" i="21"/>
  <c r="H156" i="21"/>
  <c r="I156" i="21"/>
  <c r="H198" i="21"/>
  <c r="I198" i="21"/>
  <c r="I204" i="21"/>
  <c r="I152" i="21"/>
  <c r="G155" i="21"/>
  <c r="H152" i="21"/>
  <c r="I157" i="21"/>
  <c r="H157" i="21"/>
  <c r="I190" i="21"/>
  <c r="H158" i="21"/>
  <c r="I158" i="21"/>
  <c r="I191" i="21"/>
  <c r="I205" i="21"/>
  <c r="F49" i="10"/>
  <c r="J146" i="21" s="1"/>
  <c r="I146" i="21"/>
  <c r="G148" i="21"/>
  <c r="H146" i="21"/>
  <c r="I192" i="21"/>
  <c r="I206" i="21"/>
  <c r="F50" i="10"/>
  <c r="J147" i="21" s="1"/>
  <c r="G149" i="21"/>
  <c r="I147" i="21"/>
  <c r="H147" i="21"/>
  <c r="G157" i="21"/>
  <c r="H154" i="21"/>
  <c r="I154" i="21"/>
  <c r="I207" i="21"/>
  <c r="G150" i="21"/>
  <c r="H148" i="21"/>
  <c r="F51" i="10"/>
  <c r="J148" i="21" s="1"/>
  <c r="I148" i="21"/>
  <c r="H201" i="21"/>
  <c r="G201" i="21" s="1"/>
  <c r="G202" i="21" s="1"/>
  <c r="I201" i="21"/>
  <c r="H199" i="21"/>
  <c r="G199" i="21" s="1"/>
  <c r="I199" i="21"/>
  <c r="H153" i="21"/>
  <c r="G156" i="21"/>
  <c r="I153" i="21"/>
  <c r="I208" i="21"/>
  <c r="AQ40" i="19"/>
  <c r="AV112" i="20" s="1"/>
  <c r="BS111" i="20"/>
  <c r="AQ39" i="19"/>
  <c r="AV111" i="20" s="1"/>
  <c r="AQ29" i="19"/>
  <c r="AD32" i="17" s="1"/>
  <c r="D43" i="1"/>
  <c r="A42" i="1"/>
  <c r="H412" i="21" s="1"/>
  <c r="S59" i="2"/>
  <c r="B3" i="21"/>
  <c r="H338" i="21"/>
  <c r="G338" i="21" s="1"/>
  <c r="J338" i="21"/>
  <c r="G11" i="11"/>
  <c r="J378" i="21" s="1"/>
  <c r="I337" i="21"/>
  <c r="H337" i="21"/>
  <c r="G337" i="21" s="1"/>
  <c r="I344" i="21"/>
  <c r="F21" i="13"/>
  <c r="J344" i="21" s="1"/>
  <c r="S23" i="5"/>
  <c r="G377" i="21"/>
  <c r="F48" i="10"/>
  <c r="H145" i="21"/>
  <c r="F52" i="10"/>
  <c r="J149" i="21" s="1"/>
  <c r="I149" i="21"/>
  <c r="I292" i="21"/>
  <c r="B20" i="12"/>
  <c r="G10" i="11"/>
  <c r="J377" i="21" s="1"/>
  <c r="Y26" i="12"/>
  <c r="Y28" i="12" s="1"/>
  <c r="G147" i="21"/>
  <c r="I145" i="21"/>
  <c r="I155" i="21"/>
  <c r="H155" i="21"/>
  <c r="H150" i="21"/>
  <c r="I150" i="21"/>
  <c r="G153" i="21"/>
  <c r="G159" i="21" s="1"/>
  <c r="H340" i="21"/>
  <c r="G340" i="21" s="1"/>
  <c r="I340" i="21"/>
  <c r="H336" i="21"/>
  <c r="G336" i="21" s="1"/>
  <c r="I336" i="21"/>
  <c r="AA114" i="3"/>
  <c r="I159" i="21"/>
  <c r="H159" i="21"/>
  <c r="F29" i="13"/>
  <c r="J352" i="21" s="1"/>
  <c r="F25" i="13"/>
  <c r="J348" i="21" s="1"/>
  <c r="F13" i="13"/>
  <c r="J340" i="21" s="1"/>
  <c r="Y22" i="12"/>
  <c r="Y21" i="12"/>
  <c r="Y20" i="12"/>
  <c r="Y19" i="12"/>
  <c r="Y18" i="12"/>
  <c r="Y16" i="12"/>
  <c r="Y9" i="12"/>
  <c r="Y8" i="12"/>
  <c r="Y6" i="12"/>
  <c r="F33" i="10"/>
  <c r="J208" i="21" s="1"/>
  <c r="F32" i="10"/>
  <c r="J207" i="21" s="1"/>
  <c r="F31" i="10"/>
  <c r="J206" i="21" s="1"/>
  <c r="F30" i="10"/>
  <c r="J205" i="21" s="1"/>
  <c r="F29" i="10"/>
  <c r="J204" i="21" s="1"/>
  <c r="K23" i="10"/>
  <c r="F21" i="10"/>
  <c r="J199" i="21" s="1"/>
  <c r="F20" i="10"/>
  <c r="J198" i="21" s="1"/>
  <c r="X58" i="15"/>
  <c r="H128" i="21" s="1"/>
  <c r="K17" i="8"/>
  <c r="F9" i="13"/>
  <c r="J336" i="21" s="1"/>
  <c r="Y5" i="12"/>
  <c r="H58" i="12"/>
  <c r="U3" i="10"/>
  <c r="D11" i="10"/>
  <c r="H191" i="21" s="1"/>
  <c r="G191" i="21" s="1"/>
  <c r="F10" i="10"/>
  <c r="J190" i="21" s="1"/>
  <c r="F12" i="10"/>
  <c r="J192" i="21" s="1"/>
  <c r="F17" i="10"/>
  <c r="J196" i="21" s="1"/>
  <c r="K61" i="10"/>
  <c r="K56" i="10"/>
  <c r="F57" i="10"/>
  <c r="J153" i="21" s="1"/>
  <c r="K63" i="10"/>
  <c r="K55" i="10"/>
  <c r="F62" i="10"/>
  <c r="J157" i="21" s="1"/>
  <c r="K58" i="10"/>
  <c r="K64" i="10"/>
  <c r="F54" i="10"/>
  <c r="J150" i="21" s="1"/>
  <c r="F60" i="10"/>
  <c r="J155" i="21" s="1"/>
  <c r="BA126" i="19"/>
  <c r="W45" i="15"/>
  <c r="F29" i="15" s="1"/>
  <c r="H29" i="15"/>
  <c r="S40" i="15" s="1"/>
  <c r="U78" i="12" s="1"/>
  <c r="CK53" i="17"/>
  <c r="S128" i="20"/>
  <c r="CK55" i="17"/>
  <c r="S130" i="20"/>
  <c r="CK52" i="17"/>
  <c r="S127" i="20"/>
  <c r="AP96" i="20"/>
  <c r="AA9" i="4"/>
  <c r="I28" i="21"/>
  <c r="I29" i="21"/>
  <c r="S36" i="19"/>
  <c r="Z77" i="3"/>
  <c r="AA77" i="3" s="1"/>
  <c r="AA8" i="4"/>
  <c r="Z103" i="3"/>
  <c r="AA103" i="3" s="1"/>
  <c r="F20" i="3"/>
  <c r="AA93" i="3"/>
  <c r="S67" i="2"/>
  <c r="AP2" i="20"/>
  <c r="A2" i="17"/>
  <c r="A123" i="20"/>
  <c r="A2" i="20"/>
  <c r="A96" i="20"/>
  <c r="AP123" i="20"/>
  <c r="CK51" i="17"/>
  <c r="S126" i="20"/>
  <c r="BY124" i="20"/>
  <c r="BY3" i="20"/>
  <c r="BY97" i="20"/>
  <c r="V93" i="19"/>
  <c r="V92" i="19"/>
  <c r="V94" i="19"/>
  <c r="V97" i="19"/>
  <c r="V95" i="19"/>
  <c r="V91" i="19"/>
  <c r="V81" i="19"/>
  <c r="V96" i="19"/>
  <c r="V89" i="19"/>
  <c r="V87" i="19"/>
  <c r="V86" i="19"/>
  <c r="V84" i="19"/>
  <c r="V83" i="19"/>
  <c r="V80" i="19"/>
  <c r="AB80" i="19"/>
  <c r="AI29" i="19"/>
  <c r="L13" i="19" s="1"/>
  <c r="J103" i="21" s="1"/>
  <c r="AW104" i="19"/>
  <c r="AX103" i="19"/>
  <c r="AP100" i="19"/>
  <c r="AV104" i="19"/>
  <c r="AW103" i="19"/>
  <c r="AO100" i="19"/>
  <c r="AY48" i="17"/>
  <c r="BS112" i="20"/>
  <c r="AO46" i="17"/>
  <c r="BH111" i="20"/>
  <c r="AO36" i="17"/>
  <c r="BH104" i="20"/>
  <c r="AO31" i="17"/>
  <c r="BH100" i="20"/>
  <c r="AO49" i="17"/>
  <c r="BH113" i="20"/>
  <c r="AO34" i="17"/>
  <c r="BH102" i="20"/>
  <c r="AY32" i="17"/>
  <c r="BS101" i="20"/>
  <c r="J8" i="19"/>
  <c r="Z68" i="3"/>
  <c r="Z69" i="3" s="1"/>
  <c r="AA102" i="3"/>
  <c r="Y7" i="12"/>
  <c r="F17" i="12"/>
  <c r="J287" i="21" s="1"/>
  <c r="AM123" i="19"/>
  <c r="H112" i="21" s="1"/>
  <c r="AS123" i="19"/>
  <c r="AC107" i="19"/>
  <c r="Z9" i="4"/>
  <c r="Z10" i="4" s="1"/>
  <c r="Z115" i="3"/>
  <c r="AA115" i="3" s="1"/>
  <c r="AD107" i="19"/>
  <c r="AB14" i="3"/>
  <c r="W9" i="3"/>
  <c r="T9" i="3"/>
  <c r="U9" i="3" s="1"/>
  <c r="W8" i="3"/>
  <c r="T8" i="3"/>
  <c r="U8" i="3" s="1"/>
  <c r="Y14" i="3"/>
  <c r="Z14" i="3" s="1"/>
  <c r="AB13" i="3"/>
  <c r="Y13" i="3"/>
  <c r="Z13" i="3" s="1"/>
  <c r="Z94" i="3"/>
  <c r="AA94" i="3" s="1"/>
  <c r="D17" i="7"/>
  <c r="AS131" i="19"/>
  <c r="BA127" i="19"/>
  <c r="AM127" i="19"/>
  <c r="H116" i="21" s="1"/>
  <c r="G116" i="21" s="1"/>
  <c r="AS127" i="19"/>
  <c r="AS125" i="19"/>
  <c r="AS120" i="19"/>
  <c r="AS7" i="19"/>
  <c r="AV7" i="19"/>
  <c r="W57" i="19"/>
  <c r="AM125" i="19"/>
  <c r="H114" i="21" s="1"/>
  <c r="U28" i="13"/>
  <c r="I8" i="19"/>
  <c r="I6" i="19"/>
  <c r="J145" i="21"/>
  <c r="T41" i="10"/>
  <c r="K19" i="16"/>
  <c r="W29" i="8"/>
  <c r="W28" i="8"/>
  <c r="T91" i="16"/>
  <c r="K13" i="19"/>
  <c r="W10" i="3"/>
  <c r="F20" i="4"/>
  <c r="J29" i="21" s="1"/>
  <c r="V18" i="11"/>
  <c r="F18" i="11" s="1"/>
  <c r="H385" i="21" s="1"/>
  <c r="AY6" i="19"/>
  <c r="AU6" i="19" s="1"/>
  <c r="AY5" i="19"/>
  <c r="AU5" i="19" s="1"/>
  <c r="AY4" i="19"/>
  <c r="AU4" i="19" s="1"/>
  <c r="AY3" i="19"/>
  <c r="AU3" i="19" s="1"/>
  <c r="AX6" i="19"/>
  <c r="AT6" i="19" s="1"/>
  <c r="AX5" i="19"/>
  <c r="AT5" i="19" s="1"/>
  <c r="AX4" i="19"/>
  <c r="AT4" i="19" s="1"/>
  <c r="AX3" i="19"/>
  <c r="AT3" i="19" s="1"/>
  <c r="Z124" i="3"/>
  <c r="AA124" i="3" s="1"/>
  <c r="Y17" i="12"/>
  <c r="B10" i="2"/>
  <c r="AA76" i="3"/>
  <c r="AP2" i="17"/>
  <c r="W3" i="19"/>
  <c r="AA67" i="3"/>
  <c r="AC25" i="2"/>
  <c r="T72" i="2" s="1"/>
  <c r="AC33" i="2"/>
  <c r="T57" i="2"/>
  <c r="K3" i="2" s="1"/>
  <c r="AI14" i="19"/>
  <c r="AS130" i="19"/>
  <c r="AM130" i="19"/>
  <c r="H119" i="21" s="1"/>
  <c r="G119" i="21" s="1"/>
  <c r="K29" i="19"/>
  <c r="BA120" i="19"/>
  <c r="AS119" i="19"/>
  <c r="AS117" i="19"/>
  <c r="BA121" i="19"/>
  <c r="BA117" i="19"/>
  <c r="BA114" i="19"/>
  <c r="AS114" i="19"/>
  <c r="AM114" i="19"/>
  <c r="H103" i="21" s="1"/>
  <c r="BA115" i="19"/>
  <c r="AA28" i="19"/>
  <c r="AU113" i="19" s="1"/>
  <c r="AM117" i="19"/>
  <c r="H106" i="21" s="1"/>
  <c r="AM120" i="19"/>
  <c r="H109" i="21" s="1"/>
  <c r="G109" i="21" s="1"/>
  <c r="AS124" i="19"/>
  <c r="AM124" i="19"/>
  <c r="H113" i="21" s="1"/>
  <c r="G113" i="21" s="1"/>
  <c r="AM115" i="19"/>
  <c r="H104" i="21" s="1"/>
  <c r="AS121" i="19"/>
  <c r="AS115" i="19"/>
  <c r="AM129" i="19"/>
  <c r="H118" i="21" s="1"/>
  <c r="G118" i="21" s="1"/>
  <c r="AS126" i="19"/>
  <c r="AM121" i="19"/>
  <c r="H110" i="21" s="1"/>
  <c r="G110" i="21" s="1"/>
  <c r="F23" i="13"/>
  <c r="J346" i="21" s="1"/>
  <c r="O21" i="4"/>
  <c r="F10" i="13"/>
  <c r="J337" i="21" s="1"/>
  <c r="AM116" i="19"/>
  <c r="H105" i="21" s="1"/>
  <c r="AS122" i="19"/>
  <c r="AS116" i="19"/>
  <c r="BA119" i="19"/>
  <c r="K12" i="19"/>
  <c r="BA116" i="19"/>
  <c r="BA113" i="19"/>
  <c r="Y51" i="15"/>
  <c r="H130" i="21" s="1"/>
  <c r="T58" i="15"/>
  <c r="H126" i="21" s="1"/>
  <c r="G126" i="21" s="1"/>
  <c r="V58" i="15"/>
  <c r="H127" i="21" s="1"/>
  <c r="AI28" i="19"/>
  <c r="L12" i="19" s="1"/>
  <c r="J102" i="21" s="1"/>
  <c r="BA118" i="19"/>
  <c r="Z159" i="19"/>
  <c r="AM136" i="19" s="1"/>
  <c r="H125" i="21" s="1"/>
  <c r="G125" i="21" s="1"/>
  <c r="AU136" i="19"/>
  <c r="Q19" i="19"/>
  <c r="T14" i="19"/>
  <c r="K14" i="19" s="1"/>
  <c r="T17" i="3"/>
  <c r="H40" i="3" s="1"/>
  <c r="H23" i="21" s="1"/>
  <c r="T7" i="3"/>
  <c r="Q27" i="19"/>
  <c r="AA43" i="19"/>
  <c r="AM118" i="19"/>
  <c r="H107" i="21" s="1"/>
  <c r="AS118" i="19"/>
  <c r="AS132" i="19"/>
  <c r="AM132" i="19"/>
  <c r="H121" i="21" s="1"/>
  <c r="T3" i="3"/>
  <c r="F14" i="7"/>
  <c r="F15" i="7"/>
  <c r="U25" i="5"/>
  <c r="Q31" i="19"/>
  <c r="AN43" i="19"/>
  <c r="AO43" i="19" s="1"/>
  <c r="Y12" i="3"/>
  <c r="H51" i="3" s="1"/>
  <c r="T6" i="3"/>
  <c r="U6" i="3" s="1"/>
  <c r="AN47" i="19"/>
  <c r="AO47" i="19" s="1"/>
  <c r="T10" i="3"/>
  <c r="U10" i="3" s="1"/>
  <c r="Y16" i="3"/>
  <c r="W70" i="3"/>
  <c r="T4" i="3"/>
  <c r="Y11" i="3"/>
  <c r="W3" i="3"/>
  <c r="W45" i="3" s="1"/>
  <c r="W7" i="3"/>
  <c r="Y15" i="3"/>
  <c r="AN46" i="19"/>
  <c r="AO46" i="19" s="1"/>
  <c r="AN37" i="19"/>
  <c r="AO37" i="19" s="1"/>
  <c r="AN28" i="19"/>
  <c r="AO28" i="19" s="1"/>
  <c r="AN45" i="19"/>
  <c r="AO45" i="19" s="1"/>
  <c r="AN36" i="19"/>
  <c r="AO36" i="19" s="1"/>
  <c r="AN44" i="19"/>
  <c r="AO44" i="19" s="1"/>
  <c r="AN35" i="19"/>
  <c r="AO35" i="19" s="1"/>
  <c r="AN42" i="19"/>
  <c r="AO42" i="19" s="1"/>
  <c r="AN34" i="19"/>
  <c r="AO34" i="19" s="1"/>
  <c r="AN41" i="19"/>
  <c r="AO41" i="19" s="1"/>
  <c r="AN32" i="19"/>
  <c r="AO32" i="19" s="1"/>
  <c r="AN40" i="19"/>
  <c r="AO40" i="19" s="1"/>
  <c r="AO31" i="19"/>
  <c r="AN39" i="19"/>
  <c r="AO39" i="19" s="1"/>
  <c r="AN30" i="19"/>
  <c r="AO30" i="19" s="1"/>
  <c r="AN38" i="19"/>
  <c r="AO38" i="19" s="1"/>
  <c r="AN29" i="19"/>
  <c r="AO29" i="19" s="1"/>
  <c r="T70" i="3"/>
  <c r="H42" i="3" s="1"/>
  <c r="T15" i="3"/>
  <c r="H33" i="3" s="1"/>
  <c r="V62" i="2"/>
  <c r="U62" i="2"/>
  <c r="T62" i="2"/>
  <c r="AA62" i="2"/>
  <c r="S62" i="2"/>
  <c r="Z62" i="2"/>
  <c r="Y62" i="2"/>
  <c r="X62" i="2"/>
  <c r="W62" i="2"/>
  <c r="T11" i="3"/>
  <c r="U11" i="3" s="1"/>
  <c r="AB12" i="3"/>
  <c r="K51" i="3" s="1"/>
  <c r="O14" i="4" s="1"/>
  <c r="AO33" i="19"/>
  <c r="N27" i="19"/>
  <c r="I117" i="21" s="1"/>
  <c r="L27" i="19"/>
  <c r="J117" i="21" s="1"/>
  <c r="Q17" i="19"/>
  <c r="N17" i="19"/>
  <c r="I107" i="21" s="1"/>
  <c r="L17" i="19"/>
  <c r="J107" i="21" s="1"/>
  <c r="Q12" i="19"/>
  <c r="N14" i="19"/>
  <c r="I104" i="21" s="1"/>
  <c r="Q14" i="19"/>
  <c r="L30" i="19"/>
  <c r="J120" i="21" s="1"/>
  <c r="N30" i="19"/>
  <c r="I120" i="21" s="1"/>
  <c r="L22" i="19"/>
  <c r="J112" i="21" s="1"/>
  <c r="N22" i="19"/>
  <c r="I112" i="21" s="1"/>
  <c r="L31" i="19"/>
  <c r="J121" i="21" s="1"/>
  <c r="N31" i="19"/>
  <c r="I121" i="21" s="1"/>
  <c r="L29" i="19"/>
  <c r="J119" i="21" s="1"/>
  <c r="N29" i="19"/>
  <c r="I119" i="21" s="1"/>
  <c r="N23" i="19"/>
  <c r="I113" i="21" s="1"/>
  <c r="L23" i="19"/>
  <c r="J113" i="21" s="1"/>
  <c r="L15" i="19"/>
  <c r="J105" i="21" s="1"/>
  <c r="N15" i="19"/>
  <c r="I105" i="21" s="1"/>
  <c r="A22" i="19"/>
  <c r="Y38" i="19"/>
  <c r="A31" i="19"/>
  <c r="Y47" i="19"/>
  <c r="A20" i="19"/>
  <c r="Y36" i="19"/>
  <c r="A17" i="19"/>
  <c r="Y33" i="19"/>
  <c r="A23" i="19"/>
  <c r="Y39" i="19"/>
  <c r="A28" i="19"/>
  <c r="Y44" i="19"/>
  <c r="A15" i="19"/>
  <c r="Y31" i="19"/>
  <c r="A27" i="19"/>
  <c r="Y43" i="19"/>
  <c r="A29" i="19"/>
  <c r="Y45" i="19"/>
  <c r="A26" i="19"/>
  <c r="Y42" i="19"/>
  <c r="A21" i="19"/>
  <c r="Y37" i="19"/>
  <c r="A18" i="19"/>
  <c r="Y34" i="19"/>
  <c r="A30" i="19"/>
  <c r="Y46" i="19"/>
  <c r="A16" i="19"/>
  <c r="Y32" i="19"/>
  <c r="A24" i="19"/>
  <c r="Y40" i="19"/>
  <c r="A19" i="19"/>
  <c r="Y35" i="19"/>
  <c r="A25" i="19"/>
  <c r="Y41" i="19"/>
  <c r="A14" i="19"/>
  <c r="Y30" i="19"/>
  <c r="A13" i="19"/>
  <c r="Y29" i="19"/>
  <c r="A12" i="19"/>
  <c r="U25" i="2"/>
  <c r="F13" i="2" s="1"/>
  <c r="J4" i="21" s="1"/>
  <c r="W27" i="8"/>
  <c r="W19" i="8"/>
  <c r="W26" i="8"/>
  <c r="W18" i="8"/>
  <c r="W25" i="8"/>
  <c r="W17" i="8"/>
  <c r="W24" i="8"/>
  <c r="W32" i="8"/>
  <c r="W23" i="8"/>
  <c r="W31" i="8"/>
  <c r="W22" i="8"/>
  <c r="W30" i="8"/>
  <c r="W21" i="8"/>
  <c r="W20" i="8"/>
  <c r="Z104" i="3"/>
  <c r="O10" i="4"/>
  <c r="J397" i="21" s="1"/>
  <c r="AC57" i="3"/>
  <c r="H9" i="5" s="1"/>
  <c r="D8" i="5"/>
  <c r="AH58" i="3"/>
  <c r="AC58" i="3" s="1"/>
  <c r="C10" i="12"/>
  <c r="S32" i="12" s="1"/>
  <c r="K35" i="12"/>
  <c r="S30" i="12" s="1"/>
  <c r="F35" i="12"/>
  <c r="J304" i="21" s="1"/>
  <c r="F10" i="16"/>
  <c r="J209" i="21" s="1"/>
  <c r="T49" i="15"/>
  <c r="T48" i="15" s="1"/>
  <c r="H465" i="21" s="1"/>
  <c r="G465" i="21" s="1"/>
  <c r="V29" i="10"/>
  <c r="K57" i="10"/>
  <c r="S60" i="10"/>
  <c r="F55" i="10"/>
  <c r="J151" i="21" s="1"/>
  <c r="F56" i="10"/>
  <c r="J152" i="21" s="1"/>
  <c r="D10" i="10"/>
  <c r="H190" i="21" s="1"/>
  <c r="G190" i="21" s="1"/>
  <c r="T69" i="2"/>
  <c r="S22" i="6"/>
  <c r="AC3" i="2"/>
  <c r="BY3" i="17"/>
  <c r="V23" i="7"/>
  <c r="T28" i="13"/>
  <c r="S22" i="13"/>
  <c r="D51" i="13"/>
  <c r="H12" i="13"/>
  <c r="D15" i="13"/>
  <c r="F29" i="16"/>
  <c r="F28" i="16"/>
  <c r="J223" i="21" s="1"/>
  <c r="D26" i="16"/>
  <c r="F27" i="16"/>
  <c r="J222" i="21" s="1"/>
  <c r="K25" i="16"/>
  <c r="F25" i="16"/>
  <c r="J220" i="21" s="1"/>
  <c r="F24" i="16"/>
  <c r="J219" i="21" s="1"/>
  <c r="K21" i="16"/>
  <c r="F19" i="16"/>
  <c r="J214" i="21" s="1"/>
  <c r="D18" i="16"/>
  <c r="H213" i="21" s="1"/>
  <c r="D13" i="16"/>
  <c r="F12" i="16"/>
  <c r="J211" i="21" s="1"/>
  <c r="F11" i="16"/>
  <c r="J210" i="21" s="1"/>
  <c r="D23" i="10"/>
  <c r="F23" i="10"/>
  <c r="J201" i="21" s="1"/>
  <c r="K62" i="10"/>
  <c r="F63" i="10"/>
  <c r="J158" i="21" s="1"/>
  <c r="K60" i="10"/>
  <c r="F61" i="10"/>
  <c r="J156" i="21" s="1"/>
  <c r="F64" i="10"/>
  <c r="J159" i="21" s="1"/>
  <c r="F58" i="10"/>
  <c r="J154" i="21" s="1"/>
  <c r="K54" i="10"/>
  <c r="D12" i="10"/>
  <c r="H192" i="21" s="1"/>
  <c r="F11" i="10"/>
  <c r="J191" i="21" s="1"/>
  <c r="J396" i="21"/>
  <c r="B4" i="7"/>
  <c r="D2" i="7"/>
  <c r="B4" i="6"/>
  <c r="B13" i="6"/>
  <c r="B2" i="6"/>
  <c r="B1" i="6"/>
  <c r="S9" i="4"/>
  <c r="T7" i="4"/>
  <c r="T6" i="4"/>
  <c r="T5" i="4"/>
  <c r="T4" i="4"/>
  <c r="T3" i="4"/>
  <c r="U3" i="4" s="1"/>
  <c r="T2" i="4"/>
  <c r="T44" i="4"/>
  <c r="B2" i="4"/>
  <c r="B1" i="4"/>
  <c r="J82" i="21" l="1"/>
  <c r="F20" i="8"/>
  <c r="G192" i="21"/>
  <c r="I12" i="1"/>
  <c r="K3" i="5"/>
  <c r="A49" i="12"/>
  <c r="T78" i="12"/>
  <c r="I302" i="21"/>
  <c r="S26" i="12"/>
  <c r="I20" i="1"/>
  <c r="K3" i="13"/>
  <c r="O20" i="4"/>
  <c r="K3" i="12"/>
  <c r="A9" i="5"/>
  <c r="H8" i="5"/>
  <c r="AQ28" i="19"/>
  <c r="J130" i="21"/>
  <c r="F5" i="15"/>
  <c r="E11" i="21"/>
  <c r="F10" i="21"/>
  <c r="V28" i="10"/>
  <c r="H466" i="21" s="1"/>
  <c r="G466" i="21" s="1"/>
  <c r="AW15" i="10"/>
  <c r="AX14" i="10"/>
  <c r="AV114" i="20"/>
  <c r="BS110" i="20"/>
  <c r="BS104" i="20"/>
  <c r="A52" i="17"/>
  <c r="BS107" i="20"/>
  <c r="BS117" i="20"/>
  <c r="BS108" i="20"/>
  <c r="AD38" i="17"/>
  <c r="AV107" i="20"/>
  <c r="AV108" i="20"/>
  <c r="AV104" i="20"/>
  <c r="AV109" i="20"/>
  <c r="AD54" i="17"/>
  <c r="G127" i="21"/>
  <c r="G128" i="21" s="1"/>
  <c r="G129" i="21"/>
  <c r="AV110" i="20"/>
  <c r="BS103" i="20"/>
  <c r="U4" i="4"/>
  <c r="U7" i="4"/>
  <c r="U5" i="4"/>
  <c r="U6" i="4"/>
  <c r="F11" i="4" s="1"/>
  <c r="U2" i="4"/>
  <c r="I42" i="7"/>
  <c r="H73" i="21" s="1"/>
  <c r="D34" i="7"/>
  <c r="O15" i="4"/>
  <c r="H400" i="21" s="1"/>
  <c r="AD52" i="17"/>
  <c r="AD35" i="17"/>
  <c r="BS102" i="20"/>
  <c r="AD53" i="17"/>
  <c r="AV102" i="20"/>
  <c r="AV113" i="20"/>
  <c r="AD48" i="17"/>
  <c r="AV106" i="20"/>
  <c r="BS114" i="20"/>
  <c r="AV119" i="20"/>
  <c r="AQ43" i="19"/>
  <c r="AU128" i="19"/>
  <c r="AV101" i="20"/>
  <c r="AY46" i="17"/>
  <c r="AD46" i="17"/>
  <c r="G114" i="21"/>
  <c r="AS113" i="19"/>
  <c r="A100" i="20" s="1"/>
  <c r="C43" i="1"/>
  <c r="E43" i="1" s="1"/>
  <c r="H339" i="21"/>
  <c r="G339" i="21" s="1"/>
  <c r="I339" i="21"/>
  <c r="G378" i="21"/>
  <c r="G151" i="21"/>
  <c r="G161" i="21" s="1"/>
  <c r="G162" i="21" s="1"/>
  <c r="G18" i="11"/>
  <c r="J385" i="21" s="1"/>
  <c r="G170" i="21"/>
  <c r="H13" i="6"/>
  <c r="I46" i="21" s="1"/>
  <c r="F13" i="6"/>
  <c r="G341" i="21"/>
  <c r="T22" i="16"/>
  <c r="J224" i="21"/>
  <c r="I130" i="21"/>
  <c r="F12" i="13"/>
  <c r="J339" i="21" s="1"/>
  <c r="J53" i="21"/>
  <c r="F58" i="12"/>
  <c r="F59" i="12"/>
  <c r="J303" i="21" s="1"/>
  <c r="F8" i="12"/>
  <c r="S36" i="10"/>
  <c r="F66" i="10"/>
  <c r="J160" i="21" s="1"/>
  <c r="G23" i="21"/>
  <c r="I23" i="21"/>
  <c r="K29" i="15"/>
  <c r="S96" i="3"/>
  <c r="G22" i="21" s="1"/>
  <c r="Z78" i="3"/>
  <c r="S92" i="3" s="1"/>
  <c r="H20" i="21" s="1"/>
  <c r="Z12" i="4"/>
  <c r="H26" i="21" s="1"/>
  <c r="Z95" i="3"/>
  <c r="BG2" i="17"/>
  <c r="BG96" i="20"/>
  <c r="BG2" i="20"/>
  <c r="BG123" i="20"/>
  <c r="AA68" i="3"/>
  <c r="S91" i="3" s="1"/>
  <c r="BA4" i="3"/>
  <c r="BA10" i="3" s="1"/>
  <c r="BQ20" i="3"/>
  <c r="BO20" i="3"/>
  <c r="BM20" i="3"/>
  <c r="BK20" i="3"/>
  <c r="BG20" i="3"/>
  <c r="BS20" i="3"/>
  <c r="BC20" i="3"/>
  <c r="BI20" i="3"/>
  <c r="BE20" i="3"/>
  <c r="V75" i="19"/>
  <c r="AY54" i="17"/>
  <c r="BS118" i="20"/>
  <c r="A50" i="17"/>
  <c r="A114" i="20"/>
  <c r="A35" i="17"/>
  <c r="A103" i="20"/>
  <c r="A49" i="17"/>
  <c r="A113" i="20"/>
  <c r="A46" i="17"/>
  <c r="A111" i="20"/>
  <c r="A53" i="17"/>
  <c r="A117" i="20"/>
  <c r="AY43" i="17"/>
  <c r="BS109" i="20"/>
  <c r="A54" i="17"/>
  <c r="A118" i="20"/>
  <c r="AY38" i="17"/>
  <c r="BS105" i="20"/>
  <c r="A55" i="17"/>
  <c r="A119" i="20"/>
  <c r="A43" i="17"/>
  <c r="A109" i="20"/>
  <c r="AY55" i="17"/>
  <c r="BS119" i="20"/>
  <c r="A38" i="17"/>
  <c r="A105" i="20"/>
  <c r="AY49" i="17"/>
  <c r="BS113" i="20"/>
  <c r="A36" i="17"/>
  <c r="A104" i="20"/>
  <c r="A44" i="17"/>
  <c r="A110" i="20"/>
  <c r="AY56" i="17"/>
  <c r="BS121" i="20"/>
  <c r="AY52" i="17"/>
  <c r="BS116" i="20"/>
  <c r="A40" i="17"/>
  <c r="A106" i="20"/>
  <c r="A41" i="17"/>
  <c r="A107" i="20"/>
  <c r="AY40" i="17"/>
  <c r="BS106" i="20"/>
  <c r="A42" i="17"/>
  <c r="A108" i="20"/>
  <c r="A48" i="17"/>
  <c r="A112" i="20"/>
  <c r="A34" i="17"/>
  <c r="A102" i="20"/>
  <c r="A32" i="17"/>
  <c r="A101" i="20"/>
  <c r="Z116" i="3"/>
  <c r="S101" i="3" s="1"/>
  <c r="AK25" i="3"/>
  <c r="H54" i="3" s="1"/>
  <c r="Z125" i="3"/>
  <c r="S102" i="3" s="1"/>
  <c r="S31" i="4"/>
  <c r="V39" i="12"/>
  <c r="W59" i="19"/>
  <c r="S13" i="16"/>
  <c r="K3" i="16" s="1"/>
  <c r="S33" i="12"/>
  <c r="A92" i="16"/>
  <c r="T94" i="16"/>
  <c r="P21" i="1" s="1"/>
  <c r="K21" i="1" s="1"/>
  <c r="K10" i="1" s="1"/>
  <c r="F5" i="16"/>
  <c r="T21" i="16"/>
  <c r="D10" i="2"/>
  <c r="AC4" i="2"/>
  <c r="AC5" i="2" s="1"/>
  <c r="V10" i="6"/>
  <c r="T10" i="6" s="1"/>
  <c r="T6" i="6" s="1"/>
  <c r="T30" i="6" s="1"/>
  <c r="V33" i="6"/>
  <c r="T33" i="6" s="1"/>
  <c r="T31" i="6" s="1"/>
  <c r="V31" i="6"/>
  <c r="V7" i="6"/>
  <c r="AS25" i="3"/>
  <c r="U4" i="3"/>
  <c r="F19" i="3" s="1"/>
  <c r="H25" i="3"/>
  <c r="U7" i="3"/>
  <c r="F25" i="3" s="1"/>
  <c r="T32" i="3"/>
  <c r="U3" i="3"/>
  <c r="F11" i="3" s="1"/>
  <c r="U33" i="6"/>
  <c r="S19" i="13"/>
  <c r="U39" i="2"/>
  <c r="U38" i="2"/>
  <c r="F19" i="2" s="1"/>
  <c r="J10" i="21" s="1"/>
  <c r="U41" i="2"/>
  <c r="F20" i="2" s="1"/>
  <c r="J11" i="21" s="1"/>
  <c r="Q9" i="19"/>
  <c r="AS34" i="3"/>
  <c r="AM113" i="19"/>
  <c r="H102" i="21" s="1"/>
  <c r="G102" i="21" s="1"/>
  <c r="G103" i="21" s="1"/>
  <c r="W61" i="19"/>
  <c r="F5" i="13"/>
  <c r="O19" i="4"/>
  <c r="T41" i="3"/>
  <c r="T42" i="3"/>
  <c r="T47" i="3"/>
  <c r="T43" i="3"/>
  <c r="T45" i="3"/>
  <c r="T40" i="3"/>
  <c r="T25" i="3"/>
  <c r="T46" i="3"/>
  <c r="T44" i="3"/>
  <c r="T39" i="3"/>
  <c r="T36" i="3"/>
  <c r="T48" i="3"/>
  <c r="AS128" i="19"/>
  <c r="AM128" i="19"/>
  <c r="H117" i="21" s="1"/>
  <c r="G117" i="21" s="1"/>
  <c r="AK44" i="3"/>
  <c r="AK36" i="3"/>
  <c r="AK41" i="3"/>
  <c r="AK40" i="3"/>
  <c r="AK39" i="3"/>
  <c r="AK33" i="3"/>
  <c r="AK42" i="3"/>
  <c r="AK43" i="3"/>
  <c r="H19" i="3"/>
  <c r="AS41" i="3"/>
  <c r="AS40" i="3"/>
  <c r="AS36" i="3"/>
  <c r="AS37" i="3"/>
  <c r="AS38" i="3"/>
  <c r="AS31" i="3"/>
  <c r="H21" i="3" s="1"/>
  <c r="AS42" i="3"/>
  <c r="AS39" i="3"/>
  <c r="L6" i="6"/>
  <c r="R6" i="19"/>
  <c r="W48" i="3"/>
  <c r="W47" i="3"/>
  <c r="W44" i="3"/>
  <c r="W46" i="3"/>
  <c r="W58" i="19"/>
  <c r="L5" i="19"/>
  <c r="W56" i="19"/>
  <c r="U32" i="6"/>
  <c r="F17" i="6" s="1"/>
  <c r="U9" i="6"/>
  <c r="U10" i="6"/>
  <c r="U7" i="6" s="1"/>
  <c r="I9" i="1"/>
  <c r="F34" i="8"/>
  <c r="J101" i="21" s="1"/>
  <c r="O18" i="4"/>
  <c r="H11" i="4"/>
  <c r="T22" i="4" s="1"/>
  <c r="T40" i="6"/>
  <c r="T39" i="6"/>
  <c r="T38" i="6"/>
  <c r="W15" i="8"/>
  <c r="Y14" i="8" s="1"/>
  <c r="T41" i="6"/>
  <c r="D6" i="13"/>
  <c r="S25" i="13" s="1"/>
  <c r="T43" i="4"/>
  <c r="T41" i="4"/>
  <c r="G17" i="1"/>
  <c r="S32" i="10"/>
  <c r="K3" i="10" s="1"/>
  <c r="L6" i="8"/>
  <c r="L15" i="4"/>
  <c r="M4" i="1" s="1"/>
  <c r="L6" i="15"/>
  <c r="L6" i="3"/>
  <c r="L6" i="5"/>
  <c r="L6" i="2"/>
  <c r="M3" i="1"/>
  <c r="G342" i="21" l="1"/>
  <c r="J88" i="21"/>
  <c r="H20" i="8"/>
  <c r="K20" i="8"/>
  <c r="S17" i="8" s="1"/>
  <c r="K3" i="8" s="1"/>
  <c r="J400" i="21"/>
  <c r="J302" i="21"/>
  <c r="F5" i="12"/>
  <c r="G19" i="1" s="1"/>
  <c r="I19" i="1"/>
  <c r="S43" i="15"/>
  <c r="K3" i="15" s="1"/>
  <c r="E12" i="21"/>
  <c r="F11" i="21"/>
  <c r="H20" i="1"/>
  <c r="H3" i="13"/>
  <c r="H19" i="1"/>
  <c r="H3" i="12"/>
  <c r="H17" i="1"/>
  <c r="H3" i="15"/>
  <c r="AW16" i="10"/>
  <c r="AX15" i="10"/>
  <c r="G130" i="21"/>
  <c r="AD51" i="17"/>
  <c r="AV115" i="20"/>
  <c r="H18" i="21"/>
  <c r="H9" i="2"/>
  <c r="F9" i="2" s="1"/>
  <c r="J403" i="21"/>
  <c r="H403" i="21"/>
  <c r="A31" i="17"/>
  <c r="H404" i="21"/>
  <c r="J404" i="21"/>
  <c r="AV100" i="20"/>
  <c r="AD31" i="17"/>
  <c r="D44" i="1"/>
  <c r="A43" i="1"/>
  <c r="H413" i="21" s="1"/>
  <c r="J405" i="21"/>
  <c r="H405" i="21"/>
  <c r="G343" i="21"/>
  <c r="G345" i="21" s="1"/>
  <c r="T20" i="16"/>
  <c r="H467" i="21" s="1"/>
  <c r="G467" i="21" s="1"/>
  <c r="G104" i="21"/>
  <c r="G105" i="21" s="1"/>
  <c r="G106" i="21" s="1"/>
  <c r="G107" i="21" s="1"/>
  <c r="G108" i="21" s="1"/>
  <c r="G112" i="21" s="1"/>
  <c r="G121" i="21" s="1"/>
  <c r="H24" i="21"/>
  <c r="G24" i="21" s="1"/>
  <c r="H19" i="21"/>
  <c r="G19" i="21" s="1"/>
  <c r="G20" i="21" s="1"/>
  <c r="G26" i="21"/>
  <c r="G28" i="21" s="1"/>
  <c r="G29" i="21" s="1"/>
  <c r="G30" i="21" s="1"/>
  <c r="G25" i="21"/>
  <c r="J44" i="21"/>
  <c r="Z13" i="6"/>
  <c r="F18" i="6" s="1"/>
  <c r="J45" i="21" s="1"/>
  <c r="I21" i="21"/>
  <c r="BA8" i="3"/>
  <c r="BA9" i="3"/>
  <c r="X7" i="11"/>
  <c r="I41" i="7" s="1"/>
  <c r="AZ3" i="3"/>
  <c r="P12" i="3" s="1"/>
  <c r="BS12" i="3"/>
  <c r="BC12" i="3"/>
  <c r="BE12" i="3"/>
  <c r="CG12" i="3"/>
  <c r="BQ12" i="3"/>
  <c r="CE12" i="3"/>
  <c r="BO12" i="3"/>
  <c r="BG12" i="3"/>
  <c r="BU12" i="3"/>
  <c r="CC12" i="3"/>
  <c r="BM12" i="3"/>
  <c r="CA12" i="3"/>
  <c r="BK12" i="3"/>
  <c r="BY12" i="3"/>
  <c r="BW12" i="3"/>
  <c r="BI12" i="3"/>
  <c r="AZ4" i="3"/>
  <c r="AZ10" i="3" s="1"/>
  <c r="BS14" i="3"/>
  <c r="BC14" i="3"/>
  <c r="BG14" i="3"/>
  <c r="BQ14" i="3"/>
  <c r="BO14" i="3"/>
  <c r="BM14" i="3"/>
  <c r="BK14" i="3"/>
  <c r="BI14" i="3"/>
  <c r="BE14" i="3"/>
  <c r="A51" i="17"/>
  <c r="A115" i="20"/>
  <c r="AY51" i="17"/>
  <c r="BS115" i="20"/>
  <c r="AY31" i="17"/>
  <c r="BS100" i="20"/>
  <c r="S103" i="3"/>
  <c r="S105" i="3" s="1"/>
  <c r="T7" i="6"/>
  <c r="W55" i="19"/>
  <c r="H464" i="21" s="1"/>
  <c r="G464" i="21" s="1"/>
  <c r="K13" i="1"/>
  <c r="K12" i="1"/>
  <c r="K11" i="1"/>
  <c r="K14" i="1"/>
  <c r="T25" i="4"/>
  <c r="U30" i="6"/>
  <c r="U6" i="6" s="1"/>
  <c r="U31" i="6"/>
  <c r="O17" i="4"/>
  <c r="G20" i="1"/>
  <c r="I18" i="1"/>
  <c r="I16" i="1"/>
  <c r="G16" i="1"/>
  <c r="S95" i="3"/>
  <c r="G21" i="21" s="1"/>
  <c r="AT39" i="3"/>
  <c r="AT41" i="3"/>
  <c r="AT42" i="3"/>
  <c r="AT40" i="3"/>
  <c r="I17" i="1"/>
  <c r="H33" i="8"/>
  <c r="I100" i="21" s="1"/>
  <c r="S93" i="3"/>
  <c r="O16" i="4"/>
  <c r="T29" i="4"/>
  <c r="T17" i="4"/>
  <c r="H12" i="4" s="1"/>
  <c r="T27" i="4"/>
  <c r="T28" i="4"/>
  <c r="V32" i="6"/>
  <c r="T32" i="6" s="1"/>
  <c r="H17" i="6" s="1"/>
  <c r="L6" i="12"/>
  <c r="L6" i="13"/>
  <c r="L6" i="16"/>
  <c r="P6" i="11"/>
  <c r="L6" i="10"/>
  <c r="V9" i="6"/>
  <c r="T9" i="6" s="1"/>
  <c r="I15" i="1" l="1"/>
  <c r="I88" i="21"/>
  <c r="S21" i="8"/>
  <c r="S22" i="8" s="1"/>
  <c r="F33" i="8" s="1"/>
  <c r="J100" i="21" s="1"/>
  <c r="E13" i="21"/>
  <c r="F12" i="21"/>
  <c r="X2" i="4"/>
  <c r="X7" i="4"/>
  <c r="X6" i="4"/>
  <c r="X4" i="4"/>
  <c r="X5" i="4"/>
  <c r="AW17" i="10"/>
  <c r="AX16" i="10"/>
  <c r="G131" i="21"/>
  <c r="G132" i="21" s="1"/>
  <c r="T45" i="4"/>
  <c r="I18" i="21"/>
  <c r="C44" i="1"/>
  <c r="E44" i="1" s="1"/>
  <c r="G347" i="21"/>
  <c r="G349" i="21" s="1"/>
  <c r="G351" i="21" s="1"/>
  <c r="G353" i="21"/>
  <c r="J402" i="21"/>
  <c r="H402" i="21"/>
  <c r="J401" i="21"/>
  <c r="H401" i="21"/>
  <c r="I44" i="21"/>
  <c r="G354" i="21"/>
  <c r="S14" i="8"/>
  <c r="U76" i="12" s="1"/>
  <c r="I26" i="21"/>
  <c r="H15" i="4"/>
  <c r="H27" i="21" s="1"/>
  <c r="H16" i="4"/>
  <c r="H31" i="21" s="1"/>
  <c r="J18" i="21"/>
  <c r="G18" i="21" s="1"/>
  <c r="S57" i="2"/>
  <c r="H3" i="2" s="1"/>
  <c r="AZ9" i="3"/>
  <c r="AZ8" i="3"/>
  <c r="S98" i="3"/>
  <c r="X3" i="4"/>
  <c r="E25" i="3"/>
  <c r="G348" i="21" l="1"/>
  <c r="A47" i="12"/>
  <c r="T76" i="12"/>
  <c r="E14" i="21"/>
  <c r="F13" i="21"/>
  <c r="H15" i="1"/>
  <c r="H3" i="8"/>
  <c r="H10" i="5"/>
  <c r="H32" i="21" s="1"/>
  <c r="AX17" i="10"/>
  <c r="AW18" i="10"/>
  <c r="G355" i="21"/>
  <c r="D45" i="1"/>
  <c r="A44" i="1"/>
  <c r="H414" i="21" s="1"/>
  <c r="F5" i="8"/>
  <c r="G15" i="1" s="1"/>
  <c r="J46" i="21"/>
  <c r="Y13" i="6"/>
  <c r="F14" i="6" s="1"/>
  <c r="J47" i="21" s="1"/>
  <c r="I31" i="21"/>
  <c r="I27" i="21"/>
  <c r="F4" i="2"/>
  <c r="AE67" i="7"/>
  <c r="W67" i="7" s="1"/>
  <c r="AE66" i="7"/>
  <c r="W66" i="7" s="1"/>
  <c r="D32" i="7" s="1"/>
  <c r="Y21" i="7" s="1"/>
  <c r="F16" i="4"/>
  <c r="J31" i="21" s="1"/>
  <c r="S38" i="4"/>
  <c r="D12" i="4"/>
  <c r="T40" i="4"/>
  <c r="H459" i="21" s="1"/>
  <c r="G459" i="21" s="1"/>
  <c r="H22" i="6"/>
  <c r="U17" i="4"/>
  <c r="B2" i="3"/>
  <c r="B2" i="2"/>
  <c r="E15" i="21" l="1"/>
  <c r="F14" i="21"/>
  <c r="H11" i="1"/>
  <c r="H3" i="4"/>
  <c r="AW19" i="10"/>
  <c r="AX18" i="10"/>
  <c r="F32" i="7"/>
  <c r="F5" i="7" s="1"/>
  <c r="C45" i="1"/>
  <c r="E45" i="1" s="1"/>
  <c r="G32" i="21"/>
  <c r="I32" i="21"/>
  <c r="F22" i="6"/>
  <c r="I50" i="21"/>
  <c r="S34" i="5"/>
  <c r="T31" i="5"/>
  <c r="D35" i="5" s="1"/>
  <c r="D16" i="5"/>
  <c r="U29" i="4"/>
  <c r="U18" i="4"/>
  <c r="U28" i="4"/>
  <c r="U20" i="5"/>
  <c r="C36" i="5" s="1"/>
  <c r="H36" i="5" s="1"/>
  <c r="H40" i="21" s="1"/>
  <c r="T87" i="3"/>
  <c r="BB2" i="3"/>
  <c r="BB3" i="3"/>
  <c r="BB4" i="3"/>
  <c r="U19" i="4"/>
  <c r="U25" i="4"/>
  <c r="U26" i="4"/>
  <c r="U20" i="4"/>
  <c r="U34" i="4" s="1"/>
  <c r="U33" i="4" s="1"/>
  <c r="F12" i="4" s="1"/>
  <c r="J26" i="21" s="1"/>
  <c r="U21" i="4"/>
  <c r="U27" i="4"/>
  <c r="T75" i="3"/>
  <c r="T80" i="3"/>
  <c r="T79" i="3"/>
  <c r="T76" i="3"/>
  <c r="T77" i="3"/>
  <c r="T78" i="3"/>
  <c r="T85" i="3"/>
  <c r="T84" i="3"/>
  <c r="I6" i="4"/>
  <c r="I6" i="5"/>
  <c r="J3" i="1"/>
  <c r="I6" i="6"/>
  <c r="I6" i="3"/>
  <c r="F15" i="21" l="1"/>
  <c r="E16" i="21"/>
  <c r="AW20" i="10"/>
  <c r="AX19" i="10"/>
  <c r="J67" i="21"/>
  <c r="G14" i="1"/>
  <c r="D46" i="1"/>
  <c r="A45" i="1"/>
  <c r="H415" i="21" s="1"/>
  <c r="G33" i="21"/>
  <c r="J50" i="21"/>
  <c r="F36" i="5"/>
  <c r="J40" i="21" s="1"/>
  <c r="I40" i="21"/>
  <c r="T25" i="5"/>
  <c r="H460" i="21" s="1"/>
  <c r="G460" i="21" s="1"/>
  <c r="F15" i="4"/>
  <c r="J27" i="21" s="1"/>
  <c r="I6" i="13"/>
  <c r="J6" i="11"/>
  <c r="I6" i="12"/>
  <c r="I6" i="16"/>
  <c r="I6" i="10"/>
  <c r="S6" i="5"/>
  <c r="E17" i="21" l="1"/>
  <c r="F16" i="21"/>
  <c r="AW21" i="10"/>
  <c r="AX20" i="10"/>
  <c r="G34" i="21"/>
  <c r="C46" i="1"/>
  <c r="E46" i="1"/>
  <c r="H13" i="10"/>
  <c r="H22" i="10"/>
  <c r="F5" i="4"/>
  <c r="G11" i="1" s="1"/>
  <c r="S20" i="5"/>
  <c r="I41" i="21"/>
  <c r="C19" i="11"/>
  <c r="D14" i="11"/>
  <c r="X14" i="11" s="1"/>
  <c r="D19" i="11"/>
  <c r="X19" i="11" s="1"/>
  <c r="C14" i="11"/>
  <c r="V14" i="11" s="1"/>
  <c r="F14" i="11" s="1"/>
  <c r="H381" i="21" s="1"/>
  <c r="F12" i="5"/>
  <c r="AX40" i="3"/>
  <c r="AX39" i="3"/>
  <c r="AX42" i="3"/>
  <c r="AX41" i="3"/>
  <c r="U17" i="3"/>
  <c r="F40" i="3" s="1"/>
  <c r="J23" i="21" s="1"/>
  <c r="X45" i="3"/>
  <c r="X32" i="3"/>
  <c r="X44" i="3"/>
  <c r="X25" i="3"/>
  <c r="X43" i="3"/>
  <c r="X42" i="3"/>
  <c r="X41" i="3"/>
  <c r="X37" i="3"/>
  <c r="X48" i="3"/>
  <c r="X40" i="3"/>
  <c r="X47" i="3"/>
  <c r="X39" i="3"/>
  <c r="X46" i="3"/>
  <c r="X36" i="3"/>
  <c r="AX25" i="3"/>
  <c r="AX38" i="3"/>
  <c r="AX37" i="3"/>
  <c r="AX36" i="3"/>
  <c r="AX34" i="3"/>
  <c r="AX31" i="3"/>
  <c r="H35" i="3" s="1"/>
  <c r="U15" i="3" s="1"/>
  <c r="F33" i="3" s="1"/>
  <c r="AK48" i="3"/>
  <c r="AE45" i="3"/>
  <c r="AE48" i="3"/>
  <c r="AK47" i="3"/>
  <c r="AE47" i="3"/>
  <c r="AE46" i="3"/>
  <c r="AK46" i="3"/>
  <c r="AE44" i="3"/>
  <c r="AK45" i="3"/>
  <c r="AE39" i="3"/>
  <c r="AE25" i="3"/>
  <c r="AE43" i="3"/>
  <c r="AE40" i="3"/>
  <c r="AE33" i="3"/>
  <c r="H28" i="3" s="1"/>
  <c r="AE42" i="3"/>
  <c r="AE41" i="3"/>
  <c r="W41" i="3"/>
  <c r="W42" i="3"/>
  <c r="W37" i="3"/>
  <c r="W31" i="3"/>
  <c r="K11" i="3"/>
  <c r="W26" i="3"/>
  <c r="H11" i="3"/>
  <c r="AE36" i="3"/>
  <c r="T70" i="2"/>
  <c r="E18" i="21" l="1"/>
  <c r="F17" i="21"/>
  <c r="H12" i="1"/>
  <c r="H3" i="5"/>
  <c r="AW22" i="10"/>
  <c r="AX21" i="10"/>
  <c r="G35" i="21"/>
  <c r="G36" i="21" s="1"/>
  <c r="D47" i="1"/>
  <c r="A46" i="1"/>
  <c r="H416" i="21" s="1"/>
  <c r="S29" i="10"/>
  <c r="U79" i="12" s="1"/>
  <c r="I200" i="21"/>
  <c r="H200" i="21"/>
  <c r="G200" i="21" s="1"/>
  <c r="F13" i="10"/>
  <c r="J193" i="21" s="1"/>
  <c r="H193" i="21"/>
  <c r="G193" i="21" s="1"/>
  <c r="I193" i="21"/>
  <c r="F22" i="10"/>
  <c r="J200" i="21" s="1"/>
  <c r="F5" i="5"/>
  <c r="G12" i="1" s="1"/>
  <c r="J41" i="21"/>
  <c r="K15" i="3"/>
  <c r="O11" i="4" s="1"/>
  <c r="CG16" i="3"/>
  <c r="BQ16" i="3"/>
  <c r="CE16" i="3"/>
  <c r="BO16" i="3"/>
  <c r="CC16" i="3"/>
  <c r="BM16" i="3"/>
  <c r="BE16" i="3"/>
  <c r="BS16" i="3"/>
  <c r="CA16" i="3"/>
  <c r="BK16" i="3"/>
  <c r="BU16" i="3"/>
  <c r="BY16" i="3"/>
  <c r="BI16" i="3"/>
  <c r="BW16" i="3"/>
  <c r="BG16" i="3"/>
  <c r="BC16" i="3"/>
  <c r="X35" i="3"/>
  <c r="BI18" i="3"/>
  <c r="BW18" i="3"/>
  <c r="BG18" i="3"/>
  <c r="BU18" i="3"/>
  <c r="BE18" i="3"/>
  <c r="BS18" i="3"/>
  <c r="BC18" i="3"/>
  <c r="BM18" i="3"/>
  <c r="BQ18" i="3"/>
  <c r="BO18" i="3"/>
  <c r="BK18" i="3"/>
  <c r="AY42" i="3"/>
  <c r="BW10" i="3"/>
  <c r="BG10" i="3"/>
  <c r="BU10" i="3"/>
  <c r="BC10" i="3"/>
  <c r="BS10" i="3"/>
  <c r="BE10" i="3"/>
  <c r="BK10" i="3"/>
  <c r="BQ10" i="3"/>
  <c r="BO10" i="3"/>
  <c r="BM10" i="3"/>
  <c r="BI10" i="3"/>
  <c r="K14" i="3"/>
  <c r="O22" i="4" s="1"/>
  <c r="G14" i="11"/>
  <c r="J381" i="21" s="1"/>
  <c r="T35" i="3"/>
  <c r="H15" i="3" s="1"/>
  <c r="BA2" i="3"/>
  <c r="P18" i="3" s="1"/>
  <c r="V19" i="11"/>
  <c r="AZ2" i="3"/>
  <c r="P10" i="3" s="1"/>
  <c r="BA3" i="3"/>
  <c r="P16" i="3" s="1"/>
  <c r="AY40" i="3"/>
  <c r="AY41" i="3"/>
  <c r="AY39" i="3"/>
  <c r="Z11" i="3"/>
  <c r="AB11" i="3"/>
  <c r="Z16" i="3"/>
  <c r="Z15" i="3"/>
  <c r="Z12" i="3"/>
  <c r="F51" i="3" s="1"/>
  <c r="W6" i="3"/>
  <c r="F44" i="3"/>
  <c r="H53" i="3"/>
  <c r="I25" i="21" s="1"/>
  <c r="AZ12" i="3"/>
  <c r="AZ11" i="3"/>
  <c r="AZ7" i="3"/>
  <c r="AY28" i="3"/>
  <c r="AY38" i="3"/>
  <c r="AY26" i="3"/>
  <c r="AY37" i="3"/>
  <c r="AY25" i="3"/>
  <c r="AY48" i="3" s="1"/>
  <c r="AY36" i="3"/>
  <c r="AY35" i="3"/>
  <c r="AY34" i="3"/>
  <c r="AY29" i="3"/>
  <c r="AY27" i="3"/>
  <c r="AY49" i="3" s="1"/>
  <c r="Z48" i="3"/>
  <c r="D12" i="11"/>
  <c r="C12" i="11"/>
  <c r="H384" i="21" s="1"/>
  <c r="A50" i="12" l="1"/>
  <c r="T79" i="12"/>
  <c r="F18" i="21"/>
  <c r="E19" i="21"/>
  <c r="H18" i="1"/>
  <c r="H3" i="10"/>
  <c r="AW23" i="10"/>
  <c r="AX22" i="10"/>
  <c r="G194" i="21"/>
  <c r="C47" i="1"/>
  <c r="E47" i="1"/>
  <c r="J406" i="21"/>
  <c r="H406" i="21"/>
  <c r="F19" i="11"/>
  <c r="F5" i="10"/>
  <c r="G18" i="1" s="1"/>
  <c r="F53" i="3"/>
  <c r="C13" i="11"/>
  <c r="H14" i="3"/>
  <c r="H13" i="3" s="1"/>
  <c r="AR125" i="20"/>
  <c r="S33" i="8"/>
  <c r="DK49" i="17"/>
  <c r="D13" i="11"/>
  <c r="P14" i="3"/>
  <c r="V12" i="11"/>
  <c r="X12" i="11"/>
  <c r="AY47" i="3"/>
  <c r="F35" i="3" s="1"/>
  <c r="BA7" i="3"/>
  <c r="P20" i="3"/>
  <c r="BA11" i="3"/>
  <c r="BA12" i="3"/>
  <c r="Z46" i="3"/>
  <c r="Z47" i="3"/>
  <c r="Z44" i="3"/>
  <c r="Z45" i="3"/>
  <c r="X3" i="15"/>
  <c r="D42" i="15" s="1"/>
  <c r="H27" i="3"/>
  <c r="I24" i="21" s="1"/>
  <c r="Z37" i="3"/>
  <c r="Z41" i="3"/>
  <c r="Z26" i="3"/>
  <c r="Z31" i="3"/>
  <c r="K47" i="3" s="1"/>
  <c r="W11" i="3"/>
  <c r="K25" i="3"/>
  <c r="AT26" i="3"/>
  <c r="AT34" i="3"/>
  <c r="AT38" i="3"/>
  <c r="AT29" i="3"/>
  <c r="AT27" i="3"/>
  <c r="AT37" i="3"/>
  <c r="AT28" i="3"/>
  <c r="AT36" i="3"/>
  <c r="AT25" i="3"/>
  <c r="AT35" i="3"/>
  <c r="K42" i="3"/>
  <c r="F12" i="11" l="1"/>
  <c r="F19" i="21"/>
  <c r="E20" i="21"/>
  <c r="G195" i="21"/>
  <c r="G196" i="21"/>
  <c r="G197" i="21" s="1"/>
  <c r="AW24" i="10"/>
  <c r="AX23" i="10"/>
  <c r="H379" i="21"/>
  <c r="G379" i="21" s="1"/>
  <c r="T19" i="6"/>
  <c r="G198" i="21"/>
  <c r="D48" i="1"/>
  <c r="A47" i="1"/>
  <c r="H417" i="21" s="1"/>
  <c r="G19" i="11"/>
  <c r="J386" i="21" s="1"/>
  <c r="H386" i="21"/>
  <c r="T100" i="3"/>
  <c r="F13" i="3"/>
  <c r="I19" i="21"/>
  <c r="V13" i="11"/>
  <c r="H9" i="1"/>
  <c r="AF48" i="3"/>
  <c r="X13" i="11"/>
  <c r="U48" i="3"/>
  <c r="AT48" i="3"/>
  <c r="AT49" i="3"/>
  <c r="O13" i="4"/>
  <c r="J399" i="21" s="1"/>
  <c r="F27" i="3"/>
  <c r="AM47" i="3"/>
  <c r="AM48" i="3"/>
  <c r="AM45" i="3"/>
  <c r="AM46" i="3"/>
  <c r="AI46" i="3"/>
  <c r="AM43" i="3"/>
  <c r="AI47" i="3"/>
  <c r="AI48" i="3"/>
  <c r="AI45" i="3"/>
  <c r="AI43" i="3"/>
  <c r="U47" i="3"/>
  <c r="U46" i="3"/>
  <c r="U45" i="3"/>
  <c r="U52" i="3" s="1"/>
  <c r="U25" i="3"/>
  <c r="U44" i="3"/>
  <c r="AL48" i="3"/>
  <c r="AM41" i="3"/>
  <c r="AM37" i="3"/>
  <c r="AM42" i="3"/>
  <c r="AM32" i="3"/>
  <c r="AM26" i="3"/>
  <c r="AI41" i="3"/>
  <c r="AI32" i="3"/>
  <c r="AI37" i="3"/>
  <c r="AI42" i="3"/>
  <c r="AI26" i="3"/>
  <c r="K28" i="3" s="1"/>
  <c r="S66" i="3" s="1"/>
  <c r="H34" i="3"/>
  <c r="I22" i="21" s="1"/>
  <c r="U43" i="3"/>
  <c r="U42" i="3"/>
  <c r="U41" i="3"/>
  <c r="U40" i="3"/>
  <c r="U37" i="3"/>
  <c r="U38" i="3"/>
  <c r="U39" i="3"/>
  <c r="U36" i="3"/>
  <c r="U30" i="3"/>
  <c r="F13" i="11" l="1"/>
  <c r="H380" i="21" s="1"/>
  <c r="G380" i="21" s="1"/>
  <c r="E21" i="21"/>
  <c r="F20" i="21"/>
  <c r="G203" i="21"/>
  <c r="L3" i="1"/>
  <c r="K6" i="5" s="1"/>
  <c r="K3" i="3"/>
  <c r="AW25" i="10"/>
  <c r="AX24" i="10"/>
  <c r="A6" i="6"/>
  <c r="W2" i="6"/>
  <c r="S2" i="6"/>
  <c r="C48" i="1"/>
  <c r="E48" i="1"/>
  <c r="H399" i="21"/>
  <c r="G12" i="11"/>
  <c r="J379" i="21" s="1"/>
  <c r="O26" i="4"/>
  <c r="G9" i="1"/>
  <c r="AT47" i="3"/>
  <c r="F21" i="3" s="1"/>
  <c r="J21" i="21" s="1"/>
  <c r="I10" i="1"/>
  <c r="F34" i="3"/>
  <c r="J22" i="21" s="1"/>
  <c r="O12" i="4"/>
  <c r="AL46" i="3"/>
  <c r="AL47" i="3"/>
  <c r="AL45" i="3"/>
  <c r="AL44" i="3"/>
  <c r="AF46" i="3"/>
  <c r="AF47" i="3"/>
  <c r="AF40" i="3"/>
  <c r="AF45" i="3"/>
  <c r="AF44" i="3"/>
  <c r="AF42" i="3"/>
  <c r="AE52" i="3" s="1"/>
  <c r="AF41" i="3"/>
  <c r="AF25" i="3"/>
  <c r="AF43" i="3"/>
  <c r="AF27" i="3"/>
  <c r="AF26" i="3"/>
  <c r="AF36" i="3"/>
  <c r="AF28" i="3"/>
  <c r="AF37" i="3"/>
  <c r="AF29" i="3"/>
  <c r="AF38" i="3"/>
  <c r="AF39" i="3"/>
  <c r="AL40" i="3"/>
  <c r="AL26" i="3"/>
  <c r="AL39" i="3"/>
  <c r="AL25" i="3"/>
  <c r="AL52" i="3" s="1"/>
  <c r="AL51" i="3" s="1"/>
  <c r="F54" i="3" s="1"/>
  <c r="J25" i="21" s="1"/>
  <c r="AL38" i="3"/>
  <c r="AL37" i="3"/>
  <c r="AL36" i="3"/>
  <c r="AL43" i="3"/>
  <c r="AL29" i="3"/>
  <c r="AL42" i="3"/>
  <c r="AL28" i="3"/>
  <c r="AL41" i="3"/>
  <c r="AL27" i="3"/>
  <c r="U27" i="3"/>
  <c r="U26" i="3"/>
  <c r="U50" i="3" s="1"/>
  <c r="U28" i="3"/>
  <c r="U29" i="3"/>
  <c r="G13" i="11" l="1"/>
  <c r="J380" i="21" s="1"/>
  <c r="G204" i="21"/>
  <c r="G205" i="21" s="1"/>
  <c r="G206" i="21" s="1"/>
  <c r="E22" i="21"/>
  <c r="F21" i="21"/>
  <c r="AX25" i="10"/>
  <c r="AW26" i="10"/>
  <c r="B9" i="6"/>
  <c r="S11" i="6"/>
  <c r="T44" i="6" s="1"/>
  <c r="H9" i="6"/>
  <c r="F9" i="6"/>
  <c r="D49" i="1"/>
  <c r="A48" i="1"/>
  <c r="H418" i="21" s="1"/>
  <c r="O23" i="4"/>
  <c r="J407" i="21" s="1"/>
  <c r="J398" i="21"/>
  <c r="H398" i="21"/>
  <c r="G381" i="21"/>
  <c r="K6" i="13"/>
  <c r="Q6" i="19"/>
  <c r="AE51" i="3"/>
  <c r="F28" i="3" s="1"/>
  <c r="U49" i="3"/>
  <c r="F15" i="3" s="1"/>
  <c r="F14" i="3" s="1"/>
  <c r="F12" i="3" s="1"/>
  <c r="J19" i="21" s="1"/>
  <c r="K6" i="12"/>
  <c r="K6" i="15"/>
  <c r="K6" i="8"/>
  <c r="K6" i="4"/>
  <c r="O6" i="11"/>
  <c r="K6" i="16"/>
  <c r="K6" i="10"/>
  <c r="K6" i="6"/>
  <c r="K6" i="2"/>
  <c r="K6" i="3"/>
  <c r="BY4" i="17"/>
  <c r="BZ4" i="17" s="1"/>
  <c r="CA4" i="17" s="1"/>
  <c r="CB4" i="17" s="1"/>
  <c r="CC4" i="17" s="1"/>
  <c r="CD4" i="17" s="1"/>
  <c r="CE4" i="17" s="1"/>
  <c r="CF4" i="17" s="1"/>
  <c r="CG4" i="17" s="1"/>
  <c r="CH4" i="17" s="1"/>
  <c r="CI4" i="17" s="1"/>
  <c r="CJ4" i="17" s="1"/>
  <c r="CK4" i="17" s="1"/>
  <c r="CL4" i="17" s="1"/>
  <c r="CM4" i="17" s="1"/>
  <c r="CN4" i="17" s="1"/>
  <c r="CO4" i="17" s="1"/>
  <c r="CP4" i="17" s="1"/>
  <c r="CQ4" i="17" s="1"/>
  <c r="CR4" i="17" s="1"/>
  <c r="CS4" i="17" s="1"/>
  <c r="CT4" i="17" s="1"/>
  <c r="CU4" i="17" s="1"/>
  <c r="CV4" i="17" s="1"/>
  <c r="CW4" i="17" s="1"/>
  <c r="CX4" i="17" s="1"/>
  <c r="CY4" i="17" s="1"/>
  <c r="CZ4" i="17" s="1"/>
  <c r="DA4" i="17" s="1"/>
  <c r="DB4" i="17" s="1"/>
  <c r="DC4" i="17" s="1"/>
  <c r="DD4" i="17" s="1"/>
  <c r="DE4" i="17" s="1"/>
  <c r="DF4" i="17" s="1"/>
  <c r="DG4" i="17" s="1"/>
  <c r="DH4" i="17" s="1"/>
  <c r="DI4" i="17" s="1"/>
  <c r="DJ4" i="17" s="1"/>
  <c r="DK4" i="17" s="1"/>
  <c r="DL4" i="17" s="1"/>
  <c r="DM4" i="17" s="1"/>
  <c r="DN4" i="17" s="1"/>
  <c r="DO4" i="17" s="1"/>
  <c r="DP4" i="17" s="1"/>
  <c r="G207" i="21" l="1"/>
  <c r="G208" i="21" s="1"/>
  <c r="F22" i="21"/>
  <c r="E23" i="21"/>
  <c r="AW27" i="10"/>
  <c r="AX26" i="10"/>
  <c r="U13" i="6"/>
  <c r="F10" i="6" s="1"/>
  <c r="J43" i="21" s="1"/>
  <c r="J42" i="21"/>
  <c r="T42" i="6"/>
  <c r="I42" i="21"/>
  <c r="S17" i="6"/>
  <c r="U75" i="12" s="1"/>
  <c r="C49" i="1"/>
  <c r="E49" i="1"/>
  <c r="F26" i="3"/>
  <c r="J24" i="21" s="1"/>
  <c r="G213" i="21" l="1"/>
  <c r="G215" i="21" s="1"/>
  <c r="A46" i="12"/>
  <c r="T75" i="12"/>
  <c r="H3" i="6"/>
  <c r="F23" i="21"/>
  <c r="E24" i="21"/>
  <c r="AW28" i="10"/>
  <c r="AX27" i="10"/>
  <c r="F5" i="6"/>
  <c r="G13" i="1" s="1"/>
  <c r="T43" i="6"/>
  <c r="T37" i="6" s="1"/>
  <c r="H461" i="21" s="1"/>
  <c r="G461" i="21" s="1"/>
  <c r="H13" i="1"/>
  <c r="D50" i="1"/>
  <c r="A49" i="1"/>
  <c r="H419" i="21" s="1"/>
  <c r="U100" i="3"/>
  <c r="F9" i="12"/>
  <c r="F7" i="12" s="1"/>
  <c r="G218" i="21" l="1"/>
  <c r="G219" i="21" s="1"/>
  <c r="F24" i="21"/>
  <c r="E25" i="21"/>
  <c r="AW29" i="10"/>
  <c r="AX28" i="10"/>
  <c r="C50" i="1"/>
  <c r="E50" i="1"/>
  <c r="B26" i="1"/>
  <c r="J374" i="21" s="1"/>
  <c r="O27" i="4"/>
  <c r="O29" i="4"/>
  <c r="O28" i="4"/>
  <c r="H47" i="3"/>
  <c r="I20" i="21" s="1"/>
  <c r="G220" i="21" l="1"/>
  <c r="F25" i="21"/>
  <c r="E26" i="21"/>
  <c r="AX29" i="10"/>
  <c r="AW30" i="10"/>
  <c r="D51" i="1"/>
  <c r="A50" i="1"/>
  <c r="H420" i="21" s="1"/>
  <c r="T90" i="3"/>
  <c r="U70" i="3"/>
  <c r="F42" i="3" s="1"/>
  <c r="S63" i="3"/>
  <c r="U74" i="12" l="1"/>
  <c r="F26" i="21"/>
  <c r="E27" i="21"/>
  <c r="T73" i="3"/>
  <c r="T82" i="3" s="1"/>
  <c r="H3" i="3"/>
  <c r="AW31" i="10"/>
  <c r="AX30" i="10"/>
  <c r="F46" i="3"/>
  <c r="Y26" i="3" s="1"/>
  <c r="C51" i="1"/>
  <c r="E51" i="1"/>
  <c r="H10" i="1"/>
  <c r="Y45" i="3"/>
  <c r="Y50" i="3"/>
  <c r="Y49" i="3" s="1"/>
  <c r="F47" i="3" s="1"/>
  <c r="Y46" i="3"/>
  <c r="Y48" i="3"/>
  <c r="Y47" i="3"/>
  <c r="A45" i="12" l="1"/>
  <c r="T74" i="12"/>
  <c r="E28" i="21"/>
  <c r="F27" i="21"/>
  <c r="J20" i="21"/>
  <c r="T74" i="3"/>
  <c r="T72" i="3" s="1"/>
  <c r="H458" i="21" s="1"/>
  <c r="G458" i="21" s="1"/>
  <c r="AW32" i="10"/>
  <c r="AX31" i="10"/>
  <c r="Y44" i="3"/>
  <c r="Y43" i="3"/>
  <c r="Y42" i="3"/>
  <c r="Y41" i="3"/>
  <c r="Y40" i="3"/>
  <c r="Y39" i="3"/>
  <c r="Y25" i="3"/>
  <c r="Y38" i="3"/>
  <c r="Y37" i="3"/>
  <c r="Y36" i="3"/>
  <c r="Y30" i="3"/>
  <c r="Y29" i="3"/>
  <c r="Y28" i="3"/>
  <c r="Y27" i="3"/>
  <c r="D52" i="1"/>
  <c r="A51" i="1"/>
  <c r="H421" i="21" s="1"/>
  <c r="U90" i="3"/>
  <c r="F5" i="3"/>
  <c r="G2" i="1" s="1"/>
  <c r="B24" i="1" s="1"/>
  <c r="F28" i="21" l="1"/>
  <c r="E29" i="21"/>
  <c r="AW33" i="10"/>
  <c r="AX32" i="10"/>
  <c r="C52" i="1"/>
  <c r="E52" i="1"/>
  <c r="J371" i="21"/>
  <c r="B25" i="1"/>
  <c r="G10" i="1"/>
  <c r="L2" i="19"/>
  <c r="F2" i="4"/>
  <c r="F2" i="8"/>
  <c r="G2" i="11"/>
  <c r="F2" i="12"/>
  <c r="F2" i="6"/>
  <c r="F2" i="10"/>
  <c r="F2" i="7"/>
  <c r="F2" i="15"/>
  <c r="F2" i="16"/>
  <c r="F2" i="3"/>
  <c r="F2" i="2"/>
  <c r="F2" i="13"/>
  <c r="F2" i="5"/>
  <c r="Y23" i="7"/>
  <c r="Y20" i="7" s="1"/>
  <c r="H462" i="21" s="1"/>
  <c r="G462" i="21" s="1"/>
  <c r="X8" i="11"/>
  <c r="D16" i="11" s="1"/>
  <c r="E30" i="21" l="1"/>
  <c r="F29" i="21"/>
  <c r="AX33" i="10"/>
  <c r="AW34" i="10"/>
  <c r="D53" i="1"/>
  <c r="A52" i="1"/>
  <c r="H422" i="21" s="1"/>
  <c r="J372" i="21"/>
  <c r="J373" i="21"/>
  <c r="X16" i="11"/>
  <c r="C16" i="11"/>
  <c r="C26" i="11" s="1"/>
  <c r="V26" i="11" s="1"/>
  <c r="F30" i="21" l="1"/>
  <c r="E31" i="21"/>
  <c r="AW35" i="10"/>
  <c r="AX34" i="10"/>
  <c r="C53" i="1"/>
  <c r="E53" i="1"/>
  <c r="G27" i="11"/>
  <c r="J394" i="21" s="1"/>
  <c r="G28" i="11"/>
  <c r="J395" i="21" s="1"/>
  <c r="V16" i="11"/>
  <c r="D26" i="11"/>
  <c r="X26" i="11" s="1"/>
  <c r="F26" i="11" s="1"/>
  <c r="H393" i="21" s="1"/>
  <c r="C15" i="11"/>
  <c r="V15" i="11" s="1"/>
  <c r="E32" i="21" l="1"/>
  <c r="F31" i="21"/>
  <c r="AW36" i="10"/>
  <c r="AX35" i="10"/>
  <c r="D54" i="1"/>
  <c r="A53" i="1"/>
  <c r="H423" i="21" s="1"/>
  <c r="F16" i="11"/>
  <c r="G26" i="11"/>
  <c r="J393" i="21" s="1"/>
  <c r="D15" i="11"/>
  <c r="X15" i="11" s="1"/>
  <c r="F15" i="11" s="1"/>
  <c r="H382" i="21" s="1"/>
  <c r="G382" i="21" s="1"/>
  <c r="F32" i="21" l="1"/>
  <c r="E33" i="21"/>
  <c r="AW37" i="10"/>
  <c r="AX36" i="10"/>
  <c r="C54" i="1"/>
  <c r="E54" i="1"/>
  <c r="V31" i="11"/>
  <c r="G16" i="11"/>
  <c r="J383" i="21" s="1"/>
  <c r="H383" i="21"/>
  <c r="G15" i="11"/>
  <c r="E5" i="11"/>
  <c r="F33" i="21" l="1"/>
  <c r="E34" i="21"/>
  <c r="B6" i="12"/>
  <c r="T64" i="12" s="1"/>
  <c r="AX37" i="10"/>
  <c r="AW38" i="10"/>
  <c r="D55" i="1"/>
  <c r="A54" i="1"/>
  <c r="H424" i="21" s="1"/>
  <c r="G383" i="21"/>
  <c r="G32" i="11"/>
  <c r="J382" i="21"/>
  <c r="DI97" i="20"/>
  <c r="DI3" i="20"/>
  <c r="DI124" i="20"/>
  <c r="T50" i="12"/>
  <c r="T51" i="12" s="1"/>
  <c r="DI3" i="17"/>
  <c r="E35" i="21" l="1"/>
  <c r="F34" i="21"/>
  <c r="AW39" i="10"/>
  <c r="AX38" i="10"/>
  <c r="C55" i="1"/>
  <c r="E55" i="1"/>
  <c r="G384" i="21"/>
  <c r="B27" i="1"/>
  <c r="J375" i="21" s="1"/>
  <c r="U39" i="12"/>
  <c r="T39" i="12" s="1"/>
  <c r="E36" i="21" l="1"/>
  <c r="F35" i="21"/>
  <c r="AW40" i="10"/>
  <c r="AX39" i="10"/>
  <c r="D56" i="1"/>
  <c r="A55" i="1"/>
  <c r="H425" i="21" s="1"/>
  <c r="G385" i="21"/>
  <c r="G386" i="21" s="1"/>
  <c r="B29" i="1"/>
  <c r="J376" i="21" s="1"/>
  <c r="E37" i="21" l="1"/>
  <c r="F36" i="21"/>
  <c r="AW41" i="10"/>
  <c r="AX40" i="10"/>
  <c r="C56" i="1"/>
  <c r="E56" i="1"/>
  <c r="G387" i="21"/>
  <c r="F37" i="21" l="1"/>
  <c r="E38" i="21"/>
  <c r="AX41" i="10"/>
  <c r="AW42" i="10"/>
  <c r="D57" i="1"/>
  <c r="A56" i="1"/>
  <c r="H426" i="21" s="1"/>
  <c r="G388" i="21"/>
  <c r="E39" i="21" l="1"/>
  <c r="F38" i="21"/>
  <c r="AW43" i="10"/>
  <c r="AX42" i="10"/>
  <c r="C57" i="1"/>
  <c r="A57" i="1" s="1"/>
  <c r="H427" i="21" s="1"/>
  <c r="E57" i="1"/>
  <c r="G389" i="21"/>
  <c r="G390" i="21" s="1"/>
  <c r="E40" i="21" l="1"/>
  <c r="F39" i="21"/>
  <c r="AW44" i="10"/>
  <c r="AX43" i="10"/>
  <c r="G391" i="21"/>
  <c r="F40" i="21" l="1"/>
  <c r="E41" i="21"/>
  <c r="AW45" i="10"/>
  <c r="AX44" i="10"/>
  <c r="G392" i="21"/>
  <c r="F41" i="21" l="1"/>
  <c r="E42" i="21"/>
  <c r="AX45" i="10"/>
  <c r="AW46" i="10"/>
  <c r="G393" i="21"/>
  <c r="G394" i="21" s="1"/>
  <c r="F42" i="21" l="1"/>
  <c r="E43" i="21"/>
  <c r="AW47" i="10"/>
  <c r="AX46" i="10"/>
  <c r="G395" i="21"/>
  <c r="F43" i="21" l="1"/>
  <c r="E44" i="21"/>
  <c r="AW48" i="10"/>
  <c r="AX47" i="10"/>
  <c r="E45" i="21" l="1"/>
  <c r="F44" i="21"/>
  <c r="AW49" i="10"/>
  <c r="AX48" i="10"/>
  <c r="E46" i="21" l="1"/>
  <c r="F45" i="21"/>
  <c r="AW50" i="10"/>
  <c r="AX49" i="10"/>
  <c r="F46" i="21" l="1"/>
  <c r="E47" i="21"/>
  <c r="AW51" i="10"/>
  <c r="AX50" i="10"/>
  <c r="F47" i="21" l="1"/>
  <c r="E48" i="21"/>
  <c r="AW52" i="10"/>
  <c r="AX51" i="10"/>
  <c r="E49" i="21" l="1"/>
  <c r="F48" i="21"/>
  <c r="AW53" i="10"/>
  <c r="AX52" i="10"/>
  <c r="A4" i="21"/>
  <c r="B4" i="21"/>
  <c r="D4" i="21"/>
  <c r="C4" i="21"/>
  <c r="E50" i="21" l="1"/>
  <c r="F49" i="21"/>
  <c r="AX53" i="10"/>
  <c r="AW54" i="10"/>
  <c r="E51" i="21" l="1"/>
  <c r="F50" i="21"/>
  <c r="AW55" i="10"/>
  <c r="AX54" i="10"/>
  <c r="F51" i="21" l="1"/>
  <c r="E52" i="21"/>
  <c r="AW56" i="10"/>
  <c r="AX55" i="10"/>
  <c r="E53" i="21" l="1"/>
  <c r="F52" i="21"/>
  <c r="AW57" i="10"/>
  <c r="AX56" i="10"/>
  <c r="E54" i="21" l="1"/>
  <c r="F53" i="21"/>
  <c r="AX57" i="10"/>
  <c r="AW58" i="10"/>
  <c r="E55" i="21" l="1"/>
  <c r="F54" i="21"/>
  <c r="AW59" i="10"/>
  <c r="AX58" i="10"/>
  <c r="E56" i="21" l="1"/>
  <c r="F55" i="21"/>
  <c r="AW60" i="10"/>
  <c r="AX59" i="10"/>
  <c r="F56" i="21" l="1"/>
  <c r="E57" i="21"/>
  <c r="AW61" i="10"/>
  <c r="AX60" i="10"/>
  <c r="F57" i="21" l="1"/>
  <c r="E58" i="21"/>
  <c r="AX61" i="10"/>
  <c r="AW62" i="10"/>
  <c r="F58" i="21" l="1"/>
  <c r="E59" i="21"/>
  <c r="AW63" i="10"/>
  <c r="AX62" i="10"/>
  <c r="E60" i="21" l="1"/>
  <c r="F59" i="21"/>
  <c r="AW64" i="10"/>
  <c r="AX63" i="10"/>
  <c r="E61" i="21" l="1"/>
  <c r="F60" i="21"/>
  <c r="AW65" i="10"/>
  <c r="AX64" i="10"/>
  <c r="E62" i="21" l="1"/>
  <c r="F61" i="21"/>
  <c r="AX65" i="10"/>
  <c r="AW66" i="10"/>
  <c r="E63" i="21" l="1"/>
  <c r="F62" i="21"/>
  <c r="AW67" i="10"/>
  <c r="AX66" i="10"/>
  <c r="E64" i="21" l="1"/>
  <c r="F63" i="21"/>
  <c r="AW68" i="10"/>
  <c r="AX67" i="10"/>
  <c r="E65" i="21" l="1"/>
  <c r="F64" i="21"/>
  <c r="AW69" i="10"/>
  <c r="AX68" i="10"/>
  <c r="E66" i="21" l="1"/>
  <c r="F65" i="21"/>
  <c r="AX69" i="10"/>
  <c r="AW70" i="10"/>
  <c r="F66" i="21" l="1"/>
  <c r="E67" i="21"/>
  <c r="AW71" i="10"/>
  <c r="AX70" i="10"/>
  <c r="E68" i="21" l="1"/>
  <c r="F67" i="21"/>
  <c r="AW72" i="10"/>
  <c r="AX71" i="10"/>
  <c r="F68" i="21" l="1"/>
  <c r="E69" i="21"/>
  <c r="AW73" i="10"/>
  <c r="AX72" i="10"/>
  <c r="E70" i="21" l="1"/>
  <c r="F69" i="21"/>
  <c r="AX73" i="10"/>
  <c r="AW74" i="10"/>
  <c r="E71" i="21" l="1"/>
  <c r="F70" i="21"/>
  <c r="AW75" i="10"/>
  <c r="AX74" i="10"/>
  <c r="E72" i="21" l="1"/>
  <c r="F71" i="21"/>
  <c r="AW76" i="10"/>
  <c r="AX75" i="10"/>
  <c r="E73" i="21" l="1"/>
  <c r="F72" i="21"/>
  <c r="AW77" i="10"/>
  <c r="AX76" i="10"/>
  <c r="F73" i="21" l="1"/>
  <c r="E74" i="21"/>
  <c r="AW78" i="10"/>
  <c r="AX77" i="10"/>
  <c r="E75" i="21" l="1"/>
  <c r="F74" i="21"/>
  <c r="AW79" i="10"/>
  <c r="AX78" i="10"/>
  <c r="E76" i="21" l="1"/>
  <c r="F75" i="21"/>
  <c r="AW80" i="10"/>
  <c r="AX79" i="10"/>
  <c r="E77" i="21" l="1"/>
  <c r="F76" i="21"/>
  <c r="AW81" i="10"/>
  <c r="AX80" i="10"/>
  <c r="E78" i="21" l="1"/>
  <c r="F77" i="21"/>
  <c r="AX81" i="10"/>
  <c r="AW82" i="10"/>
  <c r="F78" i="21" l="1"/>
  <c r="E79" i="21"/>
  <c r="AW83" i="10"/>
  <c r="AX82" i="10"/>
  <c r="E80" i="21" l="1"/>
  <c r="F79" i="21"/>
  <c r="AW84" i="10"/>
  <c r="AX83" i="10"/>
  <c r="F80" i="21" l="1"/>
  <c r="E81" i="21"/>
  <c r="AW85" i="10"/>
  <c r="AX84" i="10"/>
  <c r="E82" i="21" l="1"/>
  <c r="F81" i="21"/>
  <c r="AX85" i="10"/>
  <c r="AW86" i="10"/>
  <c r="E83" i="21" l="1"/>
  <c r="F82" i="21"/>
  <c r="AW87" i="10"/>
  <c r="AX86" i="10"/>
  <c r="E84" i="21" l="1"/>
  <c r="F83" i="21"/>
  <c r="AW88" i="10"/>
  <c r="AX87" i="10"/>
  <c r="F84" i="21" l="1"/>
  <c r="E85" i="21"/>
  <c r="AW89" i="10"/>
  <c r="AX88" i="10"/>
  <c r="E86" i="21" l="1"/>
  <c r="F85" i="21"/>
  <c r="AX89" i="10"/>
  <c r="AW90" i="10"/>
  <c r="F86" i="21" l="1"/>
  <c r="E87" i="21"/>
  <c r="AW91" i="10"/>
  <c r="AX90" i="10"/>
  <c r="E88" i="21" l="1"/>
  <c r="F87" i="21"/>
  <c r="AW92" i="10"/>
  <c r="AX91" i="10"/>
  <c r="F88" i="21" l="1"/>
  <c r="E89" i="21"/>
  <c r="AW93" i="10"/>
  <c r="AX92" i="10"/>
  <c r="E90" i="21" l="1"/>
  <c r="F89" i="21"/>
  <c r="AX93" i="10"/>
  <c r="AW94" i="10"/>
  <c r="E91" i="21" l="1"/>
  <c r="F90" i="21"/>
  <c r="AW95" i="10"/>
  <c r="AX94" i="10"/>
  <c r="F91" i="21" l="1"/>
  <c r="E92" i="21"/>
  <c r="AW96" i="10"/>
  <c r="AX95" i="10"/>
  <c r="E93" i="21" l="1"/>
  <c r="F92" i="21"/>
  <c r="AW97" i="10"/>
  <c r="AX96" i="10"/>
  <c r="E94" i="21" l="1"/>
  <c r="F93" i="21"/>
  <c r="AX97" i="10"/>
  <c r="AW98" i="10"/>
  <c r="F94" i="21" l="1"/>
  <c r="E95" i="21"/>
  <c r="AW99" i="10"/>
  <c r="AX98" i="10"/>
  <c r="F95" i="21" l="1"/>
  <c r="E96" i="21"/>
  <c r="AW100" i="10"/>
  <c r="AX99" i="10"/>
  <c r="F96" i="21" l="1"/>
  <c r="E97" i="21"/>
  <c r="AW101" i="10"/>
  <c r="AX100" i="10"/>
  <c r="E98" i="21" l="1"/>
  <c r="F97" i="21"/>
  <c r="AW102" i="10"/>
  <c r="AX101" i="10"/>
  <c r="E99" i="21" l="1"/>
  <c r="F98" i="21"/>
  <c r="AW103" i="10"/>
  <c r="AX102" i="10"/>
  <c r="E100" i="21" l="1"/>
  <c r="F99" i="21"/>
  <c r="AW104" i="10"/>
  <c r="AX103" i="10"/>
  <c r="E101" i="21" l="1"/>
  <c r="F100" i="21"/>
  <c r="AW105" i="10"/>
  <c r="AX104" i="10"/>
  <c r="E102" i="21" l="1"/>
  <c r="F101" i="21"/>
  <c r="AX105" i="10"/>
  <c r="AW106" i="10"/>
  <c r="E103" i="21" l="1"/>
  <c r="F102" i="21"/>
  <c r="AW107" i="10"/>
  <c r="AX106" i="10"/>
  <c r="E104" i="21" l="1"/>
  <c r="F103" i="21"/>
  <c r="AW108" i="10"/>
  <c r="AX107" i="10"/>
  <c r="E105" i="21" l="1"/>
  <c r="F104" i="21"/>
  <c r="AW109" i="10"/>
  <c r="AX108" i="10"/>
  <c r="E106" i="21" l="1"/>
  <c r="F105" i="21"/>
  <c r="AX109" i="10"/>
  <c r="AW110" i="10"/>
  <c r="F106" i="21" l="1"/>
  <c r="E107" i="21"/>
  <c r="AW111" i="10"/>
  <c r="AX110" i="10"/>
  <c r="F107" i="21" l="1"/>
  <c r="E108" i="21"/>
  <c r="AW112" i="10"/>
  <c r="AX111" i="10"/>
  <c r="F108" i="21" l="1"/>
  <c r="E109" i="21"/>
  <c r="AW113" i="10"/>
  <c r="AX112" i="10"/>
  <c r="F109" i="21" l="1"/>
  <c r="E110" i="21"/>
  <c r="AX113" i="10"/>
  <c r="AW114" i="10"/>
  <c r="E111" i="21" l="1"/>
  <c r="F110" i="21"/>
  <c r="AW115" i="10"/>
  <c r="AX114" i="10"/>
  <c r="F111" i="21" l="1"/>
  <c r="E112" i="21"/>
  <c r="AW116" i="10"/>
  <c r="AX115" i="10"/>
  <c r="E113" i="21" l="1"/>
  <c r="F112" i="21"/>
  <c r="AW117" i="10"/>
  <c r="AX116" i="10"/>
  <c r="E114" i="21" l="1"/>
  <c r="F113" i="21"/>
  <c r="AX117" i="10"/>
  <c r="AW118" i="10"/>
  <c r="E115" i="21" l="1"/>
  <c r="F114" i="21"/>
  <c r="AW119" i="10"/>
  <c r="AX118" i="10"/>
  <c r="E116" i="21" l="1"/>
  <c r="F115" i="21"/>
  <c r="AW120" i="10"/>
  <c r="AX119" i="10"/>
  <c r="F116" i="21" l="1"/>
  <c r="E117" i="21"/>
  <c r="AW121" i="10"/>
  <c r="AX120" i="10"/>
  <c r="E118" i="21" l="1"/>
  <c r="F117" i="21"/>
  <c r="AX121" i="10"/>
  <c r="AW122" i="10"/>
  <c r="F118" i="21" l="1"/>
  <c r="E119" i="21"/>
  <c r="AW123" i="10"/>
  <c r="AX122" i="10"/>
  <c r="F119" i="21" l="1"/>
  <c r="E120" i="21"/>
  <c r="AW124" i="10"/>
  <c r="AX123" i="10"/>
  <c r="F120" i="21" l="1"/>
  <c r="E121" i="21"/>
  <c r="AW125" i="10"/>
  <c r="AX124" i="10"/>
  <c r="E122" i="21" l="1"/>
  <c r="F121" i="21"/>
  <c r="AX125" i="10"/>
  <c r="AW126" i="10"/>
  <c r="E123" i="21" l="1"/>
  <c r="F122" i="21"/>
  <c r="AW127" i="10"/>
  <c r="AX126" i="10"/>
  <c r="E124" i="21" l="1"/>
  <c r="F123" i="21"/>
  <c r="AW128" i="10"/>
  <c r="AX127" i="10"/>
  <c r="F124" i="21" l="1"/>
  <c r="E125" i="21"/>
  <c r="AW129" i="10"/>
  <c r="AX128" i="10"/>
  <c r="F125" i="21" l="1"/>
  <c r="E126" i="21"/>
  <c r="AX129" i="10"/>
  <c r="AW130" i="10"/>
  <c r="E127" i="21" l="1"/>
  <c r="F126" i="21"/>
  <c r="AW131" i="10"/>
  <c r="AX130" i="10"/>
  <c r="F127" i="21" l="1"/>
  <c r="E128" i="21"/>
  <c r="AW132" i="10"/>
  <c r="AX131" i="10"/>
  <c r="F128" i="21" l="1"/>
  <c r="E129" i="21"/>
  <c r="AW133" i="10"/>
  <c r="AX132" i="10"/>
  <c r="F129" i="21" l="1"/>
  <c r="E130" i="21"/>
  <c r="AX133" i="10"/>
  <c r="AW134" i="10"/>
  <c r="E131" i="21" l="1"/>
  <c r="F130" i="21"/>
  <c r="AW135" i="10"/>
  <c r="AX134" i="10"/>
  <c r="F131" i="21" l="1"/>
  <c r="E132" i="21"/>
  <c r="AW136" i="10"/>
  <c r="AX135" i="10"/>
  <c r="F132" i="21" l="1"/>
  <c r="E133" i="21"/>
  <c r="AW137" i="10"/>
  <c r="AX136" i="10"/>
  <c r="E134" i="21" l="1"/>
  <c r="F133" i="21"/>
  <c r="AW138" i="10"/>
  <c r="AX137" i="10"/>
  <c r="F134" i="21" l="1"/>
  <c r="E135" i="21"/>
  <c r="AW139" i="10"/>
  <c r="AX138" i="10"/>
  <c r="F135" i="21" l="1"/>
  <c r="E136" i="21"/>
  <c r="AW140" i="10"/>
  <c r="AX139" i="10"/>
  <c r="E137" i="21" l="1"/>
  <c r="F136" i="21"/>
  <c r="AW141" i="10"/>
  <c r="AX140" i="10"/>
  <c r="F137" i="21" l="1"/>
  <c r="E138" i="21"/>
  <c r="AX141" i="10"/>
  <c r="AW142" i="10"/>
  <c r="F138" i="21" l="1"/>
  <c r="E139" i="21"/>
  <c r="AW143" i="10"/>
  <c r="AX142" i="10"/>
  <c r="E140" i="21" l="1"/>
  <c r="F139" i="21"/>
  <c r="AW144" i="10"/>
  <c r="AX143" i="10"/>
  <c r="F140" i="21" l="1"/>
  <c r="E141" i="21"/>
  <c r="AW145" i="10"/>
  <c r="AX144" i="10"/>
  <c r="E142" i="21" l="1"/>
  <c r="F141" i="21"/>
  <c r="AW146" i="10"/>
  <c r="AX145" i="10"/>
  <c r="E143" i="21" l="1"/>
  <c r="F142" i="21"/>
  <c r="AX146" i="10"/>
  <c r="AW147" i="10"/>
  <c r="E144" i="21" l="1"/>
  <c r="F143" i="21"/>
  <c r="AW148" i="10"/>
  <c r="AX147" i="10"/>
  <c r="F144" i="21" l="1"/>
  <c r="E145" i="21"/>
  <c r="AW149" i="10"/>
  <c r="AX148" i="10"/>
  <c r="F145" i="21" l="1"/>
  <c r="E146" i="21"/>
  <c r="AW150" i="10"/>
  <c r="AX149" i="10"/>
  <c r="F146" i="21" l="1"/>
  <c r="E147" i="21"/>
  <c r="AX150" i="10"/>
  <c r="AW151" i="10"/>
  <c r="E148" i="21" l="1"/>
  <c r="F147" i="21"/>
  <c r="AW152" i="10"/>
  <c r="AX151" i="10"/>
  <c r="E149" i="21" l="1"/>
  <c r="F148" i="21"/>
  <c r="AW153" i="10"/>
  <c r="AX152" i="10"/>
  <c r="E150" i="21" l="1"/>
  <c r="F149" i="21"/>
  <c r="AW154" i="10"/>
  <c r="AX153" i="10"/>
  <c r="F150" i="21" l="1"/>
  <c r="E151" i="21"/>
  <c r="AX154" i="10"/>
  <c r="AW155" i="10"/>
  <c r="E152" i="21" l="1"/>
  <c r="F151" i="21"/>
  <c r="AW156" i="10"/>
  <c r="AX155" i="10"/>
  <c r="E153" i="21" l="1"/>
  <c r="F152" i="21"/>
  <c r="AW157" i="10"/>
  <c r="AX156" i="10"/>
  <c r="E154" i="21" l="1"/>
  <c r="F153" i="21"/>
  <c r="AW158" i="10"/>
  <c r="AX157" i="10"/>
  <c r="E155" i="21" l="1"/>
  <c r="F154" i="21"/>
  <c r="AX158" i="10"/>
  <c r="AW159" i="10"/>
  <c r="F155" i="21" l="1"/>
  <c r="E156" i="21"/>
  <c r="AW160" i="10"/>
  <c r="AX159" i="10"/>
  <c r="E157" i="21" l="1"/>
  <c r="F156" i="21"/>
  <c r="AW161" i="10"/>
  <c r="AX160" i="10"/>
  <c r="E158" i="21" l="1"/>
  <c r="F157" i="21"/>
  <c r="AW162" i="10"/>
  <c r="AX161" i="10"/>
  <c r="E159" i="21" l="1"/>
  <c r="F158" i="21"/>
  <c r="AX162" i="10"/>
  <c r="AW163" i="10"/>
  <c r="E160" i="21" l="1"/>
  <c r="F159" i="21"/>
  <c r="AW164" i="10"/>
  <c r="AX163" i="10"/>
  <c r="E161" i="21" l="1"/>
  <c r="F160" i="21"/>
  <c r="AW165" i="10"/>
  <c r="AX164" i="10"/>
  <c r="E162" i="21" l="1"/>
  <c r="F161" i="21"/>
  <c r="AW166" i="10"/>
  <c r="AX165" i="10"/>
  <c r="E163" i="21" l="1"/>
  <c r="F162" i="21"/>
  <c r="AX166" i="10"/>
  <c r="AW167" i="10"/>
  <c r="E164" i="21" l="1"/>
  <c r="F163" i="21"/>
  <c r="AW168" i="10"/>
  <c r="AX167" i="10"/>
  <c r="F164" i="21" l="1"/>
  <c r="E165" i="21"/>
  <c r="AW169" i="10"/>
  <c r="AX168" i="10"/>
  <c r="F165" i="21" l="1"/>
  <c r="E166" i="21"/>
  <c r="AW170" i="10"/>
  <c r="AX169" i="10"/>
  <c r="F166" i="21" l="1"/>
  <c r="E167" i="21"/>
  <c r="AX170" i="10"/>
  <c r="AW171" i="10"/>
  <c r="F167" i="21" l="1"/>
  <c r="E168" i="21"/>
  <c r="AW172" i="10"/>
  <c r="AX171" i="10"/>
  <c r="F168" i="21" l="1"/>
  <c r="E169" i="21"/>
  <c r="AW173" i="10"/>
  <c r="AX172" i="10"/>
  <c r="F169" i="21" l="1"/>
  <c r="E170" i="21"/>
  <c r="AW174" i="10"/>
  <c r="AX173" i="10"/>
  <c r="F170" i="21" l="1"/>
  <c r="E171" i="21"/>
  <c r="AX174" i="10"/>
  <c r="AW175" i="10"/>
  <c r="F171" i="21" l="1"/>
  <c r="E172" i="21"/>
  <c r="AW176" i="10"/>
  <c r="AX175" i="10"/>
  <c r="E173" i="21" l="1"/>
  <c r="F172" i="21"/>
  <c r="AW177" i="10"/>
  <c r="AX176" i="10"/>
  <c r="F173" i="21" l="1"/>
  <c r="E174" i="21"/>
  <c r="AW178" i="10"/>
  <c r="AX177" i="10"/>
  <c r="F174" i="21" l="1"/>
  <c r="E175" i="21"/>
  <c r="AX178" i="10"/>
  <c r="AW179" i="10"/>
  <c r="F175" i="21" l="1"/>
  <c r="E176" i="21"/>
  <c r="AW180" i="10"/>
  <c r="AX179" i="10"/>
  <c r="F176" i="21" l="1"/>
  <c r="E177" i="21"/>
  <c r="AW181" i="10"/>
  <c r="AX180" i="10"/>
  <c r="E178" i="21" l="1"/>
  <c r="F177" i="21"/>
  <c r="AW182" i="10"/>
  <c r="AX181" i="10"/>
  <c r="F178" i="21" l="1"/>
  <c r="E179" i="21"/>
  <c r="AX182" i="10"/>
  <c r="AW183" i="10"/>
  <c r="F179" i="21" l="1"/>
  <c r="E180" i="21"/>
  <c r="AW184" i="10"/>
  <c r="AX183" i="10"/>
  <c r="E181" i="21" l="1"/>
  <c r="F180" i="21"/>
  <c r="AW185" i="10"/>
  <c r="AX184" i="10"/>
  <c r="F181" i="21" l="1"/>
  <c r="E182" i="21"/>
  <c r="AW186" i="10"/>
  <c r="AX185" i="10"/>
  <c r="E183" i="21" l="1"/>
  <c r="F182" i="21"/>
  <c r="AX186" i="10"/>
  <c r="AW187" i="10"/>
  <c r="F183" i="21" l="1"/>
  <c r="E184" i="21"/>
  <c r="AW188" i="10"/>
  <c r="AX187" i="10"/>
  <c r="F184" i="21" l="1"/>
  <c r="E185" i="21"/>
  <c r="AW189" i="10"/>
  <c r="AX188" i="10"/>
  <c r="E186" i="21" l="1"/>
  <c r="F185" i="21"/>
  <c r="AW190" i="10"/>
  <c r="AX189" i="10"/>
  <c r="E187" i="21" l="1"/>
  <c r="F186" i="21"/>
  <c r="AX190" i="10"/>
  <c r="AW191" i="10"/>
  <c r="E188" i="21" l="1"/>
  <c r="F187" i="21"/>
  <c r="AW192" i="10"/>
  <c r="AX191" i="10"/>
  <c r="F188" i="21" l="1"/>
  <c r="E189" i="21"/>
  <c r="AW193" i="10"/>
  <c r="AX192" i="10"/>
  <c r="E190" i="21" l="1"/>
  <c r="F189" i="21"/>
  <c r="AW194" i="10"/>
  <c r="AX193" i="10"/>
  <c r="F190" i="21" l="1"/>
  <c r="E191" i="21"/>
  <c r="AX194" i="10"/>
  <c r="AW195" i="10"/>
  <c r="E192" i="21" l="1"/>
  <c r="F191" i="21"/>
  <c r="AW196" i="10"/>
  <c r="AX195" i="10"/>
  <c r="E193" i="21" l="1"/>
  <c r="F192" i="21"/>
  <c r="AW197" i="10"/>
  <c r="AX196" i="10"/>
  <c r="F193" i="21" l="1"/>
  <c r="E194" i="21"/>
  <c r="AW198" i="10"/>
  <c r="AX197" i="10"/>
  <c r="F194" i="21" l="1"/>
  <c r="E195" i="21"/>
  <c r="AX198" i="10"/>
  <c r="AW199" i="10"/>
  <c r="F195" i="21" l="1"/>
  <c r="E196" i="21"/>
  <c r="AW200" i="10"/>
  <c r="AX199" i="10"/>
  <c r="E197" i="21" l="1"/>
  <c r="F196" i="21"/>
  <c r="AW201" i="10"/>
  <c r="AX200" i="10"/>
  <c r="E198" i="21" l="1"/>
  <c r="F197" i="21"/>
  <c r="AW202" i="10"/>
  <c r="AX201" i="10"/>
  <c r="F198" i="21" l="1"/>
  <c r="E199" i="21"/>
  <c r="AX202" i="10"/>
  <c r="AW203" i="10"/>
  <c r="F199" i="21" l="1"/>
  <c r="E200" i="21"/>
  <c r="AW204" i="10"/>
  <c r="AX203" i="10"/>
  <c r="E201" i="21" l="1"/>
  <c r="F200" i="21"/>
  <c r="AW205" i="10"/>
  <c r="AX204" i="10"/>
  <c r="E202" i="21" l="1"/>
  <c r="F201" i="21"/>
  <c r="AW206" i="10"/>
  <c r="AX205" i="10"/>
  <c r="F202" i="21" l="1"/>
  <c r="E203" i="21"/>
  <c r="AX206" i="10"/>
  <c r="AW207" i="10"/>
  <c r="F203" i="21" l="1"/>
  <c r="E204" i="21"/>
  <c r="AW208" i="10"/>
  <c r="AX207" i="10"/>
  <c r="E205" i="21" l="1"/>
  <c r="F204" i="21"/>
  <c r="AW209" i="10"/>
  <c r="AX208" i="10"/>
  <c r="E206" i="21" l="1"/>
  <c r="F205" i="21"/>
  <c r="AW210" i="10"/>
  <c r="AX209" i="10"/>
  <c r="F206" i="21" l="1"/>
  <c r="E207" i="21"/>
  <c r="AX210" i="10"/>
  <c r="AW211" i="10"/>
  <c r="F207" i="21" l="1"/>
  <c r="E208" i="21"/>
  <c r="AW212" i="10"/>
  <c r="AX211" i="10"/>
  <c r="F208" i="21" l="1"/>
  <c r="E209" i="21"/>
  <c r="AW213" i="10"/>
  <c r="AX212" i="10"/>
  <c r="E210" i="21" l="1"/>
  <c r="F209" i="21"/>
  <c r="AW214" i="10"/>
  <c r="AX213" i="10"/>
  <c r="E211" i="21" l="1"/>
  <c r="F210" i="21"/>
  <c r="AX214" i="10"/>
  <c r="AW215" i="10"/>
  <c r="F211" i="21" l="1"/>
  <c r="E212" i="21"/>
  <c r="AW216" i="10"/>
  <c r="AX215" i="10"/>
  <c r="F212" i="21" l="1"/>
  <c r="E213" i="21"/>
  <c r="AW217" i="10"/>
  <c r="AX216" i="10"/>
  <c r="E214" i="21" l="1"/>
  <c r="F213" i="21"/>
  <c r="AW218" i="10"/>
  <c r="AX217" i="10"/>
  <c r="E215" i="21" l="1"/>
  <c r="F214" i="21"/>
  <c r="AX218" i="10"/>
  <c r="AW219" i="10"/>
  <c r="F215" i="21" l="1"/>
  <c r="E216" i="21"/>
  <c r="AW220" i="10"/>
  <c r="AX219" i="10"/>
  <c r="E217" i="21" l="1"/>
  <c r="F216" i="21"/>
  <c r="AW221" i="10"/>
  <c r="AX220" i="10"/>
  <c r="F217" i="21" l="1"/>
  <c r="E218" i="21"/>
  <c r="AW222" i="10"/>
  <c r="AX221" i="10"/>
  <c r="F218" i="21" l="1"/>
  <c r="E219" i="21"/>
  <c r="AX222" i="10"/>
  <c r="AW223" i="10"/>
  <c r="F219" i="21" l="1"/>
  <c r="E220" i="21"/>
  <c r="AW224" i="10"/>
  <c r="AX223" i="10"/>
  <c r="E221" i="21" l="1"/>
  <c r="F220" i="21"/>
  <c r="AW225" i="10"/>
  <c r="AX224" i="10"/>
  <c r="F221" i="21" l="1"/>
  <c r="E222" i="21"/>
  <c r="AW226" i="10"/>
  <c r="AX225" i="10"/>
  <c r="F222" i="21" l="1"/>
  <c r="E223" i="21"/>
  <c r="AX226" i="10"/>
  <c r="AW227" i="10"/>
  <c r="F223" i="21" l="1"/>
  <c r="E224" i="21"/>
  <c r="AW228" i="10"/>
  <c r="AX227" i="10"/>
  <c r="F224" i="21" l="1"/>
  <c r="E225" i="21"/>
  <c r="AW229" i="10"/>
  <c r="AX228" i="10"/>
  <c r="E226" i="21" l="1"/>
  <c r="F225" i="21"/>
  <c r="AW230" i="10"/>
  <c r="AX229" i="10"/>
  <c r="F226" i="21" l="1"/>
  <c r="E227" i="21"/>
  <c r="AX230" i="10"/>
  <c r="AW231" i="10"/>
  <c r="E228" i="21" l="1"/>
  <c r="F227" i="21"/>
  <c r="AW232" i="10"/>
  <c r="AX231" i="10"/>
  <c r="F228" i="21" l="1"/>
  <c r="E229" i="21"/>
  <c r="AW233" i="10"/>
  <c r="AX232" i="10"/>
  <c r="E230" i="21" l="1"/>
  <c r="F229" i="21"/>
  <c r="AW234" i="10"/>
  <c r="AX233" i="10"/>
  <c r="E231" i="21" l="1"/>
  <c r="F230" i="21"/>
  <c r="AX234" i="10"/>
  <c r="AW235" i="10"/>
  <c r="F231" i="21" l="1"/>
  <c r="E232" i="21"/>
  <c r="AW236" i="10"/>
  <c r="AX235" i="10"/>
  <c r="F232" i="21" l="1"/>
  <c r="E233" i="21"/>
  <c r="AW237" i="10"/>
  <c r="AX236" i="10"/>
  <c r="F233" i="21" l="1"/>
  <c r="E234" i="21"/>
  <c r="AW238" i="10"/>
  <c r="AX237" i="10"/>
  <c r="F234" i="21" l="1"/>
  <c r="E235" i="21"/>
  <c r="AX238" i="10"/>
  <c r="AW239" i="10"/>
  <c r="F235" i="21" l="1"/>
  <c r="E236" i="21"/>
  <c r="AW240" i="10"/>
  <c r="AX239" i="10"/>
  <c r="F236" i="21" l="1"/>
  <c r="E237" i="21"/>
  <c r="AW241" i="10"/>
  <c r="AX240" i="10"/>
  <c r="E238" i="21" l="1"/>
  <c r="F237" i="21"/>
  <c r="AW242" i="10"/>
  <c r="AX241" i="10"/>
  <c r="E239" i="21" l="1"/>
  <c r="F238" i="21"/>
  <c r="AX242" i="10"/>
  <c r="AW243" i="10"/>
  <c r="F239" i="21" l="1"/>
  <c r="E240" i="21"/>
  <c r="AW244" i="10"/>
  <c r="AX243" i="10"/>
  <c r="E241" i="21" l="1"/>
  <c r="F240" i="21"/>
  <c r="AW245" i="10"/>
  <c r="AX244" i="10"/>
  <c r="F241" i="21" l="1"/>
  <c r="E242" i="21"/>
  <c r="AW246" i="10"/>
  <c r="AX245" i="10"/>
  <c r="F242" i="21" l="1"/>
  <c r="E243" i="21"/>
  <c r="AX246" i="10"/>
  <c r="AW247" i="10"/>
  <c r="F243" i="21" l="1"/>
  <c r="E244" i="21"/>
  <c r="AW248" i="10"/>
  <c r="AX247" i="10"/>
  <c r="E245" i="21" l="1"/>
  <c r="F244" i="21"/>
  <c r="AW249" i="10"/>
  <c r="AX248" i="10"/>
  <c r="F245" i="21" l="1"/>
  <c r="E246" i="21"/>
  <c r="AW250" i="10"/>
  <c r="AX249" i="10"/>
  <c r="F246" i="21" l="1"/>
  <c r="E247" i="21"/>
  <c r="AX250" i="10"/>
  <c r="AW251" i="10"/>
  <c r="E248" i="21" l="1"/>
  <c r="F247" i="21"/>
  <c r="AW252" i="10"/>
  <c r="AX251" i="10"/>
  <c r="F248" i="21" l="1"/>
  <c r="E249" i="21"/>
  <c r="AW253" i="10"/>
  <c r="AX252" i="10"/>
  <c r="E250" i="21" l="1"/>
  <c r="F249" i="21"/>
  <c r="AW254" i="10"/>
  <c r="AX253" i="10"/>
  <c r="E251" i="21" l="1"/>
  <c r="F250" i="21"/>
  <c r="AX254" i="10"/>
  <c r="AW255" i="10"/>
  <c r="E252" i="21" l="1"/>
  <c r="F251" i="21"/>
  <c r="AW256" i="10"/>
  <c r="AX255" i="10"/>
  <c r="E253" i="21" l="1"/>
  <c r="F252" i="21"/>
  <c r="AW257" i="10"/>
  <c r="AX256" i="10"/>
  <c r="F253" i="21" l="1"/>
  <c r="E254" i="21"/>
  <c r="AW258" i="10"/>
  <c r="AX257" i="10"/>
  <c r="F254" i="21" l="1"/>
  <c r="E255" i="21"/>
  <c r="AX258" i="10"/>
  <c r="AW259" i="10"/>
  <c r="F255" i="21" l="1"/>
  <c r="E256" i="21"/>
  <c r="AW260" i="10"/>
  <c r="AX259" i="10"/>
  <c r="E257" i="21" l="1"/>
  <c r="F256" i="21"/>
  <c r="AW261" i="10"/>
  <c r="AX260" i="10"/>
  <c r="F257" i="21" l="1"/>
  <c r="E258" i="21"/>
  <c r="AW262" i="10"/>
  <c r="AX261" i="10"/>
  <c r="F258" i="21" l="1"/>
  <c r="E259" i="21"/>
  <c r="AX262" i="10"/>
  <c r="AW263" i="10"/>
  <c r="E260" i="21" l="1"/>
  <c r="F259" i="21"/>
  <c r="AW264" i="10"/>
  <c r="AX263" i="10"/>
  <c r="F260" i="21" l="1"/>
  <c r="E261" i="21"/>
  <c r="AW265" i="10"/>
  <c r="AX264" i="10"/>
  <c r="E262" i="21" l="1"/>
  <c r="F261" i="21"/>
  <c r="AW266" i="10"/>
  <c r="AX265" i="10"/>
  <c r="F262" i="21" l="1"/>
  <c r="E263" i="21"/>
  <c r="AX266" i="10"/>
  <c r="AW267" i="10"/>
  <c r="E264" i="21" l="1"/>
  <c r="F263" i="21"/>
  <c r="AW268" i="10"/>
  <c r="AX267" i="10"/>
  <c r="E265" i="21" l="1"/>
  <c r="F264" i="21"/>
  <c r="AW269" i="10"/>
  <c r="AX268" i="10"/>
  <c r="F265" i="21" l="1"/>
  <c r="E266" i="21"/>
  <c r="AW270" i="10"/>
  <c r="AX269" i="10"/>
  <c r="F266" i="21" l="1"/>
  <c r="E267" i="21"/>
  <c r="AX270" i="10"/>
  <c r="AW271" i="10"/>
  <c r="F267" i="21" l="1"/>
  <c r="E268" i="21"/>
  <c r="AW272" i="10"/>
  <c r="AX271" i="10"/>
  <c r="F268" i="21" l="1"/>
  <c r="E269" i="21"/>
  <c r="AW273" i="10"/>
  <c r="AX272" i="10"/>
  <c r="F269" i="21" l="1"/>
  <c r="E270" i="21"/>
  <c r="AW274" i="10"/>
  <c r="AX273" i="10"/>
  <c r="F270" i="21" l="1"/>
  <c r="E271" i="21"/>
  <c r="AX274" i="10"/>
  <c r="AW275" i="10"/>
  <c r="F271" i="21" l="1"/>
  <c r="E272" i="21"/>
  <c r="AW276" i="10"/>
  <c r="AX275" i="10"/>
  <c r="E273" i="21" l="1"/>
  <c r="F272" i="21"/>
  <c r="AW277" i="10"/>
  <c r="AX276" i="10"/>
  <c r="E274" i="21" l="1"/>
  <c r="F273" i="21"/>
  <c r="AW278" i="10"/>
  <c r="AX277" i="10"/>
  <c r="E275" i="21" l="1"/>
  <c r="F274" i="21"/>
  <c r="AX278" i="10"/>
  <c r="AW279" i="10"/>
  <c r="E276" i="21" l="1"/>
  <c r="F275" i="21"/>
  <c r="AW280" i="10"/>
  <c r="AX279" i="10"/>
  <c r="F276" i="21" l="1"/>
  <c r="E277" i="21"/>
  <c r="AW281" i="10"/>
  <c r="AX280" i="10"/>
  <c r="E278" i="21" l="1"/>
  <c r="F277" i="21"/>
  <c r="AW282" i="10"/>
  <c r="AX281" i="10"/>
  <c r="F278" i="21" l="1"/>
  <c r="E279" i="21"/>
  <c r="AX282" i="10"/>
  <c r="AW283" i="10"/>
  <c r="F279" i="21" l="1"/>
  <c r="E280" i="21"/>
  <c r="AW284" i="10"/>
  <c r="AX283" i="10"/>
  <c r="E281" i="21" l="1"/>
  <c r="F280" i="21"/>
  <c r="AW285" i="10"/>
  <c r="AX284" i="10"/>
  <c r="F281" i="21" l="1"/>
  <c r="E282" i="21"/>
  <c r="AW286" i="10"/>
  <c r="AX285" i="10"/>
  <c r="F282" i="21" l="1"/>
  <c r="E283" i="21"/>
  <c r="AX286" i="10"/>
  <c r="AW287" i="10"/>
  <c r="E284" i="21" l="1"/>
  <c r="F283" i="21"/>
  <c r="AW288" i="10"/>
  <c r="AX287" i="10"/>
  <c r="F284" i="21" l="1"/>
  <c r="E285" i="21"/>
  <c r="AW289" i="10"/>
  <c r="AX288" i="10"/>
  <c r="E286" i="21" l="1"/>
  <c r="F285" i="21"/>
  <c r="AW290" i="10"/>
  <c r="AX289" i="10"/>
  <c r="F286" i="21" l="1"/>
  <c r="E287" i="21"/>
  <c r="AX290" i="10"/>
  <c r="AW291" i="10"/>
  <c r="E288" i="21" l="1"/>
  <c r="F287" i="21"/>
  <c r="AW292" i="10"/>
  <c r="AX291" i="10"/>
  <c r="E289" i="21" l="1"/>
  <c r="F288" i="21"/>
  <c r="AW293" i="10"/>
  <c r="AX292" i="10"/>
  <c r="F289" i="21" l="1"/>
  <c r="E290" i="21"/>
  <c r="AW294" i="10"/>
  <c r="AX293" i="10"/>
  <c r="E291" i="21" l="1"/>
  <c r="F290" i="21"/>
  <c r="AX294" i="10"/>
  <c r="AW295" i="10"/>
  <c r="E292" i="21" l="1"/>
  <c r="F291" i="21"/>
  <c r="AW296" i="10"/>
  <c r="AX295" i="10"/>
  <c r="E293" i="21" l="1"/>
  <c r="F292" i="21"/>
  <c r="AW297" i="10"/>
  <c r="AX296" i="10"/>
  <c r="E294" i="21" l="1"/>
  <c r="F293" i="21"/>
  <c r="AW298" i="10"/>
  <c r="AX297" i="10"/>
  <c r="F294" i="21" l="1"/>
  <c r="E295" i="21"/>
  <c r="AX298" i="10"/>
  <c r="AW299" i="10"/>
  <c r="E296" i="21" l="1"/>
  <c r="F295" i="21"/>
  <c r="AW300" i="10"/>
  <c r="AX299" i="10"/>
  <c r="E297" i="21" l="1"/>
  <c r="F296" i="21"/>
  <c r="AW301" i="10"/>
  <c r="AX300" i="10"/>
  <c r="E298" i="21" l="1"/>
  <c r="F297" i="21"/>
  <c r="AW302" i="10"/>
  <c r="AX301" i="10"/>
  <c r="F298" i="21" l="1"/>
  <c r="E299" i="21"/>
  <c r="AX302" i="10"/>
  <c r="AW303" i="10"/>
  <c r="F299" i="21" l="1"/>
  <c r="E300" i="21"/>
  <c r="E301" i="21" s="1"/>
  <c r="AW304" i="10"/>
  <c r="AX303" i="10"/>
  <c r="E302" i="21" l="1"/>
  <c r="F301" i="21"/>
  <c r="F300" i="21"/>
  <c r="AW305" i="10"/>
  <c r="AX304" i="10"/>
  <c r="E303" i="21" l="1"/>
  <c r="F302" i="21"/>
  <c r="AW306" i="10"/>
  <c r="AX305" i="10"/>
  <c r="E304" i="21" l="1"/>
  <c r="F303" i="21"/>
  <c r="AX306" i="10"/>
  <c r="AW307" i="10"/>
  <c r="F304" i="21" l="1"/>
  <c r="E305" i="21"/>
  <c r="AW308" i="10"/>
  <c r="AX307" i="10"/>
  <c r="E306" i="21" l="1"/>
  <c r="F305" i="21"/>
  <c r="AW309" i="10"/>
  <c r="AX308" i="10"/>
  <c r="E307" i="21" l="1"/>
  <c r="F306" i="21"/>
  <c r="AW310" i="10"/>
  <c r="AX309" i="10"/>
  <c r="E308" i="21" l="1"/>
  <c r="F307" i="21"/>
  <c r="AX310" i="10"/>
  <c r="AW311" i="10"/>
  <c r="F308" i="21" l="1"/>
  <c r="E309" i="21"/>
  <c r="AW312" i="10"/>
  <c r="AX311" i="10"/>
  <c r="E310" i="21" l="1"/>
  <c r="E311" i="21" s="1"/>
  <c r="F309" i="21"/>
  <c r="AW313" i="10"/>
  <c r="AX312" i="10"/>
  <c r="F311" i="21" l="1"/>
  <c r="F310" i="21"/>
  <c r="AW314" i="10"/>
  <c r="AX313" i="10"/>
  <c r="AX314" i="10" l="1"/>
  <c r="AW315" i="10"/>
  <c r="AW316" i="10" l="1"/>
  <c r="AX315" i="10"/>
  <c r="AW317" i="10" l="1"/>
  <c r="AX316" i="10"/>
  <c r="AW318" i="10" l="1"/>
  <c r="AX317" i="10"/>
  <c r="AX318" i="10" l="1"/>
  <c r="AW319" i="10"/>
  <c r="AW320" i="10" l="1"/>
  <c r="AX319" i="10"/>
  <c r="AW321" i="10" l="1"/>
  <c r="AX320" i="10"/>
  <c r="AW322" i="10" l="1"/>
  <c r="AX321" i="10"/>
  <c r="AX322" i="10" l="1"/>
  <c r="AW323" i="10"/>
  <c r="AW324" i="10" l="1"/>
  <c r="AX323" i="10"/>
  <c r="AW325" i="10" l="1"/>
  <c r="AX324" i="10"/>
  <c r="AW326" i="10" l="1"/>
  <c r="AX325" i="10"/>
  <c r="AX326" i="10" l="1"/>
  <c r="AW327" i="10"/>
  <c r="AW328" i="10" l="1"/>
  <c r="AX327" i="10"/>
  <c r="AW329" i="10" l="1"/>
  <c r="AX328" i="10"/>
  <c r="AW330" i="10" l="1"/>
  <c r="AX329" i="10"/>
  <c r="AX330" i="10" l="1"/>
  <c r="AW331" i="10"/>
  <c r="AW332" i="10" l="1"/>
  <c r="AX331" i="10"/>
  <c r="AW333" i="10" l="1"/>
  <c r="AX332" i="10"/>
  <c r="AW334" i="10" l="1"/>
  <c r="AX333" i="10"/>
  <c r="AX334" i="10" l="1"/>
  <c r="AW335" i="10"/>
  <c r="AW336" i="10" l="1"/>
  <c r="AX335" i="10"/>
  <c r="AW337" i="10" l="1"/>
  <c r="AX336" i="10"/>
  <c r="AW338" i="10" l="1"/>
  <c r="AX337" i="10"/>
  <c r="AX338" i="10" l="1"/>
  <c r="AW339" i="10"/>
  <c r="AW340" i="10" l="1"/>
  <c r="AX339" i="10"/>
  <c r="J179" i="21"/>
  <c r="H370" i="21" s="1"/>
  <c r="AW341" i="10" l="1"/>
  <c r="AX340" i="10"/>
  <c r="AW342" i="10" l="1"/>
  <c r="AX341" i="10"/>
  <c r="AX342" i="10" l="1"/>
  <c r="AW343" i="10"/>
  <c r="AW344" i="10" l="1"/>
  <c r="AX343" i="10"/>
  <c r="AW345" i="10" l="1"/>
  <c r="AX344" i="10"/>
  <c r="AW346" i="10" l="1"/>
  <c r="AX345" i="10"/>
  <c r="AX346" i="10" l="1"/>
  <c r="AW347" i="10"/>
  <c r="AW348" i="10" l="1"/>
  <c r="AX347" i="10"/>
  <c r="AW349" i="10" l="1"/>
  <c r="AX348" i="10"/>
  <c r="AW350" i="10" l="1"/>
  <c r="AX349" i="10"/>
  <c r="AX350" i="10" l="1"/>
  <c r="AW351" i="10"/>
  <c r="AW352" i="10" l="1"/>
  <c r="AX351" i="10"/>
  <c r="AW353" i="10" l="1"/>
  <c r="AX352" i="10"/>
  <c r="AW354" i="10" l="1"/>
  <c r="AX353" i="10"/>
  <c r="AX354" i="10" l="1"/>
  <c r="AW355" i="10"/>
  <c r="AW356" i="10" l="1"/>
  <c r="AX355" i="10"/>
  <c r="AW357" i="10" l="1"/>
  <c r="AX356" i="10"/>
  <c r="AW358" i="10" l="1"/>
  <c r="AX357" i="10"/>
  <c r="AX358" i="10" l="1"/>
  <c r="AW359" i="10"/>
  <c r="AW360" i="10" l="1"/>
  <c r="AX359" i="10"/>
  <c r="AW361" i="10" l="1"/>
  <c r="AX360" i="10"/>
  <c r="AW362" i="10" l="1"/>
  <c r="AX361" i="10"/>
  <c r="AX362" i="10" l="1"/>
  <c r="AW363" i="10"/>
  <c r="AW364" i="10" l="1"/>
  <c r="AX363" i="10"/>
  <c r="AW365" i="10" l="1"/>
  <c r="AX364" i="10"/>
  <c r="AW366" i="10" l="1"/>
  <c r="AX365" i="10"/>
  <c r="AX366" i="10" l="1"/>
  <c r="AW367" i="10"/>
  <c r="AW368" i="10" l="1"/>
  <c r="AX367" i="10"/>
  <c r="AW369" i="10" l="1"/>
  <c r="AX368" i="10"/>
  <c r="AW370" i="10" l="1"/>
  <c r="AX369" i="10"/>
  <c r="AX370" i="10" l="1"/>
  <c r="AW371" i="10"/>
  <c r="AW372" i="10" l="1"/>
  <c r="AX371" i="10"/>
  <c r="AW373" i="10" l="1"/>
  <c r="AX372" i="10"/>
  <c r="AW374" i="10" l="1"/>
  <c r="AX373" i="10"/>
  <c r="AX374" i="10" l="1"/>
  <c r="AW375" i="10"/>
  <c r="AW376" i="10" l="1"/>
  <c r="AX375" i="10"/>
  <c r="AW377" i="10" l="1"/>
  <c r="AX376" i="10"/>
  <c r="AW378" i="10" l="1"/>
  <c r="AX377" i="10"/>
  <c r="AX378" i="10" l="1"/>
  <c r="AW379" i="10"/>
  <c r="AW380" i="10" l="1"/>
  <c r="AX379" i="10"/>
  <c r="AW381" i="10" l="1"/>
  <c r="AX380" i="10"/>
  <c r="AW382" i="10" l="1"/>
  <c r="AX381" i="10"/>
  <c r="AX382" i="10" l="1"/>
  <c r="AW383" i="10"/>
  <c r="AW384" i="10" l="1"/>
  <c r="AX383" i="10"/>
  <c r="AW385" i="10" l="1"/>
  <c r="AX384" i="10"/>
  <c r="AW386" i="10" l="1"/>
  <c r="AX385" i="10"/>
  <c r="AX386" i="10" l="1"/>
  <c r="AW387" i="10"/>
  <c r="AW388" i="10" l="1"/>
  <c r="AX387" i="10"/>
  <c r="AW389" i="10" l="1"/>
  <c r="AX388" i="10"/>
  <c r="AW390" i="10" l="1"/>
  <c r="AX389" i="10"/>
  <c r="AX390" i="10" l="1"/>
  <c r="AW391" i="10"/>
  <c r="AW392" i="10" l="1"/>
  <c r="AX391" i="10"/>
  <c r="AW393" i="10" l="1"/>
  <c r="AX392" i="10"/>
  <c r="AW394" i="10" l="1"/>
  <c r="AX393" i="10"/>
  <c r="AX394" i="10" l="1"/>
  <c r="AW395" i="10"/>
  <c r="AW396" i="10" l="1"/>
  <c r="AX395" i="10"/>
  <c r="AW397" i="10" l="1"/>
  <c r="AX396" i="10"/>
  <c r="AW398" i="10" l="1"/>
  <c r="AX397" i="10"/>
  <c r="AX398" i="10" l="1"/>
  <c r="AW399" i="10"/>
  <c r="AW400" i="10" l="1"/>
  <c r="AX399" i="10"/>
  <c r="AW401" i="10" l="1"/>
  <c r="AX400" i="10"/>
  <c r="AW402" i="10" l="1"/>
  <c r="AX401" i="10"/>
  <c r="AX402" i="10" l="1"/>
  <c r="AW403" i="10"/>
  <c r="AW404" i="10" l="1"/>
  <c r="AX403" i="10"/>
  <c r="AW405" i="10" l="1"/>
  <c r="AX404" i="10"/>
  <c r="AW406" i="10" l="1"/>
  <c r="AX405" i="10"/>
  <c r="AX406" i="10" l="1"/>
  <c r="AW407" i="10"/>
  <c r="AW408" i="10" l="1"/>
  <c r="AX407" i="10"/>
  <c r="AW409" i="10" l="1"/>
  <c r="AX408" i="10"/>
  <c r="AW410" i="10" l="1"/>
  <c r="AX409" i="10"/>
  <c r="AX410" i="10" l="1"/>
  <c r="AW411" i="10"/>
  <c r="AW412" i="10" l="1"/>
  <c r="AX411" i="10"/>
  <c r="AW413" i="10" l="1"/>
  <c r="AX412" i="10"/>
  <c r="B5" i="21" l="1"/>
  <c r="A5" i="21"/>
  <c r="D5" i="21"/>
  <c r="C5" i="21"/>
  <c r="AW414" i="10"/>
  <c r="AX413" i="10"/>
  <c r="AX414" i="10" l="1"/>
  <c r="AW415" i="10"/>
  <c r="AW416" i="10" l="1"/>
  <c r="AX415" i="10"/>
  <c r="AW417" i="10" l="1"/>
  <c r="AX416" i="10"/>
  <c r="AW418" i="10" l="1"/>
  <c r="AX417" i="10"/>
  <c r="AX418" i="10" l="1"/>
  <c r="AW419" i="10"/>
  <c r="AW420" i="10" l="1"/>
  <c r="AX419" i="10"/>
  <c r="AW421" i="10" l="1"/>
  <c r="AX420" i="10"/>
  <c r="AW422" i="10" l="1"/>
  <c r="AX421" i="10"/>
  <c r="AX422" i="10" l="1"/>
  <c r="AW423" i="10"/>
  <c r="AW424" i="10" l="1"/>
  <c r="AX423" i="10"/>
  <c r="AW425" i="10" l="1"/>
  <c r="AX424" i="10"/>
  <c r="AW426" i="10" l="1"/>
  <c r="AX425" i="10"/>
  <c r="AX426" i="10" l="1"/>
  <c r="AW427" i="10"/>
  <c r="AW428" i="10" l="1"/>
  <c r="AX427" i="10"/>
  <c r="AW429" i="10" l="1"/>
  <c r="AX428" i="10"/>
  <c r="AW430" i="10" l="1"/>
  <c r="AX429" i="10"/>
  <c r="AX430" i="10" l="1"/>
  <c r="AW431" i="10"/>
  <c r="AW432" i="10" l="1"/>
  <c r="AX431" i="10"/>
  <c r="AW433" i="10" l="1"/>
  <c r="AX432" i="10"/>
  <c r="BP29" i="19"/>
  <c r="BM29" i="19"/>
  <c r="BQ29" i="19"/>
  <c r="BN29" i="19"/>
  <c r="BR29" i="19"/>
  <c r="BO29" i="19"/>
  <c r="BS29" i="19"/>
  <c r="AW434" i="10" l="1"/>
  <c r="AX433" i="10"/>
  <c r="BS30" i="19"/>
  <c r="BS31" i="19" s="1"/>
  <c r="BR30" i="19"/>
  <c r="BR31" i="19" s="1"/>
  <c r="BR32" i="19" s="1"/>
  <c r="AB105" i="19"/>
  <c r="BP30" i="19"/>
  <c r="BP31" i="19" s="1"/>
  <c r="BP32" i="19" s="1"/>
  <c r="BQ30" i="19"/>
  <c r="BQ31" i="19" s="1"/>
  <c r="AB104" i="19"/>
  <c r="AC104" i="19"/>
  <c r="BM30" i="19"/>
  <c r="BM31" i="19" s="1"/>
  <c r="BO30" i="19"/>
  <c r="BO31" i="19" s="1"/>
  <c r="BO32" i="19" s="1"/>
  <c r="BO33" i="19" s="1"/>
  <c r="BO34" i="19" s="1"/>
  <c r="BO35" i="19" s="1"/>
  <c r="BO36" i="19" s="1"/>
  <c r="BO37" i="19" s="1"/>
  <c r="BO38" i="19" s="1"/>
  <c r="BO39" i="19" s="1"/>
  <c r="BO40" i="19" s="1"/>
  <c r="BO41" i="19" s="1"/>
  <c r="BO42" i="19" s="1"/>
  <c r="BO43" i="19" s="1"/>
  <c r="BO44" i="19" s="1"/>
  <c r="BO45" i="19" s="1"/>
  <c r="BN30" i="19"/>
  <c r="BN31" i="19" s="1"/>
  <c r="BN32" i="19"/>
  <c r="BN33" i="19" s="1"/>
  <c r="BN34" i="19" s="1"/>
  <c r="BN35" i="19" s="1"/>
  <c r="BN36" i="19" s="1"/>
  <c r="BN37" i="19" s="1"/>
  <c r="BN38" i="19" s="1"/>
  <c r="BN39" i="19" s="1"/>
  <c r="BN40" i="19" s="1"/>
  <c r="BN41" i="19" s="1"/>
  <c r="BN42" i="19" s="1"/>
  <c r="BN43" i="19" s="1"/>
  <c r="BN44" i="19" s="1"/>
  <c r="BN45" i="19" s="1"/>
  <c r="BQ32" i="19"/>
  <c r="BQ33" i="19" s="1"/>
  <c r="BQ34" i="19" s="1"/>
  <c r="BQ35" i="19" s="1"/>
  <c r="BQ36" i="19" s="1"/>
  <c r="BQ37" i="19" s="1"/>
  <c r="BQ38" i="19" s="1"/>
  <c r="BQ39" i="19" s="1"/>
  <c r="BQ40" i="19" s="1"/>
  <c r="BQ41" i="19" s="1"/>
  <c r="BQ42" i="19" s="1"/>
  <c r="BQ43" i="19" s="1"/>
  <c r="BQ44" i="19" s="1"/>
  <c r="BQ45" i="19" s="1"/>
  <c r="BS32" i="19"/>
  <c r="BS33" i="19" s="1"/>
  <c r="BS34" i="19" s="1"/>
  <c r="BS35" i="19" s="1"/>
  <c r="BS36" i="19" s="1"/>
  <c r="BS37" i="19" s="1"/>
  <c r="BS38" i="19" s="1"/>
  <c r="BS39" i="19" s="1"/>
  <c r="BS40" i="19" s="1"/>
  <c r="BS41" i="19" s="1"/>
  <c r="BS42" i="19" s="1"/>
  <c r="BS43" i="19" s="1"/>
  <c r="BS44" i="19" s="1"/>
  <c r="BS45" i="19" s="1"/>
  <c r="BM32" i="19"/>
  <c r="BM33" i="19" s="1"/>
  <c r="AB100" i="19"/>
  <c r="AB78" i="19" s="1"/>
  <c r="AX434" i="10" l="1"/>
  <c r="AW435" i="10"/>
  <c r="BP33" i="19"/>
  <c r="BP34" i="19" s="1"/>
  <c r="BP35" i="19" s="1"/>
  <c r="BP36" i="19" s="1"/>
  <c r="BP37" i="19" s="1"/>
  <c r="BP38" i="19" s="1"/>
  <c r="BP39" i="19" s="1"/>
  <c r="BP40" i="19" s="1"/>
  <c r="BP41" i="19" s="1"/>
  <c r="BP42" i="19" s="1"/>
  <c r="BP43" i="19" s="1"/>
  <c r="BP44" i="19" s="1"/>
  <c r="BP45" i="19" s="1"/>
  <c r="AD103" i="19"/>
  <c r="BR33" i="19"/>
  <c r="BR34" i="19" s="1"/>
  <c r="BR35" i="19" s="1"/>
  <c r="BR36" i="19" s="1"/>
  <c r="BR37" i="19" s="1"/>
  <c r="BR38" i="19" s="1"/>
  <c r="BR39" i="19" s="1"/>
  <c r="BR40" i="19" s="1"/>
  <c r="BR41" i="19" s="1"/>
  <c r="BR42" i="19" s="1"/>
  <c r="BR43" i="19" s="1"/>
  <c r="BR44" i="19" s="1"/>
  <c r="BR45" i="19" s="1"/>
  <c r="AC105" i="19"/>
  <c r="AB101" i="19"/>
  <c r="AD104" i="19"/>
  <c r="AC106" i="19"/>
  <c r="AB103" i="19"/>
  <c r="AD105" i="19"/>
  <c r="AB106" i="19"/>
  <c r="AE103" i="19"/>
  <c r="AC103" i="19"/>
  <c r="AC101" i="19"/>
  <c r="BM34" i="19"/>
  <c r="AW436" i="10" l="1"/>
  <c r="AX435" i="10"/>
  <c r="AE81" i="19"/>
  <c r="BM35" i="19"/>
  <c r="BM36" i="19" s="1"/>
  <c r="BM37" i="19" s="1"/>
  <c r="BM38" i="19" s="1"/>
  <c r="BM39" i="19" s="1"/>
  <c r="BM40" i="19" s="1"/>
  <c r="BM41" i="19" s="1"/>
  <c r="BM42" i="19" s="1"/>
  <c r="BM43" i="19" s="1"/>
  <c r="BM44" i="19" s="1"/>
  <c r="BM45" i="19" s="1"/>
  <c r="AC100" i="19"/>
  <c r="AC78" i="19" s="1"/>
  <c r="AW437" i="10" l="1"/>
  <c r="AX436" i="10"/>
  <c r="AD100" i="19"/>
  <c r="AD78" i="19" s="1"/>
  <c r="AW438" i="10" l="1"/>
  <c r="AX437" i="10"/>
  <c r="AM100" i="19"/>
  <c r="AM78" i="19" s="1"/>
  <c r="AX438" i="10" l="1"/>
  <c r="AW439" i="10"/>
  <c r="AE104" i="19"/>
  <c r="AF104" i="19"/>
  <c r="AG104" i="19"/>
  <c r="AH104" i="19"/>
  <c r="AJ104" i="19"/>
  <c r="AL104" i="19"/>
  <c r="AP104" i="19"/>
  <c r="AR104" i="19"/>
  <c r="AQ104" i="19"/>
  <c r="AI104" i="19"/>
  <c r="AM104" i="19"/>
  <c r="AO104" i="19"/>
  <c r="AK104" i="19"/>
  <c r="AN104" i="19"/>
  <c r="AE101" i="19"/>
  <c r="AK101" i="19"/>
  <c r="AF101" i="19"/>
  <c r="N12" i="19" s="1"/>
  <c r="AH100" i="19"/>
  <c r="AH78" i="19" s="1"/>
  <c r="AE100" i="19"/>
  <c r="AE78" i="19" s="1"/>
  <c r="AI100" i="19"/>
  <c r="AI78" i="19" s="1"/>
  <c r="AG100" i="19"/>
  <c r="AG78" i="19" s="1"/>
  <c r="AK100" i="19"/>
  <c r="AK78" i="19" s="1"/>
  <c r="AL100" i="19"/>
  <c r="AL78" i="19" s="1"/>
  <c r="AF100" i="19"/>
  <c r="AF78" i="19" s="1"/>
  <c r="AJ100" i="19"/>
  <c r="AJ78" i="19" s="1"/>
  <c r="AH105" i="19"/>
  <c r="AF105" i="19"/>
  <c r="AR105" i="19"/>
  <c r="AI105" i="19"/>
  <c r="AO105" i="19"/>
  <c r="AN105" i="19"/>
  <c r="AP105" i="19"/>
  <c r="AM105" i="19"/>
  <c r="AQ105" i="19"/>
  <c r="AL105" i="19"/>
  <c r="AE105" i="19"/>
  <c r="AO103" i="19"/>
  <c r="AN103" i="19"/>
  <c r="AG103" i="19"/>
  <c r="AK103" i="19"/>
  <c r="AQ103" i="19"/>
  <c r="AH103" i="19"/>
  <c r="AP103" i="19"/>
  <c r="AI103" i="19"/>
  <c r="AR103" i="19"/>
  <c r="AL103" i="19"/>
  <c r="AS103" i="19"/>
  <c r="AW440" i="10" l="1"/>
  <c r="AX439" i="10"/>
  <c r="AK82" i="19"/>
  <c r="AK81" i="19"/>
  <c r="AH101" i="19"/>
  <c r="I102" i="21"/>
  <c r="N9" i="19"/>
  <c r="AG82" i="19"/>
  <c r="AG81" i="19"/>
  <c r="AM101" i="19"/>
  <c r="AL82" i="19"/>
  <c r="AL81" i="19"/>
  <c r="AN82" i="19"/>
  <c r="AN81" i="19"/>
  <c r="AG101" i="19"/>
  <c r="AP81" i="19"/>
  <c r="AF103" i="19"/>
  <c r="AM103" i="19"/>
  <c r="AG105" i="19"/>
  <c r="AK105" i="19"/>
  <c r="AL101" i="19"/>
  <c r="AQ81" i="19"/>
  <c r="AO82" i="19"/>
  <c r="AO81" i="19"/>
  <c r="AJ101" i="19"/>
  <c r="AH82" i="19"/>
  <c r="AH81" i="19"/>
  <c r="AI82" i="19"/>
  <c r="AI81" i="19"/>
  <c r="AJ103" i="19"/>
  <c r="AJ105" i="19"/>
  <c r="AD101" i="19"/>
  <c r="AI101" i="19"/>
  <c r="U77" i="12" l="1"/>
  <c r="I3" i="1"/>
  <c r="H6" i="15" s="1"/>
  <c r="AW441" i="10"/>
  <c r="AX440" i="10"/>
  <c r="AC102" i="19"/>
  <c r="AG102" i="19"/>
  <c r="H16" i="1"/>
  <c r="AJ82" i="19"/>
  <c r="AJ81" i="19"/>
  <c r="AF82" i="19"/>
  <c r="AF81" i="19"/>
  <c r="AF102" i="19"/>
  <c r="AB102" i="19"/>
  <c r="AM82" i="19"/>
  <c r="AM81" i="19"/>
  <c r="AE102" i="19"/>
  <c r="AD102" i="19"/>
  <c r="AR81" i="19"/>
  <c r="AR89" i="19"/>
  <c r="AR85" i="19"/>
  <c r="AR87" i="19"/>
  <c r="AR83" i="19"/>
  <c r="AR90" i="19"/>
  <c r="AR84" i="19"/>
  <c r="AR86" i="19"/>
  <c r="AR88" i="19"/>
  <c r="A48" i="12" l="1"/>
  <c r="T77" i="12"/>
  <c r="T63" i="12" s="1"/>
  <c r="H468" i="21" s="1"/>
  <c r="G468" i="21" s="1"/>
  <c r="AW442" i="10"/>
  <c r="AX441" i="10"/>
  <c r="H6" i="8"/>
  <c r="H6" i="2"/>
  <c r="T68" i="2" s="1"/>
  <c r="T73" i="2" s="1"/>
  <c r="N6" i="19"/>
  <c r="H6" i="5"/>
  <c r="I6" i="11"/>
  <c r="H6" i="3"/>
  <c r="H6" i="6"/>
  <c r="H6" i="13"/>
  <c r="H6" i="10"/>
  <c r="H6" i="12"/>
  <c r="H6" i="16"/>
  <c r="H6" i="4"/>
  <c r="AX442" i="10" l="1"/>
  <c r="AW443" i="10"/>
  <c r="AW444" i="10" l="1"/>
  <c r="AX443" i="10"/>
  <c r="AW445" i="10" l="1"/>
  <c r="AX444" i="10"/>
  <c r="AW446" i="10" l="1"/>
  <c r="AX445" i="10"/>
  <c r="AX446" i="10" l="1"/>
  <c r="AW447" i="10"/>
  <c r="AW448" i="10" l="1"/>
  <c r="AX447" i="10"/>
  <c r="AW449" i="10" l="1"/>
  <c r="AX448" i="10"/>
  <c r="AW450" i="10" l="1"/>
  <c r="AX449" i="10"/>
  <c r="AX450" i="10" l="1"/>
  <c r="AW451" i="10"/>
  <c r="AW452" i="10" l="1"/>
  <c r="AX451" i="10"/>
  <c r="AW453" i="10" l="1"/>
  <c r="AX452" i="10"/>
  <c r="AW454" i="10" l="1"/>
  <c r="AX453" i="10"/>
  <c r="AX454" i="10" l="1"/>
  <c r="AW455" i="10"/>
  <c r="AW456" i="10" l="1"/>
  <c r="AX455" i="10"/>
  <c r="AW457" i="10" l="1"/>
  <c r="AX456" i="10"/>
  <c r="AW458" i="10" l="1"/>
  <c r="AX457" i="10"/>
  <c r="AX458" i="10" l="1"/>
  <c r="AW459" i="10"/>
  <c r="AW460" i="10" l="1"/>
  <c r="AX459" i="10"/>
  <c r="AW461" i="10" l="1"/>
  <c r="AX460" i="10"/>
  <c r="AW462" i="10" l="1"/>
  <c r="AX461" i="10"/>
  <c r="AX462" i="10" l="1"/>
  <c r="AW463" i="10"/>
  <c r="AW464" i="10" l="1"/>
  <c r="AX463" i="10"/>
  <c r="AW465" i="10" l="1"/>
  <c r="AX464" i="10"/>
  <c r="AW466" i="10" l="1"/>
  <c r="AX465" i="10"/>
  <c r="AX466" i="10" l="1"/>
  <c r="AW467" i="10"/>
  <c r="AW468" i="10" l="1"/>
  <c r="AX467" i="10"/>
  <c r="AW469" i="10" l="1"/>
  <c r="AX468" i="10"/>
  <c r="AW470" i="10" l="1"/>
  <c r="AX469" i="10"/>
  <c r="AX470" i="10" l="1"/>
  <c r="AW471" i="10"/>
  <c r="AW472" i="10" l="1"/>
  <c r="AX471" i="10"/>
  <c r="AW473" i="10" l="1"/>
  <c r="AX472" i="10"/>
  <c r="AW474" i="10" l="1"/>
  <c r="AX473" i="10"/>
  <c r="AX474" i="10" l="1"/>
  <c r="AW475" i="10"/>
  <c r="AW476" i="10" l="1"/>
  <c r="AX475" i="10"/>
  <c r="AW477" i="10" l="1"/>
  <c r="AX476" i="10"/>
  <c r="AW478" i="10" l="1"/>
  <c r="AX477" i="10"/>
  <c r="AX478" i="10" l="1"/>
  <c r="AW479" i="10"/>
  <c r="AW480" i="10" l="1"/>
  <c r="AX479" i="10"/>
  <c r="AW481" i="10" l="1"/>
  <c r="AX480" i="10"/>
  <c r="AW482" i="10" l="1"/>
  <c r="AX482" i="10" s="1"/>
  <c r="AX481" i="10"/>
  <c r="E312" i="21"/>
  <c r="F312" i="21" s="1"/>
  <c r="E313" i="21" l="1"/>
  <c r="F313" i="21" l="1"/>
  <c r="E314" i="21"/>
  <c r="E315" i="21" l="1"/>
  <c r="F314" i="21"/>
  <c r="E316" i="21" l="1"/>
  <c r="F315" i="21"/>
  <c r="F316" i="21" l="1"/>
  <c r="E317" i="21"/>
  <c r="E318" i="21" l="1"/>
  <c r="F317" i="21"/>
  <c r="E319" i="21" l="1"/>
  <c r="F318" i="21"/>
  <c r="F319" i="21" l="1"/>
  <c r="E320" i="21"/>
  <c r="E321" i="21" l="1"/>
  <c r="F320" i="21"/>
  <c r="F321" i="21" l="1"/>
  <c r="E322" i="21"/>
  <c r="F322" i="21" l="1"/>
  <c r="E323" i="21"/>
  <c r="E324" i="21" l="1"/>
  <c r="F323" i="21"/>
  <c r="F324" i="21" l="1"/>
  <c r="E325" i="21"/>
  <c r="E326" i="21" l="1"/>
  <c r="F325" i="21"/>
  <c r="F326" i="21" l="1"/>
  <c r="E327" i="21"/>
  <c r="F327" i="21" l="1"/>
  <c r="E328" i="21"/>
  <c r="E329" i="21" l="1"/>
  <c r="F328" i="21"/>
  <c r="E330" i="21" l="1"/>
  <c r="F329" i="21"/>
  <c r="F330" i="21" l="1"/>
  <c r="E331" i="21"/>
  <c r="F331" i="21" l="1"/>
  <c r="E332" i="21"/>
  <c r="E333" i="21" l="1"/>
  <c r="F332" i="21"/>
  <c r="F333" i="21" l="1"/>
  <c r="E334" i="21"/>
  <c r="E335" i="21" l="1"/>
  <c r="F334" i="21"/>
  <c r="F335" i="21" l="1"/>
  <c r="E336" i="21"/>
  <c r="E337" i="21" l="1"/>
  <c r="F336" i="21"/>
  <c r="F337" i="21" l="1"/>
  <c r="E338" i="21"/>
  <c r="E339" i="21" l="1"/>
  <c r="F338" i="21"/>
  <c r="F339" i="21" l="1"/>
  <c r="E340" i="21"/>
  <c r="F340" i="21" l="1"/>
  <c r="E341" i="21"/>
  <c r="E342" i="21" l="1"/>
  <c r="F341" i="21"/>
  <c r="F342" i="21" l="1"/>
  <c r="E343" i="21"/>
  <c r="F343" i="21" l="1"/>
  <c r="E344" i="21"/>
  <c r="E345" i="21" l="1"/>
  <c r="F344" i="21"/>
  <c r="E346" i="21" l="1"/>
  <c r="F345" i="21"/>
  <c r="E347" i="21" l="1"/>
  <c r="F346" i="21"/>
  <c r="F347" i="21" l="1"/>
  <c r="E348" i="21"/>
  <c r="E349" i="21" l="1"/>
  <c r="F348" i="21"/>
  <c r="F349" i="21" l="1"/>
  <c r="E350" i="21"/>
  <c r="F350" i="21" l="1"/>
  <c r="E351" i="21"/>
  <c r="E352" i="21" l="1"/>
  <c r="F351" i="21"/>
  <c r="E353" i="21" l="1"/>
  <c r="F352" i="21"/>
  <c r="E354" i="21" l="1"/>
  <c r="F353" i="21"/>
  <c r="F354" i="21" l="1"/>
  <c r="E355" i="21"/>
  <c r="F355" i="21" l="1"/>
  <c r="E356" i="21"/>
  <c r="E357" i="21" l="1"/>
  <c r="F356" i="21"/>
  <c r="E358" i="21" l="1"/>
  <c r="F357" i="21"/>
  <c r="F358" i="21" l="1"/>
  <c r="E359" i="21"/>
  <c r="F359" i="21" l="1"/>
  <c r="E360" i="21"/>
  <c r="F360" i="21" l="1"/>
  <c r="E361" i="21"/>
  <c r="F361" i="21" l="1"/>
  <c r="E362" i="21"/>
  <c r="F362" i="21" l="1"/>
  <c r="E363" i="21"/>
  <c r="E364" i="21" l="1"/>
  <c r="F363" i="21"/>
  <c r="F364" i="21" l="1"/>
  <c r="E365" i="21"/>
  <c r="F365" i="21" l="1"/>
  <c r="E366" i="21"/>
  <c r="F366" i="21" l="1"/>
  <c r="E367" i="21"/>
  <c r="F367" i="21" l="1"/>
  <c r="E368" i="21"/>
  <c r="F368" i="21" l="1"/>
  <c r="E369" i="21"/>
  <c r="E370" i="21" l="1"/>
  <c r="F369" i="21"/>
  <c r="E371" i="21" l="1"/>
  <c r="F370" i="21"/>
  <c r="E372" i="21" l="1"/>
  <c r="F371" i="21"/>
  <c r="F372" i="21" l="1"/>
  <c r="E373" i="21"/>
  <c r="F373" i="21" l="1"/>
  <c r="E374" i="21"/>
  <c r="F374" i="21" l="1"/>
  <c r="E375" i="21"/>
  <c r="F375" i="21" l="1"/>
  <c r="E376" i="21"/>
  <c r="E377" i="21" l="1"/>
  <c r="F376" i="21"/>
  <c r="F377" i="21" l="1"/>
  <c r="E378" i="21"/>
  <c r="E379" i="21" l="1"/>
  <c r="F378" i="21"/>
  <c r="E380" i="21" l="1"/>
  <c r="F379" i="21"/>
  <c r="E381" i="21" l="1"/>
  <c r="F380" i="21"/>
  <c r="E382" i="21" l="1"/>
  <c r="F381" i="21"/>
  <c r="E383" i="21" l="1"/>
  <c r="F382" i="21"/>
  <c r="F383" i="21" l="1"/>
  <c r="E384" i="21"/>
  <c r="F384" i="21" l="1"/>
  <c r="E385" i="21"/>
  <c r="F385" i="21" l="1"/>
  <c r="E386" i="21"/>
  <c r="E387" i="21" l="1"/>
  <c r="F386" i="21"/>
  <c r="E388" i="21" l="1"/>
  <c r="F387" i="21"/>
  <c r="F388" i="21" l="1"/>
  <c r="E389" i="21"/>
  <c r="E390" i="21" l="1"/>
  <c r="F389" i="21"/>
  <c r="F390" i="21" l="1"/>
  <c r="E391" i="21"/>
  <c r="F391" i="21" l="1"/>
  <c r="E392" i="21"/>
  <c r="E393" i="21" l="1"/>
  <c r="F392" i="21"/>
  <c r="F393" i="21" l="1"/>
  <c r="E394" i="21"/>
  <c r="F394" i="21" l="1"/>
  <c r="E395" i="21"/>
  <c r="F395" i="21" l="1"/>
  <c r="E396" i="21"/>
  <c r="E397" i="21" l="1"/>
  <c r="F396" i="21"/>
  <c r="F397" i="21" l="1"/>
  <c r="E398" i="21"/>
  <c r="E399" i="21" l="1"/>
  <c r="F398" i="21"/>
  <c r="E400" i="21" l="1"/>
  <c r="F399" i="21"/>
  <c r="E401" i="21" l="1"/>
  <c r="F400" i="21"/>
  <c r="F401" i="21" l="1"/>
  <c r="E402" i="21"/>
  <c r="E403" i="21" l="1"/>
  <c r="F402" i="21"/>
  <c r="E404" i="21" l="1"/>
  <c r="F403" i="21"/>
  <c r="E405" i="21" l="1"/>
  <c r="F404" i="21"/>
  <c r="F405" i="21" l="1"/>
  <c r="E406" i="21"/>
  <c r="E407" i="21" l="1"/>
  <c r="F406" i="21"/>
  <c r="F407" i="21" l="1"/>
  <c r="E408" i="21"/>
  <c r="E409" i="21" l="1"/>
  <c r="F408" i="21"/>
  <c r="F409" i="21" l="1"/>
  <c r="E410" i="21"/>
  <c r="E411" i="21" l="1"/>
  <c r="F410" i="21"/>
  <c r="E412" i="21" l="1"/>
  <c r="F411" i="21"/>
  <c r="E413" i="21" l="1"/>
  <c r="F412" i="21"/>
  <c r="E414" i="21" l="1"/>
  <c r="F413" i="21"/>
  <c r="E415" i="21" l="1"/>
  <c r="F414" i="21"/>
  <c r="F415" i="21" l="1"/>
  <c r="E416" i="21"/>
  <c r="E417" i="21" l="1"/>
  <c r="F416" i="21"/>
  <c r="F417" i="21" l="1"/>
  <c r="E418" i="21"/>
  <c r="E419" i="21" l="1"/>
  <c r="F418" i="21"/>
  <c r="E420" i="21" l="1"/>
  <c r="F419" i="21"/>
  <c r="F420" i="21" l="1"/>
  <c r="E421" i="21"/>
  <c r="E422" i="21" l="1"/>
  <c r="F421" i="21"/>
  <c r="E423" i="21" l="1"/>
  <c r="F422" i="21"/>
  <c r="F423" i="21" l="1"/>
  <c r="E424" i="21"/>
  <c r="F424" i="21" l="1"/>
  <c r="E425" i="21"/>
  <c r="F425" i="21" l="1"/>
  <c r="E426" i="21"/>
  <c r="F426" i="21" l="1"/>
  <c r="E427" i="21"/>
  <c r="E428" i="21" l="1"/>
  <c r="F427" i="21"/>
  <c r="F428" i="21" l="1"/>
  <c r="E429" i="21"/>
  <c r="F429" i="21" l="1"/>
  <c r="E430" i="21"/>
  <c r="E431" i="21" l="1"/>
  <c r="F430" i="21"/>
  <c r="F431" i="21" l="1"/>
  <c r="E432" i="21"/>
  <c r="F432" i="21" l="1"/>
  <c r="E433" i="21"/>
  <c r="E434" i="21" l="1"/>
  <c r="F433" i="21"/>
  <c r="E435" i="21" l="1"/>
  <c r="F434" i="21"/>
  <c r="E436" i="21" l="1"/>
  <c r="F435" i="21"/>
  <c r="E437" i="21" l="1"/>
  <c r="F436" i="21"/>
  <c r="F437" i="21" l="1"/>
  <c r="E438" i="21"/>
  <c r="F438" i="21" l="1"/>
  <c r="E439" i="21"/>
  <c r="F439" i="21" l="1"/>
  <c r="E440" i="21"/>
  <c r="E441" i="21" l="1"/>
  <c r="F440" i="21"/>
  <c r="E442" i="21" l="1"/>
  <c r="F441" i="21"/>
  <c r="F442" i="21" l="1"/>
  <c r="E443" i="21"/>
  <c r="E444" i="21" l="1"/>
  <c r="F443" i="21"/>
  <c r="E445" i="21" l="1"/>
  <c r="F444" i="21"/>
  <c r="E446" i="21" l="1"/>
  <c r="F445" i="21"/>
  <c r="E447" i="21" l="1"/>
  <c r="F446" i="21"/>
  <c r="F447" i="21" l="1"/>
  <c r="E448" i="21"/>
  <c r="E449" i="21" l="1"/>
  <c r="F448" i="21"/>
  <c r="E450" i="21" l="1"/>
  <c r="F449" i="21"/>
  <c r="E451" i="21" l="1"/>
  <c r="F450" i="21"/>
  <c r="F451" i="21" l="1"/>
  <c r="E452" i="21"/>
  <c r="E453" i="21" l="1"/>
  <c r="F452" i="21"/>
  <c r="E454" i="21" l="1"/>
  <c r="F453" i="21"/>
  <c r="F454" i="21" l="1"/>
  <c r="E455" i="21"/>
  <c r="F455" i="21" l="1"/>
  <c r="E456" i="21"/>
  <c r="F456" i="21" l="1"/>
  <c r="E457" i="21"/>
  <c r="E458" i="21" l="1"/>
  <c r="F457" i="21"/>
  <c r="E459" i="21" l="1"/>
  <c r="F458" i="21"/>
  <c r="F459" i="21" l="1"/>
  <c r="E460" i="21"/>
  <c r="E461" i="21" l="1"/>
  <c r="F460" i="21"/>
  <c r="F461" i="21" l="1"/>
  <c r="E462" i="21"/>
  <c r="E463" i="21" l="1"/>
  <c r="F462" i="21"/>
  <c r="F463" i="21" l="1"/>
  <c r="E464" i="21"/>
  <c r="F464" i="21" l="1"/>
  <c r="E465" i="21"/>
  <c r="E466" i="21" l="1"/>
  <c r="F465" i="21"/>
  <c r="F466" i="21" l="1"/>
  <c r="E467" i="21"/>
  <c r="E468" i="21" l="1"/>
  <c r="F468" i="21" s="1"/>
  <c r="F467" i="21"/>
  <c r="C236" i="21"/>
  <c r="C202" i="21"/>
  <c r="D299" i="21"/>
  <c r="C239" i="21"/>
  <c r="C88" i="21"/>
  <c r="A183" i="21"/>
  <c r="A23" i="21"/>
  <c r="A79" i="21"/>
  <c r="B207" i="21"/>
  <c r="D155" i="21"/>
  <c r="B42" i="21"/>
  <c r="B165" i="21"/>
  <c r="C276" i="21"/>
  <c r="B241" i="21"/>
  <c r="C94" i="21"/>
  <c r="B305" i="21"/>
  <c r="B78" i="21"/>
  <c r="D68" i="21"/>
  <c r="B158" i="21"/>
  <c r="A117" i="21"/>
  <c r="A234" i="21"/>
  <c r="B14" i="21"/>
  <c r="D70" i="21"/>
  <c r="D328" i="21"/>
  <c r="C170" i="21"/>
  <c r="B41" i="21"/>
  <c r="A73" i="21"/>
  <c r="B141" i="21"/>
  <c r="D227" i="21"/>
  <c r="D52" i="21"/>
  <c r="B219" i="21"/>
  <c r="B233" i="21"/>
  <c r="C327" i="21"/>
  <c r="C304" i="21"/>
  <c r="B309" i="21"/>
  <c r="B270" i="21"/>
  <c r="D317" i="21"/>
  <c r="D298" i="21"/>
  <c r="D190" i="21"/>
  <c r="A74" i="21"/>
  <c r="D193" i="21"/>
  <c r="B292" i="21"/>
  <c r="B312" i="21"/>
  <c r="A129" i="21"/>
  <c r="B157" i="21"/>
  <c r="C173" i="21"/>
  <c r="A321" i="21"/>
  <c r="A275" i="21"/>
  <c r="D88" i="21"/>
  <c r="C106" i="21"/>
  <c r="A21" i="21"/>
  <c r="D332" i="21"/>
  <c r="B152" i="21"/>
  <c r="D236" i="21"/>
  <c r="D275" i="21"/>
  <c r="C70" i="21"/>
  <c r="A333" i="21"/>
  <c r="A339" i="21"/>
  <c r="D140" i="21"/>
  <c r="B128" i="21"/>
  <c r="A102" i="21"/>
  <c r="C190" i="21"/>
  <c r="B285" i="21"/>
  <c r="B206" i="21"/>
  <c r="A310" i="21"/>
  <c r="A143" i="21"/>
  <c r="B284" i="21"/>
  <c r="D303" i="21"/>
  <c r="D279" i="21"/>
  <c r="A50" i="21"/>
  <c r="A66" i="21"/>
  <c r="A219" i="21"/>
  <c r="A220" i="21"/>
  <c r="A147" i="21"/>
  <c r="C10" i="21"/>
  <c r="B227" i="21"/>
  <c r="C60" i="21"/>
  <c r="A241" i="21"/>
  <c r="D284" i="21"/>
  <c r="D201" i="21"/>
  <c r="A316" i="21"/>
  <c r="A111" i="21"/>
  <c r="D57" i="21"/>
  <c r="C25" i="21"/>
  <c r="B67" i="21"/>
  <c r="B66" i="21"/>
  <c r="D174" i="21"/>
  <c r="A233" i="21"/>
  <c r="D40" i="21"/>
  <c r="C291" i="21"/>
  <c r="B56" i="21"/>
  <c r="B181" i="21"/>
  <c r="A58" i="21"/>
  <c r="C219" i="21"/>
  <c r="C334" i="21"/>
  <c r="B81" i="21"/>
  <c r="A149" i="21"/>
  <c r="D126" i="21"/>
  <c r="B65" i="21"/>
  <c r="D286" i="21"/>
  <c r="B317" i="21"/>
  <c r="D207" i="21"/>
  <c r="C277" i="21"/>
  <c r="C206" i="21"/>
  <c r="A257" i="21"/>
  <c r="B244" i="21"/>
  <c r="B40" i="21"/>
  <c r="D42" i="21"/>
  <c r="C28" i="21"/>
  <c r="D156" i="21"/>
  <c r="C303" i="21"/>
  <c r="A12" i="21"/>
  <c r="D164" i="21"/>
  <c r="C253" i="21"/>
  <c r="A237" i="21"/>
  <c r="A10" i="21"/>
  <c r="D97" i="21"/>
  <c r="B232" i="21"/>
  <c r="A62" i="21"/>
  <c r="A199" i="21"/>
  <c r="C160" i="21"/>
  <c r="C205" i="21"/>
  <c r="A123" i="21"/>
  <c r="C230" i="21"/>
  <c r="D312" i="21"/>
  <c r="B168" i="21"/>
  <c r="C267" i="21"/>
  <c r="A297" i="21"/>
  <c r="D152" i="21"/>
  <c r="B121" i="21"/>
  <c r="A116" i="21"/>
  <c r="D114" i="21"/>
  <c r="A332" i="21"/>
  <c r="B176" i="21"/>
  <c r="D165" i="21"/>
  <c r="A158" i="21"/>
  <c r="C102" i="21"/>
  <c r="D176" i="21"/>
  <c r="A34" i="21"/>
  <c r="B261" i="21"/>
  <c r="B63" i="21"/>
  <c r="B117" i="21"/>
  <c r="C13" i="21"/>
  <c r="C61" i="21"/>
  <c r="D112" i="21"/>
  <c r="B295" i="21"/>
  <c r="B130" i="21"/>
  <c r="B12" i="21"/>
  <c r="C199" i="21"/>
  <c r="D134" i="21"/>
  <c r="B80" i="21"/>
  <c r="D213" i="21"/>
  <c r="A294" i="21"/>
  <c r="C125" i="21"/>
  <c r="B170" i="21"/>
  <c r="A109" i="21"/>
  <c r="A6" i="21"/>
  <c r="A55" i="21"/>
  <c r="D267" i="21"/>
  <c r="C137" i="21"/>
  <c r="B72" i="21"/>
  <c r="A319" i="21"/>
  <c r="A276" i="21"/>
  <c r="A78" i="21"/>
  <c r="B238" i="21"/>
  <c r="D272" i="21"/>
  <c r="B339" i="21"/>
  <c r="A184" i="21"/>
  <c r="C214" i="21"/>
  <c r="A331" i="21"/>
  <c r="A84" i="21"/>
  <c r="A40" i="21"/>
  <c r="D9" i="21"/>
  <c r="A187" i="21"/>
  <c r="C73" i="21"/>
  <c r="A255" i="21"/>
  <c r="B49" i="21"/>
  <c r="A196" i="21"/>
  <c r="B28" i="21"/>
  <c r="D225" i="21"/>
  <c r="B268" i="21"/>
  <c r="D86" i="21"/>
  <c r="B102" i="21"/>
  <c r="B138" i="21"/>
  <c r="C50" i="21"/>
  <c r="B94" i="21"/>
  <c r="C315" i="21"/>
  <c r="D131" i="21"/>
  <c r="A89" i="21"/>
  <c r="A26" i="21"/>
  <c r="A289" i="21"/>
  <c r="D132" i="21"/>
  <c r="C68" i="21"/>
  <c r="B327" i="21"/>
  <c r="B226" i="21"/>
  <c r="B279" i="21"/>
  <c r="C62" i="21"/>
  <c r="B187" i="21"/>
  <c r="C141" i="21"/>
  <c r="B144" i="21"/>
  <c r="D296" i="21"/>
  <c r="B318" i="21"/>
  <c r="C129" i="21"/>
  <c r="C181" i="21"/>
  <c r="B38" i="21"/>
  <c r="C157" i="21"/>
  <c r="C270" i="21"/>
  <c r="B84" i="21"/>
  <c r="A300" i="21"/>
  <c r="D334" i="21"/>
  <c r="B280" i="21"/>
  <c r="A249" i="21"/>
  <c r="D36" i="21"/>
  <c r="A137" i="21"/>
  <c r="A180" i="21"/>
  <c r="B234" i="21"/>
  <c r="D145" i="21"/>
  <c r="C17" i="21"/>
  <c r="B328" i="21"/>
  <c r="C213" i="21"/>
  <c r="C152" i="21"/>
  <c r="B262" i="21"/>
  <c r="A335" i="21"/>
  <c r="B132" i="21"/>
  <c r="C86" i="21"/>
  <c r="D247" i="21"/>
  <c r="A85" i="21"/>
  <c r="A91" i="21"/>
  <c r="B16" i="21"/>
  <c r="A290" i="21"/>
  <c r="D251" i="21"/>
  <c r="D65" i="21"/>
  <c r="A214" i="21"/>
  <c r="C216" i="21"/>
  <c r="D38" i="21"/>
  <c r="A231" i="21"/>
  <c r="A274" i="21"/>
  <c r="B273" i="21"/>
  <c r="D210" i="21"/>
  <c r="C138" i="21"/>
  <c r="D311" i="21"/>
  <c r="B209" i="21"/>
  <c r="B245" i="21"/>
  <c r="C265" i="21"/>
  <c r="B37" i="21"/>
  <c r="C273" i="21"/>
  <c r="B43" i="21"/>
  <c r="A292" i="21"/>
  <c r="A96" i="21"/>
  <c r="D232" i="21"/>
  <c r="B304" i="21"/>
  <c r="C151" i="21"/>
  <c r="D23" i="21"/>
  <c r="B288" i="21"/>
  <c r="B242" i="21"/>
  <c r="A113" i="21"/>
  <c r="B147" i="21"/>
  <c r="D107" i="21"/>
  <c r="A43" i="21"/>
  <c r="C51" i="21"/>
  <c r="C48" i="21"/>
  <c r="B308" i="21"/>
  <c r="D216" i="21"/>
  <c r="A222" i="21"/>
  <c r="B19" i="21"/>
  <c r="B193" i="21"/>
  <c r="A260" i="21"/>
  <c r="A101" i="21"/>
  <c r="B258" i="21"/>
  <c r="D327" i="21"/>
  <c r="A107" i="21"/>
  <c r="B58" i="21"/>
  <c r="C71" i="21"/>
  <c r="C145" i="21"/>
  <c r="D25" i="21"/>
  <c r="D215" i="21"/>
  <c r="B90" i="21"/>
  <c r="C240" i="21"/>
  <c r="B55" i="21"/>
  <c r="B299" i="21"/>
  <c r="B248" i="21"/>
  <c r="B23" i="21"/>
  <c r="A86" i="21"/>
  <c r="A7" i="21"/>
  <c r="A287" i="21"/>
  <c r="B202" i="21"/>
  <c r="B201" i="21"/>
  <c r="D194" i="21"/>
  <c r="C237" i="21"/>
  <c r="C300" i="21"/>
  <c r="B151" i="21"/>
  <c r="C150" i="21"/>
  <c r="A20" i="21"/>
  <c r="A326" i="21"/>
  <c r="B235" i="21"/>
  <c r="A110" i="21"/>
  <c r="B142" i="21"/>
  <c r="C95" i="21"/>
  <c r="D109" i="21"/>
  <c r="B254" i="21"/>
  <c r="D288" i="21"/>
  <c r="A189" i="21"/>
  <c r="D124" i="21"/>
  <c r="A269" i="21"/>
  <c r="C328" i="21"/>
  <c r="C96" i="21"/>
  <c r="D92" i="21"/>
  <c r="C164" i="21"/>
  <c r="A164" i="21"/>
  <c r="D87" i="21"/>
  <c r="A145" i="21"/>
  <c r="C93" i="21"/>
  <c r="B114" i="21"/>
  <c r="C22" i="21"/>
  <c r="C118" i="21"/>
  <c r="D199" i="21"/>
  <c r="C18" i="21"/>
  <c r="D269" i="21"/>
  <c r="C7" i="21"/>
  <c r="D260" i="21"/>
  <c r="D175" i="21"/>
  <c r="B178" i="21"/>
  <c r="D333" i="21"/>
  <c r="A157" i="21"/>
  <c r="D157" i="21"/>
  <c r="A170" i="21"/>
  <c r="A232" i="21"/>
  <c r="B136" i="21"/>
  <c r="A65" i="21"/>
  <c r="B131" i="21"/>
  <c r="C11" i="21"/>
  <c r="C89" i="21"/>
  <c r="B108" i="21"/>
  <c r="A130" i="21"/>
  <c r="B183" i="21"/>
  <c r="D170" i="21"/>
  <c r="D188" i="21"/>
  <c r="A135" i="21"/>
  <c r="B27" i="21"/>
  <c r="D290" i="21"/>
  <c r="A70" i="21"/>
  <c r="C313" i="21"/>
  <c r="A134" i="21"/>
  <c r="C197" i="21"/>
  <c r="D29" i="21"/>
  <c r="C271" i="21"/>
  <c r="D136" i="21"/>
  <c r="C15" i="21"/>
  <c r="B20" i="21"/>
  <c r="A140" i="21"/>
  <c r="D146" i="21"/>
  <c r="C149" i="21"/>
  <c r="D147" i="21"/>
  <c r="D47" i="21"/>
  <c r="C288" i="21"/>
  <c r="C261" i="21"/>
  <c r="C159" i="21"/>
  <c r="A215" i="21"/>
  <c r="C169" i="21"/>
  <c r="D234" i="21"/>
  <c r="D20" i="21"/>
  <c r="A307" i="21"/>
  <c r="C255" i="21"/>
  <c r="D34" i="21"/>
  <c r="D261" i="21"/>
  <c r="B180" i="21"/>
  <c r="B149" i="21"/>
  <c r="C8" i="21"/>
  <c r="A197" i="21"/>
  <c r="B88" i="21"/>
  <c r="D224" i="21"/>
  <c r="A132" i="21"/>
  <c r="D11" i="21"/>
  <c r="B169" i="21"/>
  <c r="D179" i="21"/>
  <c r="A267" i="21"/>
  <c r="B335" i="21"/>
  <c r="D291" i="21"/>
  <c r="B75" i="21"/>
  <c r="C185" i="21"/>
  <c r="C128" i="21"/>
  <c r="B296" i="21"/>
  <c r="B51" i="21"/>
  <c r="C226" i="21"/>
  <c r="A253" i="21"/>
  <c r="A76" i="21"/>
  <c r="B195" i="21"/>
  <c r="D337" i="21"/>
  <c r="B334" i="21"/>
  <c r="A138" i="21"/>
  <c r="A266" i="21"/>
  <c r="D173" i="21"/>
  <c r="B190" i="21"/>
  <c r="A136" i="21"/>
  <c r="C135" i="21"/>
  <c r="D33" i="21"/>
  <c r="C90" i="21"/>
  <c r="B333" i="21"/>
  <c r="A212" i="21"/>
  <c r="D89" i="21"/>
  <c r="D305" i="21"/>
  <c r="D249" i="21"/>
  <c r="A176" i="21"/>
  <c r="D83" i="21"/>
  <c r="D51" i="21"/>
  <c r="A224" i="21"/>
  <c r="C92" i="21"/>
  <c r="C233" i="21"/>
  <c r="C43" i="21"/>
  <c r="A295" i="21"/>
  <c r="C183" i="21"/>
  <c r="A262" i="21"/>
  <c r="B322" i="21"/>
  <c r="D81" i="21"/>
  <c r="D233" i="21"/>
  <c r="A77" i="21"/>
  <c r="B251" i="21"/>
  <c r="D183" i="21"/>
  <c r="B277" i="21"/>
  <c r="D266" i="21"/>
  <c r="A188" i="21"/>
  <c r="D197" i="21"/>
  <c r="C91" i="21"/>
  <c r="C165" i="21"/>
  <c r="C130" i="21"/>
  <c r="A246" i="21"/>
  <c r="B324" i="21"/>
  <c r="D39" i="21"/>
  <c r="C287" i="21"/>
  <c r="A141" i="21"/>
  <c r="B314" i="21"/>
  <c r="B101" i="21"/>
  <c r="C196" i="21"/>
  <c r="C27" i="21"/>
  <c r="A230" i="21"/>
  <c r="A245" i="21"/>
  <c r="B100" i="21"/>
  <c r="B21" i="21"/>
  <c r="D209" i="21"/>
  <c r="B133" i="21"/>
  <c r="B127" i="21"/>
  <c r="C98" i="21"/>
  <c r="C262" i="21"/>
  <c r="A163" i="21"/>
  <c r="B86" i="21"/>
  <c r="D182" i="21"/>
  <c r="C174" i="21"/>
  <c r="A302" i="21"/>
  <c r="A268" i="21"/>
  <c r="A92" i="21"/>
  <c r="D95" i="21"/>
  <c r="A30" i="21"/>
  <c r="A252" i="21"/>
  <c r="D148" i="21"/>
  <c r="B68" i="21"/>
  <c r="B188" i="21"/>
  <c r="C39" i="21"/>
  <c r="A63" i="21"/>
  <c r="D281" i="21"/>
  <c r="D44" i="21"/>
  <c r="C168" i="21"/>
  <c r="A148" i="21"/>
  <c r="A273" i="21"/>
  <c r="A161" i="21"/>
  <c r="C133" i="21"/>
  <c r="D55" i="21"/>
  <c r="C144" i="21"/>
  <c r="B294" i="21"/>
  <c r="D178" i="21"/>
  <c r="B249" i="21"/>
  <c r="B164" i="21"/>
  <c r="D49" i="21"/>
  <c r="C111" i="21"/>
  <c r="A298" i="21"/>
  <c r="D101" i="21"/>
  <c r="C45" i="21"/>
  <c r="C320" i="21"/>
  <c r="D294" i="21"/>
  <c r="B239" i="21"/>
  <c r="D117" i="21"/>
  <c r="A254" i="21"/>
  <c r="D133" i="21"/>
  <c r="B306" i="21"/>
  <c r="A282" i="21"/>
  <c r="A190" i="21"/>
  <c r="B278" i="21"/>
  <c r="D7" i="21"/>
  <c r="A44" i="21"/>
  <c r="D50" i="21"/>
  <c r="B184" i="21"/>
  <c r="C153" i="21"/>
  <c r="D187" i="21"/>
  <c r="C194" i="21"/>
  <c r="D326" i="21"/>
  <c r="D292" i="21"/>
  <c r="C318" i="21"/>
  <c r="B129" i="21"/>
  <c r="A182" i="21"/>
  <c r="B222" i="21"/>
  <c r="B236" i="21"/>
  <c r="B83" i="21"/>
  <c r="A279" i="21"/>
  <c r="C16" i="21"/>
  <c r="D214" i="21"/>
  <c r="A210" i="21"/>
  <c r="D191" i="21"/>
  <c r="C212" i="21"/>
  <c r="C248" i="21"/>
  <c r="A263" i="21"/>
  <c r="B48" i="21"/>
  <c r="B79" i="21"/>
  <c r="B255" i="21"/>
  <c r="D111" i="21"/>
  <c r="D241" i="21"/>
  <c r="B199" i="21"/>
  <c r="D91" i="21"/>
  <c r="C35" i="21"/>
  <c r="B87" i="21"/>
  <c r="C114" i="21"/>
  <c r="C284" i="21"/>
  <c r="A16" i="21"/>
  <c r="C40" i="21"/>
  <c r="B260" i="21"/>
  <c r="C257" i="21"/>
  <c r="D186" i="21"/>
  <c r="D331" i="21"/>
  <c r="A309" i="21"/>
  <c r="B177" i="21"/>
  <c r="A64" i="21"/>
  <c r="D18" i="21"/>
  <c r="D262" i="21"/>
  <c r="C324" i="21"/>
  <c r="A90" i="21"/>
  <c r="D252" i="21"/>
  <c r="C143" i="21"/>
  <c r="C58" i="21"/>
  <c r="A19" i="21"/>
  <c r="C14" i="21"/>
  <c r="D135" i="21"/>
  <c r="B96" i="21"/>
  <c r="B106" i="21"/>
  <c r="C63" i="21"/>
  <c r="A334" i="21"/>
  <c r="C310" i="21"/>
  <c r="C82" i="21"/>
  <c r="D274" i="21"/>
  <c r="D31" i="21"/>
  <c r="C325" i="21"/>
  <c r="B26" i="21"/>
  <c r="C74" i="21"/>
  <c r="B29" i="21"/>
  <c r="A36" i="21"/>
  <c r="A100" i="21"/>
  <c r="D319" i="21"/>
  <c r="D308" i="21"/>
  <c r="C180" i="21"/>
  <c r="B98" i="21"/>
  <c r="D237" i="21"/>
  <c r="A270" i="21"/>
  <c r="D104" i="21"/>
  <c r="D229" i="21"/>
  <c r="B22" i="21"/>
  <c r="D211" i="21"/>
  <c r="C227" i="21"/>
  <c r="C84" i="21"/>
  <c r="D125" i="21"/>
  <c r="B185" i="21"/>
  <c r="C290" i="21"/>
  <c r="B60" i="21"/>
  <c r="C132" i="21"/>
  <c r="A258" i="21"/>
  <c r="A198" i="21"/>
  <c r="C119" i="21"/>
  <c r="B263" i="21"/>
  <c r="C243" i="21"/>
  <c r="D226" i="21"/>
  <c r="C209" i="21"/>
  <c r="B231" i="21"/>
  <c r="A119" i="21"/>
  <c r="B71" i="21"/>
  <c r="D240" i="21"/>
  <c r="D180" i="21"/>
  <c r="A330" i="21"/>
  <c r="C191" i="21"/>
  <c r="C30" i="21"/>
  <c r="D335" i="21"/>
  <c r="C241" i="21"/>
  <c r="A322" i="21"/>
  <c r="C107" i="21"/>
  <c r="C222" i="21"/>
  <c r="C249" i="21"/>
  <c r="D235" i="21"/>
  <c r="C279" i="21"/>
  <c r="C172" i="21"/>
  <c r="D196" i="21"/>
  <c r="A264" i="21"/>
  <c r="A169" i="21"/>
  <c r="B302" i="21"/>
  <c r="B93" i="21"/>
  <c r="D259" i="21"/>
  <c r="A98" i="21"/>
  <c r="A127" i="21"/>
  <c r="C336" i="21"/>
  <c r="B191" i="21"/>
  <c r="A128" i="21"/>
  <c r="C142" i="21"/>
  <c r="A121" i="21"/>
  <c r="A108" i="21"/>
  <c r="C126" i="21"/>
  <c r="B303" i="21"/>
  <c r="C99" i="21"/>
  <c r="A208" i="21"/>
  <c r="C140" i="21"/>
  <c r="B163" i="21"/>
  <c r="C244" i="21"/>
  <c r="A209" i="21"/>
  <c r="C211" i="21"/>
  <c r="C264" i="21"/>
  <c r="D61" i="21"/>
  <c r="B267" i="21"/>
  <c r="C263" i="21"/>
  <c r="B240" i="21"/>
  <c r="B250" i="21"/>
  <c r="C184" i="21"/>
  <c r="C156" i="21"/>
  <c r="B156" i="21"/>
  <c r="A221" i="21"/>
  <c r="A59" i="21"/>
  <c r="C105" i="21"/>
  <c r="C326" i="21"/>
  <c r="D204" i="21"/>
  <c r="A165" i="21"/>
  <c r="C69" i="21"/>
  <c r="D163" i="21"/>
  <c r="D103" i="21"/>
  <c r="A142" i="21"/>
  <c r="A168" i="21"/>
  <c r="D339" i="21"/>
  <c r="D324" i="21"/>
  <c r="B172" i="21"/>
  <c r="C251" i="21"/>
  <c r="A179" i="21"/>
  <c r="D16" i="21"/>
  <c r="B137" i="21"/>
  <c r="B34" i="21"/>
  <c r="D58" i="21"/>
  <c r="A223" i="21"/>
  <c r="B44" i="21"/>
  <c r="C52" i="21"/>
  <c r="B91" i="21"/>
  <c r="D59" i="21"/>
  <c r="B155" i="21"/>
  <c r="C282" i="21"/>
  <c r="D153" i="21"/>
  <c r="D162" i="21"/>
  <c r="A201" i="21"/>
  <c r="D119" i="21"/>
  <c r="D277" i="21"/>
  <c r="C297" i="21"/>
  <c r="B290" i="21"/>
  <c r="C104" i="21"/>
  <c r="A75" i="21"/>
  <c r="D255" i="21"/>
  <c r="A328" i="21"/>
  <c r="C333" i="21"/>
  <c r="B214" i="21"/>
  <c r="C189" i="21"/>
  <c r="D239" i="21"/>
  <c r="B291" i="21"/>
  <c r="A173" i="21"/>
  <c r="D82" i="21"/>
  <c r="B57" i="21"/>
  <c r="A247" i="21"/>
  <c r="A154" i="21"/>
  <c r="A131" i="21"/>
  <c r="A265" i="21"/>
  <c r="C311" i="21"/>
  <c r="A46" i="21"/>
  <c r="B323" i="21"/>
  <c r="A9" i="21"/>
  <c r="D105" i="21"/>
  <c r="A99" i="21"/>
  <c r="C256" i="21"/>
  <c r="C79" i="21"/>
  <c r="A327" i="21"/>
  <c r="B69" i="21"/>
  <c r="A83" i="21"/>
  <c r="C281" i="21"/>
  <c r="B316" i="21"/>
  <c r="D205" i="21"/>
  <c r="A272" i="21"/>
  <c r="B7" i="21"/>
  <c r="A194" i="21"/>
  <c r="D72" i="21"/>
  <c r="B210" i="21"/>
  <c r="B15" i="21"/>
  <c r="D113" i="21"/>
  <c r="D62" i="21"/>
  <c r="A251" i="21"/>
  <c r="A259" i="21"/>
  <c r="A261" i="21"/>
  <c r="D268" i="21"/>
  <c r="B162" i="21"/>
  <c r="D54" i="21"/>
  <c r="C46" i="21"/>
  <c r="A308" i="21"/>
  <c r="D318" i="21"/>
  <c r="C254" i="21"/>
  <c r="D280" i="21"/>
  <c r="C260" i="21"/>
  <c r="D127" i="21"/>
  <c r="B237" i="21"/>
  <c r="C80" i="21"/>
  <c r="B313" i="21"/>
  <c r="D149" i="21"/>
  <c r="C23" i="21"/>
  <c r="D323" i="21"/>
  <c r="B150" i="21"/>
  <c r="D166" i="21"/>
  <c r="B272" i="21"/>
  <c r="B111" i="21"/>
  <c r="A174" i="21"/>
  <c r="D338" i="21"/>
  <c r="B325" i="21"/>
  <c r="B225" i="21"/>
  <c r="C203" i="21"/>
  <c r="B253" i="21"/>
  <c r="B266" i="21"/>
  <c r="D293" i="21"/>
  <c r="C221" i="21"/>
  <c r="D154" i="21"/>
  <c r="A211" i="21"/>
  <c r="C116" i="21"/>
  <c r="B161" i="21"/>
  <c r="C24" i="21"/>
  <c r="C34" i="21"/>
  <c r="B212" i="21"/>
  <c r="B275" i="21"/>
  <c r="D171" i="21"/>
  <c r="C210" i="21"/>
  <c r="A28" i="21"/>
  <c r="B298" i="21"/>
  <c r="B179" i="21"/>
  <c r="A288" i="21"/>
  <c r="D228" i="21"/>
  <c r="D206" i="21"/>
  <c r="C117" i="21"/>
  <c r="A312" i="21"/>
  <c r="C302" i="21"/>
  <c r="A175" i="21"/>
  <c r="A166" i="21"/>
  <c r="D35" i="21"/>
  <c r="C56" i="21"/>
  <c r="B62" i="21"/>
  <c r="C296" i="21"/>
  <c r="D250" i="21"/>
  <c r="A11" i="21"/>
  <c r="C54" i="21"/>
  <c r="C286" i="21"/>
  <c r="C215" i="21"/>
  <c r="C146" i="21"/>
  <c r="D60" i="21"/>
  <c r="B17" i="21"/>
  <c r="B173" i="21"/>
  <c r="A337" i="21"/>
  <c r="C81" i="21"/>
  <c r="B45" i="21"/>
  <c r="D128" i="21"/>
  <c r="D219" i="21"/>
  <c r="C289" i="21"/>
  <c r="B8" i="21"/>
  <c r="D116" i="21"/>
  <c r="C53" i="21"/>
  <c r="D99" i="21"/>
  <c r="A27" i="21"/>
  <c r="A280" i="21"/>
  <c r="C259" i="21"/>
  <c r="B182" i="21"/>
  <c r="C97" i="21"/>
  <c r="A338" i="21"/>
  <c r="A204" i="21"/>
  <c r="C33" i="21"/>
  <c r="A156" i="21"/>
  <c r="D130" i="21"/>
  <c r="A39" i="21"/>
  <c r="A244" i="21"/>
  <c r="A250" i="21"/>
  <c r="A61" i="21"/>
  <c r="D301" i="21"/>
  <c r="C242" i="21"/>
  <c r="A281" i="21"/>
  <c r="B192" i="21"/>
  <c r="D185" i="21"/>
  <c r="B194" i="21"/>
  <c r="D90" i="21"/>
  <c r="D30" i="21"/>
  <c r="C110" i="21"/>
  <c r="B218" i="21"/>
  <c r="A311" i="21"/>
  <c r="C309" i="21"/>
  <c r="C41" i="21"/>
  <c r="A191" i="21"/>
  <c r="B99" i="21"/>
  <c r="C64" i="21"/>
  <c r="A42" i="21"/>
  <c r="D189" i="21"/>
  <c r="B243" i="21"/>
  <c r="B30" i="21"/>
  <c r="B230" i="21"/>
  <c r="C307" i="21"/>
  <c r="A240" i="21"/>
  <c r="D19" i="21"/>
  <c r="A171" i="21"/>
  <c r="B18" i="21"/>
  <c r="A13" i="21"/>
  <c r="C338" i="21"/>
  <c r="A172" i="21"/>
  <c r="D270" i="21"/>
  <c r="D223" i="21"/>
  <c r="A18" i="21"/>
  <c r="A285" i="21"/>
  <c r="D244" i="21"/>
  <c r="A293" i="21"/>
  <c r="A114" i="21"/>
  <c r="A193" i="21"/>
  <c r="B259" i="21"/>
  <c r="C305" i="21"/>
  <c r="A243" i="21"/>
  <c r="A320" i="21"/>
  <c r="A38" i="21"/>
  <c r="D77" i="21"/>
  <c r="B70" i="21"/>
  <c r="D264" i="21"/>
  <c r="A35" i="21"/>
  <c r="A238" i="21"/>
  <c r="D120" i="21"/>
  <c r="D84" i="21"/>
  <c r="A159" i="21"/>
  <c r="D143" i="21"/>
  <c r="A52" i="21"/>
  <c r="D310" i="21"/>
  <c r="B52" i="21"/>
  <c r="B6" i="21"/>
  <c r="B175" i="21"/>
  <c r="D184" i="21"/>
  <c r="A227" i="21"/>
  <c r="A277" i="21"/>
  <c r="A202" i="21"/>
  <c r="B315" i="21"/>
  <c r="D304" i="21"/>
  <c r="A152" i="21"/>
  <c r="A105" i="21"/>
  <c r="B223" i="21"/>
  <c r="B53" i="21"/>
  <c r="C87" i="21"/>
  <c r="C123" i="21"/>
  <c r="B32" i="21"/>
  <c r="B105" i="21"/>
  <c r="A186" i="21"/>
  <c r="C20" i="21"/>
  <c r="A8" i="21"/>
  <c r="A283" i="21"/>
  <c r="D64" i="21"/>
  <c r="A45" i="21"/>
  <c r="D22" i="21"/>
  <c r="C186" i="21"/>
  <c r="D129" i="21"/>
  <c r="C176" i="21"/>
  <c r="D69" i="21"/>
  <c r="B189" i="21"/>
  <c r="D122" i="21"/>
  <c r="D246" i="21"/>
  <c r="D93" i="21"/>
  <c r="B307" i="21"/>
  <c r="B203" i="21"/>
  <c r="A103" i="21"/>
  <c r="C275" i="21"/>
  <c r="D245" i="21"/>
  <c r="D321" i="21"/>
  <c r="D32" i="21"/>
  <c r="B135" i="21"/>
  <c r="C179" i="21"/>
  <c r="C217" i="21"/>
  <c r="D106" i="21"/>
  <c r="C12" i="21"/>
  <c r="C339" i="21"/>
  <c r="D172" i="21"/>
  <c r="C293" i="21"/>
  <c r="D282" i="21"/>
  <c r="B331" i="21"/>
  <c r="B220" i="21"/>
  <c r="D24" i="21"/>
  <c r="B228" i="21"/>
  <c r="D53" i="21"/>
  <c r="B336" i="21"/>
  <c r="B301" i="21"/>
  <c r="A118" i="21"/>
  <c r="C148" i="21"/>
  <c r="C26" i="21"/>
  <c r="D242" i="21"/>
  <c r="A213" i="21"/>
  <c r="D289" i="21"/>
  <c r="D8" i="21"/>
  <c r="C175" i="21"/>
  <c r="B113" i="21"/>
  <c r="B286" i="21"/>
  <c r="B122" i="21"/>
  <c r="B73" i="21"/>
  <c r="D221" i="21"/>
  <c r="A318" i="21"/>
  <c r="A151" i="21"/>
  <c r="A93" i="21"/>
  <c r="A325" i="21"/>
  <c r="C228" i="21"/>
  <c r="C258" i="21"/>
  <c r="C65" i="21"/>
  <c r="C66" i="21"/>
  <c r="D6" i="21"/>
  <c r="D320" i="21"/>
  <c r="A81" i="21"/>
  <c r="C188" i="21"/>
  <c r="B125" i="21"/>
  <c r="D336" i="21"/>
  <c r="B293" i="21"/>
  <c r="A47" i="21"/>
  <c r="B33" i="21"/>
  <c r="B54" i="21"/>
  <c r="B271" i="21"/>
  <c r="C182" i="21"/>
  <c r="B269" i="21"/>
  <c r="B85" i="21"/>
  <c r="A226" i="21"/>
  <c r="D17" i="21"/>
  <c r="D256" i="21"/>
  <c r="C162" i="21"/>
  <c r="A31" i="21"/>
  <c r="D28" i="21"/>
  <c r="C37" i="21"/>
  <c r="A82" i="21"/>
  <c r="B204" i="21"/>
  <c r="B338" i="21"/>
  <c r="A218" i="21"/>
  <c r="B92" i="21"/>
  <c r="A124" i="21"/>
  <c r="D208" i="21"/>
  <c r="C19" i="21"/>
  <c r="D142" i="21"/>
  <c r="C121" i="21"/>
  <c r="D26" i="21"/>
  <c r="C198" i="21"/>
  <c r="B107" i="21"/>
  <c r="A139" i="21"/>
  <c r="C231" i="21"/>
  <c r="B13" i="21"/>
  <c r="B159" i="21"/>
  <c r="D313" i="21"/>
  <c r="D110" i="21"/>
  <c r="B200" i="21"/>
  <c r="C155" i="21"/>
  <c r="C245" i="21"/>
  <c r="C113" i="21"/>
  <c r="C108" i="21"/>
  <c r="B211" i="21"/>
  <c r="D63" i="21"/>
  <c r="C158" i="21"/>
  <c r="D257" i="21"/>
  <c r="B297" i="21"/>
  <c r="D150" i="21"/>
  <c r="C247" i="21"/>
  <c r="C332" i="21"/>
  <c r="B134" i="21"/>
  <c r="D222" i="21"/>
  <c r="B118" i="21"/>
  <c r="C337" i="21"/>
  <c r="C78" i="21"/>
  <c r="D139" i="21"/>
  <c r="A185" i="21"/>
  <c r="C246" i="21"/>
  <c r="D94" i="21"/>
  <c r="D12" i="21"/>
  <c r="B197" i="21"/>
  <c r="C47" i="21"/>
  <c r="C101" i="21"/>
  <c r="A217" i="21"/>
  <c r="C83" i="21"/>
  <c r="A229" i="21"/>
  <c r="C178" i="21"/>
  <c r="A126" i="21"/>
  <c r="C195" i="21"/>
  <c r="A305" i="21"/>
  <c r="D98" i="21"/>
  <c r="A104" i="21"/>
  <c r="B319" i="21"/>
  <c r="D265" i="21"/>
  <c r="B46" i="21"/>
  <c r="A88" i="21"/>
  <c r="A336" i="21"/>
  <c r="B154" i="21"/>
  <c r="B77" i="21"/>
  <c r="B25" i="21"/>
  <c r="C323" i="21"/>
  <c r="A115" i="21"/>
  <c r="D151" i="21"/>
  <c r="C335" i="21"/>
  <c r="D295" i="21"/>
  <c r="A122" i="21"/>
  <c r="C316" i="21"/>
  <c r="A203" i="21"/>
  <c r="B276" i="21"/>
  <c r="A51" i="21"/>
  <c r="A155" i="21"/>
  <c r="A162" i="21"/>
  <c r="D102" i="21"/>
  <c r="C331" i="21"/>
  <c r="C238" i="21"/>
  <c r="C136" i="21"/>
  <c r="A313" i="21"/>
  <c r="C9" i="21"/>
  <c r="C134" i="21"/>
  <c r="B61" i="21"/>
  <c r="C322" i="21"/>
  <c r="D203" i="21"/>
  <c r="D200" i="21"/>
  <c r="C127" i="21"/>
  <c r="D276" i="21"/>
  <c r="A256" i="21"/>
  <c r="C285" i="21"/>
  <c r="C31" i="21"/>
  <c r="A32" i="21"/>
  <c r="B119" i="21"/>
  <c r="C122" i="21"/>
  <c r="A181" i="21"/>
  <c r="C72" i="21"/>
  <c r="D76" i="21"/>
  <c r="C171" i="21"/>
  <c r="A22" i="21"/>
  <c r="D167" i="21"/>
  <c r="D302" i="21"/>
  <c r="A225" i="21"/>
  <c r="D27" i="21"/>
  <c r="D123" i="21"/>
  <c r="D159" i="21"/>
  <c r="C314" i="21"/>
  <c r="A120" i="21"/>
  <c r="A284" i="21"/>
  <c r="D238" i="21"/>
  <c r="C147" i="21"/>
  <c r="C67" i="21"/>
  <c r="C75" i="21"/>
  <c r="C120" i="21"/>
  <c r="C220" i="21"/>
  <c r="C29" i="21"/>
  <c r="B120" i="21"/>
  <c r="D316" i="21"/>
  <c r="D181" i="21"/>
  <c r="C115" i="21"/>
  <c r="A49" i="21"/>
  <c r="A144" i="21"/>
  <c r="C49" i="21"/>
  <c r="D263" i="21"/>
  <c r="B160" i="21"/>
  <c r="A178" i="21"/>
  <c r="B274" i="21"/>
  <c r="C57" i="21"/>
  <c r="A248" i="21"/>
  <c r="D160" i="21"/>
  <c r="C38" i="21"/>
  <c r="B287" i="21"/>
  <c r="C131" i="21"/>
  <c r="B205" i="21"/>
  <c r="B35" i="21"/>
  <c r="B110" i="21"/>
  <c r="C154" i="21"/>
  <c r="A41" i="21"/>
  <c r="B321" i="21"/>
  <c r="B332" i="21"/>
  <c r="D74" i="21"/>
  <c r="C76" i="21"/>
  <c r="C167" i="21"/>
  <c r="D108" i="21"/>
  <c r="D67" i="21"/>
  <c r="A167" i="21"/>
  <c r="B221" i="21"/>
  <c r="D13" i="21"/>
  <c r="C269" i="21"/>
  <c r="C177" i="21"/>
  <c r="B265" i="21"/>
  <c r="B320" i="21"/>
  <c r="C218" i="21"/>
  <c r="D254" i="21"/>
  <c r="C42" i="21"/>
  <c r="D141" i="21"/>
  <c r="D100" i="21"/>
  <c r="B174" i="21"/>
  <c r="C225" i="21"/>
  <c r="A323" i="21"/>
  <c r="C294" i="21"/>
  <c r="D220" i="21"/>
  <c r="C204" i="21"/>
  <c r="C232" i="21"/>
  <c r="D96" i="21"/>
  <c r="A206" i="21"/>
  <c r="B10" i="21"/>
  <c r="A53" i="21"/>
  <c r="C85" i="21"/>
  <c r="A207" i="21"/>
  <c r="D315" i="21"/>
  <c r="D273" i="21"/>
  <c r="C299" i="21"/>
  <c r="D37" i="21"/>
  <c r="B264" i="21"/>
  <c r="C229" i="21"/>
  <c r="D46" i="21"/>
  <c r="C193" i="21"/>
  <c r="D158" i="21"/>
  <c r="D198" i="21"/>
  <c r="A17" i="21"/>
  <c r="A72" i="21"/>
  <c r="D168" i="21"/>
  <c r="A14" i="21"/>
  <c r="A160" i="21"/>
  <c r="C234" i="21"/>
  <c r="D80" i="21"/>
  <c r="D309" i="21"/>
  <c r="D248" i="21"/>
  <c r="D73" i="21"/>
  <c r="C301" i="21"/>
  <c r="C298" i="21"/>
  <c r="A68" i="21"/>
  <c r="D121" i="21"/>
  <c r="D78" i="21"/>
  <c r="B198" i="21"/>
  <c r="C192" i="21"/>
  <c r="D71" i="21"/>
  <c r="A80" i="21"/>
  <c r="B167" i="21"/>
  <c r="B229" i="21"/>
  <c r="A291" i="21"/>
  <c r="D212" i="21"/>
  <c r="B166" i="21"/>
  <c r="A200" i="21"/>
  <c r="D192" i="21"/>
  <c r="B82" i="21"/>
  <c r="C6" i="21"/>
  <c r="D75" i="21"/>
  <c r="C250" i="21"/>
  <c r="B257" i="21"/>
  <c r="A146" i="21"/>
  <c r="A150" i="21"/>
  <c r="C272" i="21"/>
  <c r="B124" i="21"/>
  <c r="A296" i="21"/>
  <c r="A125" i="21"/>
  <c r="A236" i="21"/>
  <c r="D10" i="21"/>
  <c r="D300" i="21"/>
  <c r="A271" i="21"/>
  <c r="B283" i="21"/>
  <c r="A69" i="21"/>
  <c r="B246" i="21"/>
  <c r="B196" i="21"/>
  <c r="B76" i="21"/>
  <c r="B311" i="21"/>
  <c r="B326" i="21"/>
  <c r="A94" i="21"/>
  <c r="B289" i="21"/>
  <c r="D43" i="21"/>
  <c r="B116" i="21"/>
  <c r="A299" i="21"/>
  <c r="A303" i="21"/>
  <c r="D15" i="21"/>
  <c r="A67" i="21"/>
  <c r="A29" i="21"/>
  <c r="D195" i="21"/>
  <c r="B47" i="21"/>
  <c r="A97" i="21"/>
  <c r="D48" i="21"/>
  <c r="B59" i="21"/>
  <c r="D202" i="21"/>
  <c r="C124" i="21"/>
  <c r="C319" i="21"/>
  <c r="C224" i="21"/>
  <c r="A242" i="21"/>
  <c r="A195" i="21"/>
  <c r="D45" i="21"/>
  <c r="B11" i="21"/>
  <c r="B104" i="21"/>
  <c r="D161" i="21"/>
  <c r="D283" i="21"/>
  <c r="D177" i="21"/>
  <c r="C235" i="21"/>
  <c r="B74" i="21"/>
  <c r="A304" i="21"/>
  <c r="D218" i="21"/>
  <c r="A315" i="21"/>
  <c r="C208" i="21"/>
  <c r="A153" i="21"/>
  <c r="C268" i="21"/>
  <c r="B153" i="21"/>
  <c r="C77" i="21"/>
  <c r="D231" i="21"/>
  <c r="A301" i="21"/>
  <c r="C278" i="21"/>
  <c r="B123" i="21"/>
  <c r="A106" i="21"/>
  <c r="D322" i="21"/>
  <c r="C55" i="21"/>
  <c r="B186" i="21"/>
  <c r="D287" i="21"/>
  <c r="D138" i="21"/>
  <c r="D21" i="21"/>
  <c r="C329" i="21"/>
  <c r="D115" i="21"/>
  <c r="C59" i="21"/>
  <c r="A317" i="21"/>
  <c r="A60" i="21"/>
  <c r="C283" i="21"/>
  <c r="A57" i="21"/>
  <c r="B50" i="21"/>
  <c r="C317" i="21"/>
  <c r="A278" i="21"/>
  <c r="A25" i="21"/>
  <c r="D79" i="21"/>
  <c r="C207" i="21"/>
  <c r="C223" i="21"/>
  <c r="A56" i="21"/>
  <c r="B215" i="21"/>
  <c r="D85" i="21"/>
  <c r="A71" i="21"/>
  <c r="A216" i="21"/>
  <c r="C312" i="21"/>
  <c r="A286" i="21"/>
  <c r="C166" i="21"/>
  <c r="D41" i="21"/>
  <c r="B31" i="21"/>
  <c r="D330" i="21"/>
  <c r="D243" i="21"/>
  <c r="D217" i="21"/>
  <c r="C295" i="21"/>
  <c r="C139" i="21"/>
  <c r="B143" i="21"/>
  <c r="C308" i="21"/>
  <c r="A314" i="21"/>
  <c r="B300" i="21"/>
  <c r="C200" i="21"/>
  <c r="A324" i="21"/>
  <c r="A112" i="21"/>
  <c r="C109" i="21"/>
  <c r="C100" i="21"/>
  <c r="B24" i="21"/>
  <c r="B252" i="21"/>
  <c r="C330" i="21"/>
  <c r="B126" i="21"/>
  <c r="B146" i="21"/>
  <c r="B145" i="21"/>
  <c r="B109" i="21"/>
  <c r="A95" i="21"/>
  <c r="B9" i="21"/>
  <c r="C321" i="21"/>
  <c r="A87" i="21"/>
  <c r="B216" i="21"/>
  <c r="C252" i="21"/>
  <c r="A205" i="21"/>
  <c r="C44" i="21"/>
  <c r="A306" i="21"/>
  <c r="B112" i="21"/>
  <c r="C161" i="21"/>
  <c r="A239" i="21"/>
  <c r="A33" i="21"/>
  <c r="B36" i="21"/>
  <c r="B103" i="21"/>
  <c r="B224" i="21"/>
  <c r="B139" i="21"/>
  <c r="D169" i="21"/>
  <c r="D314" i="21"/>
  <c r="B148" i="21"/>
  <c r="A133" i="21"/>
  <c r="D285" i="21"/>
  <c r="B171" i="21"/>
  <c r="C32" i="21"/>
  <c r="A54" i="21"/>
  <c r="A235" i="21"/>
  <c r="B115" i="21"/>
  <c r="C274" i="21"/>
  <c r="C36" i="21"/>
  <c r="C201" i="21"/>
  <c r="C187" i="21"/>
  <c r="D329" i="21"/>
  <c r="D118" i="21"/>
  <c r="B208" i="21"/>
  <c r="D66" i="21"/>
  <c r="B213" i="21"/>
  <c r="D144" i="21"/>
  <c r="D271" i="21"/>
  <c r="B64" i="21"/>
  <c r="B310" i="21"/>
  <c r="D137" i="21"/>
  <c r="D253" i="21"/>
  <c r="B337" i="21"/>
  <c r="B256" i="21"/>
  <c r="A228" i="21"/>
  <c r="C266" i="21"/>
  <c r="D306" i="21"/>
  <c r="D297" i="21"/>
  <c r="D258" i="21"/>
  <c r="A15" i="21"/>
  <c r="B89" i="21"/>
  <c r="D278" i="21"/>
  <c r="B329" i="21"/>
  <c r="B140" i="21"/>
  <c r="D307" i="21"/>
  <c r="C112" i="21"/>
  <c r="B330" i="21"/>
  <c r="A37" i="21"/>
  <c r="B217" i="21"/>
  <c r="C292" i="21"/>
  <c r="B97" i="21"/>
  <c r="C163" i="21"/>
  <c r="A329" i="21"/>
  <c r="C306" i="21"/>
  <c r="D14" i="21"/>
  <c r="D325" i="21"/>
  <c r="A48" i="21"/>
  <c r="C21" i="21"/>
  <c r="D230" i="21"/>
  <c r="A24" i="21"/>
  <c r="C103" i="21"/>
  <c r="D56" i="21"/>
  <c r="B95" i="21"/>
  <c r="B281" i="21"/>
  <c r="B247" i="21"/>
  <c r="A192" i="21"/>
  <c r="C280" i="21"/>
  <c r="A177" i="21"/>
  <c r="B282" i="21"/>
  <c r="B39" i="21"/>
</calcChain>
</file>

<file path=xl/sharedStrings.xml><?xml version="1.0" encoding="utf-8"?>
<sst xmlns="http://schemas.openxmlformats.org/spreadsheetml/2006/main" count="4642" uniqueCount="2461">
  <si>
    <t>Tech Level:</t>
  </si>
  <si>
    <t>Cost</t>
  </si>
  <si>
    <t>Tonnage</t>
  </si>
  <si>
    <t>Hull Configuration</t>
  </si>
  <si>
    <t>Streamlined?</t>
  </si>
  <si>
    <t>Hull Points</t>
  </si>
  <si>
    <t>Space</t>
  </si>
  <si>
    <t>Armor</t>
  </si>
  <si>
    <t>ArmSpc</t>
  </si>
  <si>
    <t>Buffered Planetoid</t>
  </si>
  <si>
    <t>Unstreamlined</t>
  </si>
  <si>
    <t>Close Structure</t>
  </si>
  <si>
    <t>Partial</t>
  </si>
  <si>
    <t>Cone</t>
  </si>
  <si>
    <t>Streamlined</t>
  </si>
  <si>
    <t>Dispersed Structure</t>
  </si>
  <si>
    <t>Needle</t>
  </si>
  <si>
    <t>Planetoid</t>
  </si>
  <si>
    <t>Sphere</t>
  </si>
  <si>
    <t>Standard</t>
  </si>
  <si>
    <t>Wedge</t>
  </si>
  <si>
    <t>Hull Type</t>
  </si>
  <si>
    <t>Light Hull</t>
  </si>
  <si>
    <t>Reinforced Hull</t>
  </si>
  <si>
    <t>Standard Hull</t>
  </si>
  <si>
    <t>Armor Type</t>
  </si>
  <si>
    <t>TL</t>
  </si>
  <si>
    <t>Max</t>
  </si>
  <si>
    <t>Bonded Superdense</t>
  </si>
  <si>
    <t>Crystaliron</t>
  </si>
  <si>
    <t>Molecular Bonded</t>
  </si>
  <si>
    <t>Titanium Steel</t>
  </si>
  <si>
    <t>Hull Options</t>
  </si>
  <si>
    <t xml:space="preserve"> </t>
  </si>
  <si>
    <t xml:space="preserve">DM-2 Electronics (Sensors) </t>
  </si>
  <si>
    <t>Heat Shielding</t>
  </si>
  <si>
    <t>Unpowered reentry</t>
  </si>
  <si>
    <t>Radiation Shielding</t>
  </si>
  <si>
    <t>Reduce Rads by 1000</t>
  </si>
  <si>
    <t>Reflec</t>
  </si>
  <si>
    <t>Protection +3 vs Lasers</t>
  </si>
  <si>
    <t>Stealth</t>
  </si>
  <si>
    <t>DM-4 Electronics (Sensors)</t>
  </si>
  <si>
    <t>DM-6 Electronics (Sensors)</t>
  </si>
  <si>
    <t>Armor Value</t>
  </si>
  <si>
    <t>Page Total</t>
  </si>
  <si>
    <t>Available Space</t>
  </si>
  <si>
    <t>Required Power</t>
  </si>
  <si>
    <t>Item Tons</t>
  </si>
  <si>
    <t>Engineering</t>
  </si>
  <si>
    <t>Manoeuvre Drive</t>
  </si>
  <si>
    <t>Rating</t>
  </si>
  <si>
    <t>FTL</t>
  </si>
  <si>
    <t>Jump Drive</t>
  </si>
  <si>
    <t>Engine Type</t>
  </si>
  <si>
    <t>Power</t>
  </si>
  <si>
    <t>Reaction Drive</t>
  </si>
  <si>
    <t>Hyperdrive</t>
  </si>
  <si>
    <t>Space Folding Drive</t>
  </si>
  <si>
    <t>Warp Drive</t>
  </si>
  <si>
    <t>Manoeuvre</t>
  </si>
  <si>
    <t>N/A</t>
  </si>
  <si>
    <t>Reaction</t>
  </si>
  <si>
    <t>Hyperdrive/Warp</t>
  </si>
  <si>
    <t>Power Plant</t>
  </si>
  <si>
    <t>Power Plant Type</t>
  </si>
  <si>
    <t>P/Ton</t>
  </si>
  <si>
    <t>Fuel</t>
  </si>
  <si>
    <t>Antimatter</t>
  </si>
  <si>
    <t>Chemical</t>
  </si>
  <si>
    <t>Fission</t>
  </si>
  <si>
    <t>Fusion TL 08</t>
  </si>
  <si>
    <t>Fusion TL 12</t>
  </si>
  <si>
    <t>Fusion TL 15</t>
  </si>
  <si>
    <t>Power Output</t>
  </si>
  <si>
    <t>Reaction Thrust-Hours</t>
  </si>
  <si>
    <t>Weeks of Operation</t>
  </si>
  <si>
    <t>Additional Tons of Fuel</t>
  </si>
  <si>
    <t>Bridge</t>
  </si>
  <si>
    <t>Standard Bridge</t>
  </si>
  <si>
    <t>Size</t>
  </si>
  <si>
    <t>Cockpit</t>
  </si>
  <si>
    <t>Command Bridge</t>
  </si>
  <si>
    <t>DM+1 to all Tactics (naval) checks</t>
  </si>
  <si>
    <t>Dual Cockpit</t>
  </si>
  <si>
    <t>Small Bridge</t>
  </si>
  <si>
    <t xml:space="preserve">DM-1 for all Ship's Ops checks from Bridge </t>
  </si>
  <si>
    <t>No Modifiers</t>
  </si>
  <si>
    <t>Main Bridge</t>
  </si>
  <si>
    <t>None</t>
  </si>
  <si>
    <t>Computer</t>
  </si>
  <si>
    <t>Main Computer</t>
  </si>
  <si>
    <t>Backup Computer</t>
  </si>
  <si>
    <t>Special Hulls</t>
  </si>
  <si>
    <t>Double Hull</t>
  </si>
  <si>
    <t>Hamster Cages</t>
  </si>
  <si>
    <t>Breakaway Hulls</t>
  </si>
  <si>
    <t>EMP Hardened?</t>
  </si>
  <si>
    <t>Armored Bulkheads?</t>
  </si>
  <si>
    <t>No</t>
  </si>
  <si>
    <t>Yes</t>
  </si>
  <si>
    <t>Armored Bulkheads reduce the severity of a critical hit by 1 (minimum Severity 1)</t>
  </si>
  <si>
    <t>Note:</t>
  </si>
  <si>
    <t>EMP Hardened units draw power prior to the power reduction caused by ion weapons</t>
  </si>
  <si>
    <t>Emergency Power System?</t>
  </si>
  <si>
    <t>TL 10</t>
  </si>
  <si>
    <t>TL 12</t>
  </si>
  <si>
    <t>High Efficiency Batteries?</t>
  </si>
  <si>
    <t># Batteries</t>
  </si>
  <si>
    <t>Main Fuel Tanks</t>
  </si>
  <si>
    <t xml:space="preserve">Fuel Scoops </t>
  </si>
  <si>
    <t>Fuel Scoop</t>
  </si>
  <si>
    <t>Included Free w/ Streamlining</t>
  </si>
  <si>
    <t>Installed</t>
  </si>
  <si>
    <t>Uninstalled</t>
  </si>
  <si>
    <t>Drive type</t>
  </si>
  <si>
    <t>Fuel Processor</t>
  </si>
  <si>
    <t>Tons</t>
  </si>
  <si>
    <t>Tons of Fuel Refined Per Day</t>
  </si>
  <si>
    <t>Thrust Points:</t>
  </si>
  <si>
    <t>High Burn Thruster</t>
  </si>
  <si>
    <t>Solar Sails</t>
  </si>
  <si>
    <t>Secondary Drive</t>
  </si>
  <si>
    <t>Mods</t>
  </si>
  <si>
    <t xml:space="preserve">The Stealth Mod on a Thrust unit provides a -1 DM to opposing Sensor Ops. </t>
  </si>
  <si>
    <t xml:space="preserve">On an FTL unit, it dampens the exit and re-entry emissions, making detection difficult. </t>
  </si>
  <si>
    <t>FTL Mods:</t>
  </si>
  <si>
    <t>Nominal</t>
  </si>
  <si>
    <t>The Easy to Repair Mod grants a +1 DM to any repair rolls for that system, unless otherwise noted.</t>
  </si>
  <si>
    <t>Detachable Bridge</t>
  </si>
  <si>
    <t>Lifeboat with two weeks of life support and Thrust 0</t>
  </si>
  <si>
    <t>Standard Controls</t>
  </si>
  <si>
    <t>Holographic Controls</t>
  </si>
  <si>
    <t>DM+2 to Initiative</t>
  </si>
  <si>
    <t>Collapsible Fuel Tank</t>
  </si>
  <si>
    <t>Drop Tank Mounts</t>
  </si>
  <si>
    <t>Not installed</t>
  </si>
  <si>
    <t>Standard Fuel Tanks</t>
  </si>
  <si>
    <t>Metal Hydride Fuel Tanks</t>
  </si>
  <si>
    <t>Bladder size when full:</t>
  </si>
  <si>
    <t>Tank Size:</t>
  </si>
  <si>
    <t>Attached Drop Tank Capacity:</t>
  </si>
  <si>
    <t>Comp/10</t>
  </si>
  <si>
    <t>Comp/15</t>
  </si>
  <si>
    <t>Comp/20</t>
  </si>
  <si>
    <t>Comp/25</t>
  </si>
  <si>
    <t>Comp/30</t>
  </si>
  <si>
    <t>Comp/35</t>
  </si>
  <si>
    <t>Core/100</t>
  </si>
  <si>
    <t>/bis?</t>
  </si>
  <si>
    <t>/fib?</t>
  </si>
  <si>
    <t>Core/ 40</t>
  </si>
  <si>
    <t>Core/ 50</t>
  </si>
  <si>
    <t>Core/ 60</t>
  </si>
  <si>
    <t>Core/ 70</t>
  </si>
  <si>
    <t>Core/ 80</t>
  </si>
  <si>
    <t>Core/ 90</t>
  </si>
  <si>
    <t>Comp/ 5</t>
  </si>
  <si>
    <t>Advanced Fire Control/1</t>
  </si>
  <si>
    <t>Advanced Fire Control/3</t>
  </si>
  <si>
    <t>Advanced Fire Control/2</t>
  </si>
  <si>
    <t>Anti-Hijack/1</t>
  </si>
  <si>
    <t>Anti-Hijack/2</t>
  </si>
  <si>
    <t>Anti-Hijack/3</t>
  </si>
  <si>
    <t>DM +1 to all attack rolls</t>
  </si>
  <si>
    <t>DM +3 to all attack rolls</t>
  </si>
  <si>
    <t>DM +2 to all attack rolls</t>
  </si>
  <si>
    <t xml:space="preserve">DM -2 to unauthorized access </t>
  </si>
  <si>
    <t xml:space="preserve">DM -6 to unauthorized access </t>
  </si>
  <si>
    <t xml:space="preserve">DM -4 to unauthorized access </t>
  </si>
  <si>
    <t>BW</t>
  </si>
  <si>
    <t>Notes</t>
  </si>
  <si>
    <t>Program</t>
  </si>
  <si>
    <t>Battle System/3</t>
  </si>
  <si>
    <t>Battle System/2</t>
  </si>
  <si>
    <t>Battle System/1</t>
  </si>
  <si>
    <t>DM +1 to Tactics (Naval)</t>
  </si>
  <si>
    <t>DM +2 to Tactics (Naval)</t>
  </si>
  <si>
    <t>DM +3 to Tactics (Naval)</t>
  </si>
  <si>
    <t>Broad Spectrum EW</t>
  </si>
  <si>
    <t>Single DM 0 to all salvos in Long range</t>
  </si>
  <si>
    <t>Conscious Intelligence</t>
  </si>
  <si>
    <t>Electronic Warfare/1</t>
  </si>
  <si>
    <t>Electronic Warfare/2</t>
  </si>
  <si>
    <t>Electronic Warfare/3</t>
  </si>
  <si>
    <t>Computer is NPC with Int 15 and Edu 15</t>
  </si>
  <si>
    <t>DM +1 to Electronics (Sensor) checks</t>
  </si>
  <si>
    <t>DM +2 to Electronics (Sensor) checks</t>
  </si>
  <si>
    <t>DM +3 to Electronics (Sensor) checks</t>
  </si>
  <si>
    <t>Launch Solution/1</t>
  </si>
  <si>
    <t>Launch Solution/2</t>
  </si>
  <si>
    <t>Launch Solution/3</t>
  </si>
  <si>
    <t>DM +1 to all missile salvo attack rolls</t>
  </si>
  <si>
    <t>DM +2 to all missile salvo attack rolls</t>
  </si>
  <si>
    <t>DM +3 to all missile salvo attack rolls</t>
  </si>
  <si>
    <t>Auto-Repair/1</t>
  </si>
  <si>
    <t>DM +2 to a repair roll or 2 automated rolls (Repair Drone)</t>
  </si>
  <si>
    <t>DM +1 to a repair roll or 1 automated roll (Repair Drone)</t>
  </si>
  <si>
    <t>Basic Fire Control/1</t>
  </si>
  <si>
    <t>Basic Fire Control/2</t>
  </si>
  <si>
    <t>Basic Fire Control/3</t>
  </si>
  <si>
    <t>Basic Fire Control/4</t>
  </si>
  <si>
    <t>Basic Fire Control/5</t>
  </si>
  <si>
    <t>DM +1 to a gunner making an attack or 1 automated attack</t>
  </si>
  <si>
    <t>DM +2 to a gunner making an attack or 2 automated attacks</t>
  </si>
  <si>
    <t>DM +3 to a gunner making an attack or 3 automated attacks</t>
  </si>
  <si>
    <t>DM +4 to a gunner making an attack or 4 automated attacks</t>
  </si>
  <si>
    <t>DM +5 to a gunner making an attack or 5 automated attacks</t>
  </si>
  <si>
    <t>Evade/1</t>
  </si>
  <si>
    <t>Evade/2</t>
  </si>
  <si>
    <t>Evade/3</t>
  </si>
  <si>
    <t>DM -1 to all attacks</t>
  </si>
  <si>
    <t>DM -2 to all attacks</t>
  </si>
  <si>
    <t>DM -3 to all attacks</t>
  </si>
  <si>
    <t>Jump Collectors/Accumulators?</t>
  </si>
  <si>
    <t>Intellect</t>
  </si>
  <si>
    <t>Allows a ship to understand and obey verbal commands</t>
  </si>
  <si>
    <t>Allows jumps up to the specified number</t>
  </si>
  <si>
    <t>Library</t>
  </si>
  <si>
    <t>Programs</t>
  </si>
  <si>
    <t>Bandwidth</t>
  </si>
  <si>
    <t>Contains a wealth of data on numerous subjects</t>
  </si>
  <si>
    <t>Manoeuvre/0</t>
  </si>
  <si>
    <t>Allows basic control of the ship</t>
  </si>
  <si>
    <t>Allows use of point defence batteries to defend other ships</t>
  </si>
  <si>
    <t>Point Defence/2 (Short)</t>
  </si>
  <si>
    <t>Point Defence/1 (Close)</t>
  </si>
  <si>
    <t>Screen Optimizer</t>
  </si>
  <si>
    <t>DM 0 automated Angle Screens action against any attack</t>
  </si>
  <si>
    <t>Virtual Crew/0</t>
  </si>
  <si>
    <t>Virtual Crew/1</t>
  </si>
  <si>
    <t>Virtual Crew/2</t>
  </si>
  <si>
    <t>Virtual Crew/5 More Crew</t>
  </si>
  <si>
    <t>Allows up to 5 crew replaced beyond the first five</t>
  </si>
  <si>
    <t>Replace 5 crewmembers at DM 0 skill level</t>
  </si>
  <si>
    <t>Replace 5 crewmembers at DM +1 skill level</t>
  </si>
  <si>
    <t>Replace 5 crewmembers at DM +2 skill level</t>
  </si>
  <si>
    <t>Virtual Gunner/0</t>
  </si>
  <si>
    <t>Virtual Gunner/02</t>
  </si>
  <si>
    <t>Virtual Gunner/01</t>
  </si>
  <si>
    <t>Virtual Gunner/10 more Gunners</t>
  </si>
  <si>
    <t>Allows up to 10 gunners replaced beyond the first ten</t>
  </si>
  <si>
    <t>Replace 10 gunners at DM 0 skill level</t>
  </si>
  <si>
    <t>Replace 10 gunners at DM +1 skill level</t>
  </si>
  <si>
    <t>Replace 10 gunners at DM +2 skill level</t>
  </si>
  <si>
    <t>Virtual Data Mining</t>
  </si>
  <si>
    <t>Auto-Repair/2</t>
  </si>
  <si>
    <t>Advanced Fire Control</t>
  </si>
  <si>
    <t>Anti-Hijack</t>
  </si>
  <si>
    <t>Auto-Repair</t>
  </si>
  <si>
    <t>Basic Fire Control</t>
  </si>
  <si>
    <t>Battle System</t>
  </si>
  <si>
    <t>Electronic Warfare</t>
  </si>
  <si>
    <t>Evade</t>
  </si>
  <si>
    <t>Launch Solution</t>
  </si>
  <si>
    <t>Point Defense</t>
  </si>
  <si>
    <t>Virtual Crew</t>
  </si>
  <si>
    <t>Virtual Gunner</t>
  </si>
  <si>
    <t>Total Crew Replaced</t>
  </si>
  <si>
    <t>Total Gunners Replaced</t>
  </si>
  <si>
    <t>Max bandwidth used for mining:</t>
  </si>
  <si>
    <t>Total Bandwidth</t>
  </si>
  <si>
    <t>Pwr</t>
  </si>
  <si>
    <t>Main Sensor Array</t>
  </si>
  <si>
    <t>Includes</t>
  </si>
  <si>
    <t>Number of Additional Sensor Stations:</t>
  </si>
  <si>
    <t>Sensor Actions Allowed per Round:</t>
  </si>
  <si>
    <t>Type</t>
  </si>
  <si>
    <t>Optional Sensor Packages</t>
  </si>
  <si>
    <t>Countermeasures Suite</t>
  </si>
  <si>
    <t>Deep Penetration Scanners</t>
  </si>
  <si>
    <t>Distributed Arrays</t>
  </si>
  <si>
    <t>Enhanced Signal Processing</t>
  </si>
  <si>
    <t>Extended Arrays</t>
  </si>
  <si>
    <t>Extension Net</t>
  </si>
  <si>
    <t>Improved Signal Processing</t>
  </si>
  <si>
    <t>Life Scanner</t>
  </si>
  <si>
    <t>Life Scanner Analysis Suite</t>
  </si>
  <si>
    <t>Mail Distribution Array</t>
  </si>
  <si>
    <t>Military Countermeasures Suite</t>
  </si>
  <si>
    <t>Mineral Detection Suite</t>
  </si>
  <si>
    <t>Rapid Deployment Extended Arrays</t>
  </si>
  <si>
    <t>Shallow Penetration Suite</t>
  </si>
  <si>
    <t>Not Installed</t>
  </si>
  <si>
    <t>Extend Range</t>
  </si>
  <si>
    <t>DM +4 to Jam/EW</t>
  </si>
  <si>
    <t>DM +4 to all Sensors</t>
  </si>
  <si>
    <t>Probe Drone Array</t>
  </si>
  <si>
    <t>DM +2 to all Sensors</t>
  </si>
  <si>
    <t>XBoat Comms Array</t>
  </si>
  <si>
    <t>Generic Life Signs</t>
  </si>
  <si>
    <t>Detailed Life Signs</t>
  </si>
  <si>
    <t>Class I - Basic</t>
  </si>
  <si>
    <t>Lidar, Radar; DM -4 to all Sensor Checks</t>
  </si>
  <si>
    <t>Lidar, Radar; DM -2 to all Sensor Checks</t>
  </si>
  <si>
    <t>Class II - Civilian Grade</t>
  </si>
  <si>
    <t>Jammers, Lidar, Radar; DM 0 to all Sensor Checks</t>
  </si>
  <si>
    <t>Densitometer, Jammers, Lidar, Radar; DM +1 to all Sensor Checks</t>
  </si>
  <si>
    <t>Densitometer, Jammers, Lidar, Neural Activity Sensor, Radar; DM +2 to all Sensor Checks</t>
  </si>
  <si>
    <t>Class III - Military Grade</t>
  </si>
  <si>
    <t xml:space="preserve">Class IV - Improved </t>
  </si>
  <si>
    <t xml:space="preserve">Class V - Advanced </t>
  </si>
  <si>
    <t>Mail Distribution Array ADV</t>
  </si>
  <si>
    <t>DM +6 to Jam/EW</t>
  </si>
  <si>
    <t>Mineral Type/QTY</t>
  </si>
  <si>
    <t>Extends Range; Allows Thrust/Jump</t>
  </si>
  <si>
    <t>Heat/EM @ Vlong</t>
  </si>
  <si>
    <t>Weapons</t>
  </si>
  <si>
    <t>Quantity</t>
  </si>
  <si>
    <t>Barbette</t>
  </si>
  <si>
    <t>Modular Hull</t>
  </si>
  <si>
    <t>Total Tonnage of Modular Section(s):</t>
  </si>
  <si>
    <t>Modular Limit</t>
  </si>
  <si>
    <t>G Single Pop-Up</t>
  </si>
  <si>
    <t>H Double Pop-Up</t>
  </si>
  <si>
    <t>I Triple Pop-Up</t>
  </si>
  <si>
    <t>J Quad Pop-Up</t>
  </si>
  <si>
    <t>K Barbette</t>
  </si>
  <si>
    <t>L Point Defense Btty</t>
  </si>
  <si>
    <t>M Small Bay</t>
  </si>
  <si>
    <t>N Medium Bay</t>
  </si>
  <si>
    <t>O Large Bay</t>
  </si>
  <si>
    <t>PWR</t>
  </si>
  <si>
    <t>hardpoints</t>
  </si>
  <si>
    <t>crew</t>
  </si>
  <si>
    <t>Weapon</t>
  </si>
  <si>
    <t>Range</t>
  </si>
  <si>
    <t>DAM</t>
  </si>
  <si>
    <t>Medium</t>
  </si>
  <si>
    <t>1D</t>
  </si>
  <si>
    <t>Adjacent</t>
  </si>
  <si>
    <t>4D</t>
  </si>
  <si>
    <t>Special</t>
  </si>
  <si>
    <t>Smart</t>
  </si>
  <si>
    <t>Long</t>
  </si>
  <si>
    <t>2D</t>
  </si>
  <si>
    <t>Turret</t>
  </si>
  <si>
    <t>Radiation</t>
  </si>
  <si>
    <t>Auto 4</t>
  </si>
  <si>
    <t>Ion</t>
  </si>
  <si>
    <t>AP 10</t>
  </si>
  <si>
    <t>Hardpoint Type</t>
  </si>
  <si>
    <t>C Single Turret</t>
  </si>
  <si>
    <t>E Triple Turret</t>
  </si>
  <si>
    <t>F Quad Turret</t>
  </si>
  <si>
    <t>1 roll for all BTTYs</t>
  </si>
  <si>
    <t>Small Bay</t>
  </si>
  <si>
    <t>AP Special, Radiation</t>
  </si>
  <si>
    <t>Auto 6</t>
  </si>
  <si>
    <t>Medium Bay</t>
  </si>
  <si>
    <t>Auto 8</t>
  </si>
  <si>
    <t>AP 15</t>
  </si>
  <si>
    <t>Large Bay</t>
  </si>
  <si>
    <t>HP01</t>
  </si>
  <si>
    <t>HP02</t>
  </si>
  <si>
    <t>HP03</t>
  </si>
  <si>
    <t>HP04</t>
  </si>
  <si>
    <t>HP05</t>
  </si>
  <si>
    <t>HP06</t>
  </si>
  <si>
    <t>HP07</t>
  </si>
  <si>
    <t>HP08</t>
  </si>
  <si>
    <t>HP09</t>
  </si>
  <si>
    <t>HP10</t>
  </si>
  <si>
    <t>HP11</t>
  </si>
  <si>
    <t>HP12</t>
  </si>
  <si>
    <t>HP13</t>
  </si>
  <si>
    <t>HP14</t>
  </si>
  <si>
    <t>HP15</t>
  </si>
  <si>
    <t>HP16</t>
  </si>
  <si>
    <t>HP17</t>
  </si>
  <si>
    <t>HP18</t>
  </si>
  <si>
    <t>HP19</t>
  </si>
  <si>
    <t>HP20</t>
  </si>
  <si>
    <t>Index</t>
  </si>
  <si>
    <t>D Double Turret</t>
  </si>
  <si>
    <t xml:space="preserve"> Not Installed</t>
  </si>
  <si>
    <t>Modifications</t>
  </si>
  <si>
    <t>Weapon Modifications</t>
  </si>
  <si>
    <t>Damage: 1's count as 2's</t>
  </si>
  <si>
    <t>Crit Severity -1</t>
  </si>
  <si>
    <t>Adds 20% to size</t>
  </si>
  <si>
    <t>Uses 25% less Power</t>
  </si>
  <si>
    <t>30% more Power used</t>
  </si>
  <si>
    <t>DM -1 to Attack Rolls</t>
  </si>
  <si>
    <t>Size -10%</t>
  </si>
  <si>
    <t>Range +1 band, Max VLong</t>
  </si>
  <si>
    <t>Size - 20%</t>
  </si>
  <si>
    <t>Damage: 1's &amp; 2's count as 3's</t>
  </si>
  <si>
    <t># Weaps</t>
  </si>
  <si>
    <t>Modification Notes</t>
  </si>
  <si>
    <t>Railgun</t>
  </si>
  <si>
    <t>Damage</t>
  </si>
  <si>
    <t>Max Size</t>
  </si>
  <si>
    <t>Super Laser</t>
  </si>
  <si>
    <t>VLong</t>
  </si>
  <si>
    <t>A Standard</t>
  </si>
  <si>
    <t>Mod</t>
  </si>
  <si>
    <t>Equivalent Hardpoints:</t>
  </si>
  <si>
    <t>Virtual Data Mining is calculated using the smallest available bandwidth available during any part of the day. Any other use of computer bandwidth reduces the amount generated for that day.</t>
  </si>
  <si>
    <t>Page Tonnage</t>
  </si>
  <si>
    <t>Page Power</t>
  </si>
  <si>
    <t>Weapon Tonnage</t>
  </si>
  <si>
    <t>Weapon Power</t>
  </si>
  <si>
    <t>Unused</t>
  </si>
  <si>
    <t>Aerofins</t>
  </si>
  <si>
    <t>DM +2 to Atmospheric Pilot Checks</t>
  </si>
  <si>
    <t>EMER:</t>
  </si>
  <si>
    <t>BATTERY:</t>
  </si>
  <si>
    <t>Screens</t>
  </si>
  <si>
    <t>Deflector Screens</t>
  </si>
  <si>
    <t>Energy Shields</t>
  </si>
  <si>
    <t>Black Globe Generator</t>
  </si>
  <si>
    <t>Meson Screen</t>
  </si>
  <si>
    <t>Nuclear Damper</t>
  </si>
  <si>
    <t>C Advanced - Easy to Repair</t>
  </si>
  <si>
    <t>DM +1 to Repair</t>
  </si>
  <si>
    <t>Power +30%</t>
  </si>
  <si>
    <t>C Advanced - Energy Efficient</t>
  </si>
  <si>
    <t>Power -25%</t>
  </si>
  <si>
    <t>C Advanced - Small</t>
  </si>
  <si>
    <t>Size +20%</t>
  </si>
  <si>
    <t>Extra Jump Capacitors for Black Globe:</t>
  </si>
  <si>
    <t>Capacitor Damage Max Absorption:</t>
  </si>
  <si>
    <t>EM Hardened?</t>
  </si>
  <si>
    <t>Basic Ops:</t>
  </si>
  <si>
    <t>Grav Screen</t>
  </si>
  <si>
    <t>Drones</t>
  </si>
  <si>
    <t>Probe Drones</t>
  </si>
  <si>
    <t>Advanced Probe Drones</t>
  </si>
  <si>
    <t>Mining Drones</t>
  </si>
  <si>
    <t>Repair Drones</t>
  </si>
  <si>
    <t>Armored Bulkhead</t>
  </si>
  <si>
    <t>Class Role</t>
  </si>
  <si>
    <t>Capacity</t>
  </si>
  <si>
    <t>Holographic Hull</t>
  </si>
  <si>
    <t>Programmable Hull Paint Scheme</t>
  </si>
  <si>
    <t>External Systems</t>
  </si>
  <si>
    <t>Breaching Tube</t>
  </si>
  <si>
    <t>Docking Clamp</t>
  </si>
  <si>
    <t>Forced Linkage Aparatus</t>
  </si>
  <si>
    <t>Grappling Arm</t>
  </si>
  <si>
    <t>Heavy Grappling Arm</t>
  </si>
  <si>
    <t>Tow Cable</t>
  </si>
  <si>
    <t>Type I</t>
  </si>
  <si>
    <t>Type II</t>
  </si>
  <si>
    <t>Type III</t>
  </si>
  <si>
    <t>Type IV</t>
  </si>
  <si>
    <t>Type V</t>
  </si>
  <si>
    <t>Forced Linkage</t>
  </si>
  <si>
    <t>TL12 Laser Guided Mag Line</t>
  </si>
  <si>
    <t>TL15 Gravitic Control Rods</t>
  </si>
  <si>
    <t>Combine Breaching Tube and Forced Linkage Aparatus?</t>
  </si>
  <si>
    <t xml:space="preserve">Not Installed </t>
  </si>
  <si>
    <t>TL 7 Mag-Clamps</t>
  </si>
  <si>
    <t>TL 9 Grapnel and Reel</t>
  </si>
  <si>
    <t>DM-2: Pilot Check</t>
  </si>
  <si>
    <t>DM-1: Pilot Check</t>
  </si>
  <si>
    <t>DM 0: Pilot Check</t>
  </si>
  <si>
    <t>DM+2: Pilot Check</t>
  </si>
  <si>
    <t>1 - 30 tons</t>
  </si>
  <si>
    <t>31 - 99 tons</t>
  </si>
  <si>
    <t>100 - 300 tons</t>
  </si>
  <si>
    <t>301 - 2000 tons</t>
  </si>
  <si>
    <t>Over 2000 tons</t>
  </si>
  <si>
    <t>Artificial Gravity (Standard)?</t>
  </si>
  <si>
    <t>Additional Airlock(s)</t>
  </si>
  <si>
    <t>TL 6 Basic Defense 3D/rnd</t>
  </si>
  <si>
    <t>TL 8 Improved Defense 5D/rnd</t>
  </si>
  <si>
    <t>TL10 Advanced Defense 6D/rnd</t>
  </si>
  <si>
    <t>TL12 High Tech Defense 8D/rnd</t>
  </si>
  <si>
    <t>Internal Docking Space</t>
  </si>
  <si>
    <t>Full Hangar Bay</t>
  </si>
  <si>
    <t>Launch Tubes</t>
  </si>
  <si>
    <t>Recovery Deck</t>
  </si>
  <si>
    <t>Airlocks and Docking</t>
  </si>
  <si>
    <t>UNREP System</t>
  </si>
  <si>
    <t>Quantity/Size</t>
  </si>
  <si>
    <t>Escape/Assault Pods</t>
  </si>
  <si>
    <t>Re-Entry Capsule</t>
  </si>
  <si>
    <t>Assault Capsule</t>
  </si>
  <si>
    <t>High Survivability Capsule</t>
  </si>
  <si>
    <t>Re-Entry Pod</t>
  </si>
  <si>
    <t>Onboard Facilities</t>
  </si>
  <si>
    <t>Armory</t>
  </si>
  <si>
    <t>Biosphere</t>
  </si>
  <si>
    <t>Briefing Room</t>
  </si>
  <si>
    <t>Construction Deck</t>
  </si>
  <si>
    <t>Gaming Space</t>
  </si>
  <si>
    <t>EM Hardened Launch/Recovery?</t>
  </si>
  <si>
    <t>Laboratory</t>
  </si>
  <si>
    <t>Medical Bay</t>
  </si>
  <si>
    <t>Studio</t>
  </si>
  <si>
    <t>Training Facility</t>
  </si>
  <si>
    <t>Vault</t>
  </si>
  <si>
    <t>Workshop</t>
  </si>
  <si>
    <t>Concealed Compartments</t>
  </si>
  <si>
    <t>Stables</t>
  </si>
  <si>
    <t>Cargo Scoop</t>
  </si>
  <si>
    <t>Cargo Net</t>
  </si>
  <si>
    <t>External Cargo Mount</t>
  </si>
  <si>
    <t>Jump Net</t>
  </si>
  <si>
    <t>person gaming capacity</t>
  </si>
  <si>
    <t>Scientists accomodated</t>
  </si>
  <si>
    <t>Pilot</t>
  </si>
  <si>
    <t>Engineer</t>
  </si>
  <si>
    <t>Medic</t>
  </si>
  <si>
    <t>Gunner</t>
  </si>
  <si>
    <t>Steward</t>
  </si>
  <si>
    <t>Commercial</t>
  </si>
  <si>
    <t>Military</t>
  </si>
  <si>
    <t>Needed Skills</t>
  </si>
  <si>
    <t>Astrogation</t>
  </si>
  <si>
    <t>Mechanic</t>
  </si>
  <si>
    <t>Admin</t>
  </si>
  <si>
    <t>Leadership or Tactics</t>
  </si>
  <si>
    <t xml:space="preserve">* On a commercial vessel, the captain is the leading officer from the officer pool.  </t>
  </si>
  <si>
    <t>This is reflected above by including the captain in the commercial officer calculation.</t>
  </si>
  <si>
    <t>Monthly Salary Total</t>
  </si>
  <si>
    <t>Low</t>
  </si>
  <si>
    <t>Maximum Design Passengers</t>
  </si>
  <si>
    <t>Middle</t>
  </si>
  <si>
    <t>High</t>
  </si>
  <si>
    <t>Steerage</t>
  </si>
  <si>
    <t>Base Salary **</t>
  </si>
  <si>
    <t>** Actual Salary adds 50% for each skill level above level 1.</t>
  </si>
  <si>
    <t>Crew</t>
  </si>
  <si>
    <t>Marines</t>
  </si>
  <si>
    <t>Low Passage</t>
  </si>
  <si>
    <t>Accomodations</t>
  </si>
  <si>
    <t>Barracks</t>
  </si>
  <si>
    <t>Acceleration Benches *</t>
  </si>
  <si>
    <t>Acceleration seats *</t>
  </si>
  <si>
    <t>Cabin Space *</t>
  </si>
  <si>
    <t>Low Births</t>
  </si>
  <si>
    <t>Middle Staterooms - Single</t>
  </si>
  <si>
    <t>Middle Staterooms - Double</t>
  </si>
  <si>
    <t>High Staterooms - Double</t>
  </si>
  <si>
    <t>Luxury Staterooms - Single</t>
  </si>
  <si>
    <t>Luxury Staterooms - Double</t>
  </si>
  <si>
    <t>Emergency Low Births</t>
  </si>
  <si>
    <t>Common Areas</t>
  </si>
  <si>
    <t>people</t>
  </si>
  <si>
    <t>tons</t>
  </si>
  <si>
    <t>power</t>
  </si>
  <si>
    <t>Life Support</t>
  </si>
  <si>
    <t>cost</t>
  </si>
  <si>
    <t>Accomodated</t>
  </si>
  <si>
    <t>Brig</t>
  </si>
  <si>
    <t xml:space="preserve">Each Brig unit holds 6 (12 cramped) </t>
  </si>
  <si>
    <t>High Staterooms - Single</t>
  </si>
  <si>
    <t>Seats 4 people</t>
  </si>
  <si>
    <t>Single seating</t>
  </si>
  <si>
    <t>One additional passenger</t>
  </si>
  <si>
    <t>Seating (Interplanetary)</t>
  </si>
  <si>
    <t>Each unit houses one marine</t>
  </si>
  <si>
    <t>Multi-Environment Space</t>
  </si>
  <si>
    <t>Exotic Biological Conditions</t>
  </si>
  <si>
    <t>Multi-Environmental Equipment</t>
  </si>
  <si>
    <t>Life Support/Month</t>
  </si>
  <si>
    <t>People</t>
  </si>
  <si>
    <t>Quarters</t>
  </si>
  <si>
    <t>(Not included in ship cost)</t>
  </si>
  <si>
    <t>calc</t>
  </si>
  <si>
    <t>CAPTAIN*</t>
  </si>
  <si>
    <t>PILOT</t>
  </si>
  <si>
    <t>ASTROGATOR</t>
  </si>
  <si>
    <t>ENGINEER</t>
  </si>
  <si>
    <t>MAINTENANCE</t>
  </si>
  <si>
    <t>MEDIC</t>
  </si>
  <si>
    <t>GUNNER</t>
  </si>
  <si>
    <t>STEWARD</t>
  </si>
  <si>
    <t>ADMINISTRATOR</t>
  </si>
  <si>
    <t>MARINES/TROOPS</t>
  </si>
  <si>
    <t>OFFICERS</t>
  </si>
  <si>
    <t>Hull</t>
  </si>
  <si>
    <t xml:space="preserve"> No Armor</t>
  </si>
  <si>
    <t xml:space="preserve"> None</t>
  </si>
  <si>
    <t>Armour</t>
  </si>
  <si>
    <t>Fuel Tanks</t>
  </si>
  <si>
    <t>-</t>
  </si>
  <si>
    <t>EM Hardening</t>
  </si>
  <si>
    <t>Ignore Ion Damage</t>
  </si>
  <si>
    <t>Software</t>
  </si>
  <si>
    <t>Narrative Description</t>
  </si>
  <si>
    <t>Stable</t>
  </si>
  <si>
    <t>Holds 20 (sheep) or 10 (cows)/unit</t>
  </si>
  <si>
    <t>*Short haul interplaneary transports only</t>
  </si>
  <si>
    <t>Interplanetary Hauler Net</t>
  </si>
  <si>
    <t>Cargo Capacity</t>
  </si>
  <si>
    <t>External Cargo Capacity:</t>
  </si>
  <si>
    <t>Internal Systems</t>
  </si>
  <si>
    <t>Cargo Bay</t>
  </si>
  <si>
    <t xml:space="preserve">Cargo Crane </t>
  </si>
  <si>
    <t xml:space="preserve">Loading Belts </t>
  </si>
  <si>
    <t>Internal Storage Space</t>
  </si>
  <si>
    <t>Advanced</t>
  </si>
  <si>
    <t xml:space="preserve"> Standard</t>
  </si>
  <si>
    <t>Ammunition Magazine</t>
  </si>
  <si>
    <t>Cargo:</t>
  </si>
  <si>
    <t>Collapsable Fuel Tank</t>
  </si>
  <si>
    <t>Empty</t>
  </si>
  <si>
    <t>Full</t>
  </si>
  <si>
    <t>Internal Cargo Capacity:</t>
  </si>
  <si>
    <t>Page tonnage</t>
  </si>
  <si>
    <t>Basic Sensor Array</t>
  </si>
  <si>
    <t>Civilian Grade Sensor Array</t>
  </si>
  <si>
    <t>Military Grade Sensor Array</t>
  </si>
  <si>
    <t>Improved  Sensor Array</t>
  </si>
  <si>
    <t>Advanced  Sensor Array</t>
  </si>
  <si>
    <t>Sensors</t>
  </si>
  <si>
    <t>Cargo</t>
  </si>
  <si>
    <t>Crane</t>
  </si>
  <si>
    <t>Belts</t>
  </si>
  <si>
    <t>Staterooms</t>
  </si>
  <si>
    <t>Beam Laser</t>
  </si>
  <si>
    <t>Laser Drill</t>
  </si>
  <si>
    <t>Missile Rack</t>
  </si>
  <si>
    <t>Fixed Firmpoint</t>
  </si>
  <si>
    <t>Firmpointd Pop-Up</t>
  </si>
  <si>
    <t>Single Turret</t>
  </si>
  <si>
    <t>Double Turret</t>
  </si>
  <si>
    <t>Triple Turret</t>
  </si>
  <si>
    <t>Quad Turret</t>
  </si>
  <si>
    <t>Single Pop-Up</t>
  </si>
  <si>
    <t>Double Pop-Up</t>
  </si>
  <si>
    <t>Triple Pop-Up</t>
  </si>
  <si>
    <t>Quad Pop-Up</t>
  </si>
  <si>
    <t>Point Defense Btty</t>
  </si>
  <si>
    <t>Plasma-pulse Cannon (T)</t>
  </si>
  <si>
    <t>Pulse Laser</t>
  </si>
  <si>
    <t>Sandcaster</t>
  </si>
  <si>
    <t>Plasma-pulse Cannon (Brbt)</t>
  </si>
  <si>
    <t>Mass Driver Bay  (S)</t>
  </si>
  <si>
    <t>Close</t>
  </si>
  <si>
    <t>C</t>
  </si>
  <si>
    <t>S</t>
  </si>
  <si>
    <t>Spinal Mount</t>
  </si>
  <si>
    <t>Optional</t>
  </si>
  <si>
    <t>Airlocks</t>
  </si>
  <si>
    <t>Docking</t>
  </si>
  <si>
    <t>Hangar Bays</t>
  </si>
  <si>
    <t>EM Hardened</t>
  </si>
  <si>
    <t>Escape Pods</t>
  </si>
  <si>
    <t>Budget - Bulky</t>
  </si>
  <si>
    <t>Budget - Inaccurate</t>
  </si>
  <si>
    <t>Budget - Power Hog</t>
  </si>
  <si>
    <t>Standard - (TL+1) Advanced</t>
  </si>
  <si>
    <t>Standard - (TL+2) Very Advanced</t>
  </si>
  <si>
    <t>Standard - (TL+3) High Tech</t>
  </si>
  <si>
    <t>Adv - Energy Efficient</t>
  </si>
  <si>
    <t>Adv - Small</t>
  </si>
  <si>
    <t>VAdv - Accurate</t>
  </si>
  <si>
    <t>VAdv - Intense Focus</t>
  </si>
  <si>
    <t>VAdv - Long Range</t>
  </si>
  <si>
    <t>VAdv - Very High Yield</t>
  </si>
  <si>
    <t>Fusion Barbette</t>
  </si>
  <si>
    <t>Particle Barbette</t>
  </si>
  <si>
    <t>Ion Cannon</t>
  </si>
  <si>
    <t>Tachyon Cannon</t>
  </si>
  <si>
    <t>Torpedo</t>
  </si>
  <si>
    <t>Antimatter Cannon</t>
  </si>
  <si>
    <t>Meson Cannon</t>
  </si>
  <si>
    <t>Particle Cannon</t>
  </si>
  <si>
    <t>White Globe Generator</t>
  </si>
  <si>
    <t>Jump</t>
  </si>
  <si>
    <t>Maintenance Cost</t>
  </si>
  <si>
    <t>Total</t>
  </si>
  <si>
    <t>Crew:</t>
  </si>
  <si>
    <t>System</t>
  </si>
  <si>
    <t>Critical Severity</t>
  </si>
  <si>
    <t>Critical Hits</t>
  </si>
  <si>
    <t>Armored Bulkheads:</t>
  </si>
  <si>
    <t>Disabled</t>
  </si>
  <si>
    <t>Hull CS+1</t>
  </si>
  <si>
    <t>Hull CS+1D</t>
  </si>
  <si>
    <t>Sensor DM-2</t>
  </si>
  <si>
    <t>Leak 1D t/hr</t>
  </si>
  <si>
    <t>Leak 1D t/rnd</t>
  </si>
  <si>
    <t>Leak 1D*10%</t>
  </si>
  <si>
    <t>Destroyed</t>
  </si>
  <si>
    <t>Armor -1</t>
  </si>
  <si>
    <t>Armor -D3</t>
  </si>
  <si>
    <t>Armor -1D</t>
  </si>
  <si>
    <t>1D Damage</t>
  </si>
  <si>
    <t>2D Damage</t>
  </si>
  <si>
    <t>3D Damage</t>
  </si>
  <si>
    <t>4D Damage</t>
  </si>
  <si>
    <t>5D Damage</t>
  </si>
  <si>
    <t>6D Damage</t>
  </si>
  <si>
    <t>Pilot DM-1</t>
  </si>
  <si>
    <t>DM-2/T-1</t>
  </si>
  <si>
    <t>DM-3/T-1</t>
  </si>
  <si>
    <t>DM-4/T-1</t>
  </si>
  <si>
    <t>0 Thrust</t>
  </si>
  <si>
    <t>Destroy 10%</t>
  </si>
  <si>
    <t>Jump DM-2</t>
  </si>
  <si>
    <t>LS Fail 1D hr</t>
  </si>
  <si>
    <t>LS Fail 1D rnd</t>
  </si>
  <si>
    <t>LS Failure</t>
  </si>
  <si>
    <t>Qty</t>
  </si>
  <si>
    <t>F/C</t>
  </si>
  <si>
    <t>SSD</t>
  </si>
  <si>
    <t>BatSys</t>
  </si>
  <si>
    <t>EW</t>
  </si>
  <si>
    <t>Brd EW</t>
  </si>
  <si>
    <t>Missile</t>
  </si>
  <si>
    <t>P/D</t>
  </si>
  <si>
    <t>Pnt Def</t>
  </si>
  <si>
    <t>Tactics</t>
  </si>
  <si>
    <t>Base</t>
  </si>
  <si>
    <t>Jam/EW</t>
  </si>
  <si>
    <t>SigProc</t>
  </si>
  <si>
    <t>Arrays</t>
  </si>
  <si>
    <t>Notes/Mods</t>
  </si>
  <si>
    <t>Dmg Add</t>
  </si>
  <si>
    <t>Adv+1</t>
  </si>
  <si>
    <t>Adv+2</t>
  </si>
  <si>
    <t>Adv+3</t>
  </si>
  <si>
    <t>X</t>
  </si>
  <si>
    <t>Bsc+1</t>
  </si>
  <si>
    <t>Bsc+2</t>
  </si>
  <si>
    <t>Bsc+3</t>
  </si>
  <si>
    <t>Bsc+4</t>
  </si>
  <si>
    <t>Bsc+5</t>
  </si>
  <si>
    <t>Sensor</t>
  </si>
  <si>
    <t>Array</t>
  </si>
  <si>
    <t>Rad</t>
  </si>
  <si>
    <t>TL Cost -10%</t>
  </si>
  <si>
    <t>TL Cost - 20%</t>
  </si>
  <si>
    <t>TL Cost - 30%</t>
  </si>
  <si>
    <t>DM +1 to Attack</t>
  </si>
  <si>
    <t>AP +2 (Las, Msn &amp; P/A)</t>
  </si>
  <si>
    <t>Repair +1</t>
  </si>
  <si>
    <t>Dmg: 1's to 2's</t>
  </si>
  <si>
    <t>CS -1</t>
  </si>
  <si>
    <t>Attack +1</t>
  </si>
  <si>
    <t>Rng +1</t>
  </si>
  <si>
    <t>Dmg: 1s &amp; 2s to 3s</t>
  </si>
  <si>
    <t>Rad, AP**</t>
  </si>
  <si>
    <t>SSD Notes</t>
  </si>
  <si>
    <t>SSD Aerofins:</t>
  </si>
  <si>
    <t xml:space="preserve">* Check notes on Weapons,Screens and Cargo. Resilient Mods are cumulative with bulkheads. </t>
  </si>
  <si>
    <t>External cargo cannot be armored.</t>
  </si>
  <si>
    <t>Page Energy</t>
  </si>
  <si>
    <t>Basic/Hull</t>
  </si>
  <si>
    <t>The process has been broken up into several steps, and separated into tabs on the bottom.</t>
  </si>
  <si>
    <t>It is recommended that you copy the blank to another file, such as the name of the ship or class prior to entering any data, so that you can upgrade or save designs for later.</t>
  </si>
  <si>
    <t>The sheet is protected, so you can only access the fields that expect you to enter data.</t>
  </si>
  <si>
    <t>Greyed out areas will usually be related to uninstalled components or features not applicable to a ship by size or configuration.</t>
  </si>
  <si>
    <t>Most units are in tons. These are metric tons of displaced liquid hydrogen, which equates to approximately 2x 5ft (1.5m) squares on a game map.</t>
  </si>
  <si>
    <r>
      <rPr>
        <b/>
        <sz val="11"/>
        <color theme="1"/>
        <rFont val="Calibri"/>
        <family val="2"/>
        <scheme val="minor"/>
      </rPr>
      <t>Terms of use:</t>
    </r>
    <r>
      <rPr>
        <sz val="11"/>
        <color theme="1"/>
        <rFont val="Calibri"/>
        <family val="2"/>
        <scheme val="minor"/>
      </rPr>
      <t xml:space="preserve"> This spreadsheet is for non-commercial use only, including the derived Record Sheets and SSD's, although any ships designed on it are your own to do with as you wish. </t>
    </r>
  </si>
  <si>
    <t>Some ship's systems can be modded. These are optional rules. Clear their use with your game master first.</t>
  </si>
  <si>
    <t>Do not include in any package for sale or claim as your own work. There are no codes in this sheet that access any files elsewhere on your computer. I am not responsible for any damages that result from the use of this file.</t>
  </si>
  <si>
    <t>Bandwidth Used</t>
  </si>
  <si>
    <t>This is a ship designer for a certain version of a certain D6 RPG game made popular in the 1970's using the current HG stats.</t>
  </si>
  <si>
    <t>Ammo (tons)</t>
  </si>
  <si>
    <t>Magazine</t>
  </si>
  <si>
    <t>Hull tonnage</t>
  </si>
  <si>
    <t xml:space="preserve">Red cells indicate an error. Yellow indicates a warning, such as power/computer not sufficient to use all systems/programs simultaneously. </t>
  </si>
  <si>
    <t>Low Berths</t>
  </si>
  <si>
    <t>Emergency Low Berths</t>
  </si>
  <si>
    <t>Conscious Intelligence 1</t>
  </si>
  <si>
    <t>Conscious Intelligence 2</t>
  </si>
  <si>
    <t>Conscious Intelligence 3</t>
  </si>
  <si>
    <t xml:space="preserve"> No Back Up Drive</t>
  </si>
  <si>
    <t>High Thrust</t>
  </si>
  <si>
    <t>pwr</t>
  </si>
  <si>
    <t>Armor Total:</t>
  </si>
  <si>
    <t>Max Armor</t>
  </si>
  <si>
    <t>Error</t>
  </si>
  <si>
    <t>value</t>
  </si>
  <si>
    <t>Test</t>
  </si>
  <si>
    <t>CfgArmr</t>
  </si>
  <si>
    <t>Thrust Errors</t>
  </si>
  <si>
    <t>TL Main</t>
  </si>
  <si>
    <t>TL Main Mod</t>
  </si>
  <si>
    <t>TL HBT</t>
  </si>
  <si>
    <t>TL HBT Mod</t>
  </si>
  <si>
    <t>TL BU M Drive</t>
  </si>
  <si>
    <t>TL BU M Drive Mod</t>
  </si>
  <si>
    <t>Jump Errors</t>
  </si>
  <si>
    <t>Hull&lt;100</t>
  </si>
  <si>
    <t>TL FTL</t>
  </si>
  <si>
    <t>TL FTL Mod</t>
  </si>
  <si>
    <t>Allow FTL on craft smaller than 100 Dtons?</t>
  </si>
  <si>
    <t>&lt;100</t>
  </si>
  <si>
    <t>FTL&gt;0</t>
  </si>
  <si>
    <t>And</t>
  </si>
  <si>
    <t>FTL No</t>
  </si>
  <si>
    <t>PWR Plant TL</t>
  </si>
  <si>
    <t>Btty TL</t>
  </si>
  <si>
    <t>Reaction Rating</t>
  </si>
  <si>
    <t>Auxilliary Control Room</t>
  </si>
  <si>
    <t xml:space="preserve"> N/A</t>
  </si>
  <si>
    <t>Errors</t>
  </si>
  <si>
    <t>CMD 1</t>
  </si>
  <si>
    <t>CMD 2</t>
  </si>
  <si>
    <t>CMD 3</t>
  </si>
  <si>
    <t>No Aux Con</t>
  </si>
  <si>
    <t>Cockpit 1</t>
  </si>
  <si>
    <t>B/U Big</t>
  </si>
  <si>
    <t>CFT not installed</t>
  </si>
  <si>
    <t>CFT &gt; Cargo</t>
  </si>
  <si>
    <t>DMT not installed</t>
  </si>
  <si>
    <t>DFT &gt; Cargo</t>
  </si>
  <si>
    <t>CFT+DFT&gt;Cargo</t>
  </si>
  <si>
    <t>PwrMult</t>
  </si>
  <si>
    <t>Type Error</t>
  </si>
  <si>
    <t>Modular Hull Error</t>
  </si>
  <si>
    <t>TL Error</t>
  </si>
  <si>
    <t>Backup M</t>
  </si>
  <si>
    <t>Backup Jump</t>
  </si>
  <si>
    <t>Adjusted Displacement</t>
  </si>
  <si>
    <t>ADJ Main Drive Thrust</t>
  </si>
  <si>
    <t>ADJ FTL Rating</t>
  </si>
  <si>
    <t>ADJ High Burn Thruster</t>
  </si>
  <si>
    <t>ADJ B/U FTL</t>
  </si>
  <si>
    <t>Check Performance at Varied Hull Displacement</t>
  </si>
  <si>
    <t>Effective # Mods</t>
  </si>
  <si>
    <t>Docking Clamp Type I</t>
  </si>
  <si>
    <t>Docking Clamp Type II</t>
  </si>
  <si>
    <t>Docking Clamp Type III</t>
  </si>
  <si>
    <t>Docking Clamp Type IV</t>
  </si>
  <si>
    <t>Docking Clamp Type V</t>
  </si>
  <si>
    <t xml:space="preserve"> No Drive</t>
  </si>
  <si>
    <t>Ta Early Prototype - Orbital Range</t>
  </si>
  <si>
    <t>Tb Early Prototype - Very Bulky</t>
  </si>
  <si>
    <t>Td Early Prototype - Bulky Hog</t>
  </si>
  <si>
    <t>Te Early Prototype- Bulky, Limit Rng</t>
  </si>
  <si>
    <t>A Standard (None)</t>
  </si>
  <si>
    <t>B1 Budget - Bulky</t>
  </si>
  <si>
    <t>B2 Budget - Power/Fuel Hog</t>
  </si>
  <si>
    <t>B3 Budget Limited Range</t>
  </si>
  <si>
    <t>C1 Advanced Cost Reduction</t>
  </si>
  <si>
    <t>C2 Very Advanced Cost Reduction</t>
  </si>
  <si>
    <t>C3 High Tech Cost Reduction</t>
  </si>
  <si>
    <t>D2 Advanced - Small</t>
  </si>
  <si>
    <t xml:space="preserve">D3 Advanced - Easy to Repair </t>
  </si>
  <si>
    <t>Thrust Mods</t>
  </si>
  <si>
    <t>Mod Pt</t>
  </si>
  <si>
    <t>Pa Prototype - Bulky</t>
  </si>
  <si>
    <t>Pc Prototype - Limited Range</t>
  </si>
  <si>
    <t>M-Drive</t>
  </si>
  <si>
    <t>M-Drive Mods:</t>
  </si>
  <si>
    <t>Reaction Mods Mods:</t>
  </si>
  <si>
    <t>Mod Price modifier</t>
  </si>
  <si>
    <t>D1 Advanced - Energy Efficient</t>
  </si>
  <si>
    <t>Pb Prototype - Power Hog</t>
  </si>
  <si>
    <t>B2 Budget - Fuel Hog</t>
  </si>
  <si>
    <t>D1 Advanced - Fuel Efficient</t>
  </si>
  <si>
    <t>Ta Early Prototype - Very Bulky</t>
  </si>
  <si>
    <t>Tb Early Prototype - Power/Fuel x2</t>
  </si>
  <si>
    <t>Tc Early Prototype - Bulky Hog</t>
  </si>
  <si>
    <t xml:space="preserve">Tons </t>
  </si>
  <si>
    <t>D4 Very Advanced- Stealth</t>
  </si>
  <si>
    <t>Pb Prototype - Fuel Hog</t>
  </si>
  <si>
    <t>X1</t>
  </si>
  <si>
    <t>X2</t>
  </si>
  <si>
    <t>X3</t>
  </si>
  <si>
    <t>X4</t>
  </si>
  <si>
    <t># Mods</t>
  </si>
  <si>
    <t>Tc Early Prototype - Power Hog x2</t>
  </si>
  <si>
    <t>Pc Prototype - Late Jump</t>
  </si>
  <si>
    <t>Ta Early Prototype Late Jump x2</t>
  </si>
  <si>
    <t>Te Early Prototype Late Hog</t>
  </si>
  <si>
    <t>Tf Early Prototype Bulky Late</t>
  </si>
  <si>
    <t>Multipliers</t>
  </si>
  <si>
    <t>DTons</t>
  </si>
  <si>
    <t>User Defined Mod</t>
  </si>
  <si>
    <t>Tf Early Prototype- Hog, Limit Rng</t>
  </si>
  <si>
    <t xml:space="preserve"> No FTL</t>
  </si>
  <si>
    <t>B2 Budget - Power Hog</t>
  </si>
  <si>
    <t>Mods Cr</t>
  </si>
  <si>
    <t>Main Drive(s)</t>
  </si>
  <si>
    <t>Secondary Drive(s)</t>
  </si>
  <si>
    <t>D1 Advanced Decreased Jump Fuel</t>
  </si>
  <si>
    <t>D2 Advanced - Early Jump</t>
  </si>
  <si>
    <t>D3 Advanced - Energy Efficient</t>
  </si>
  <si>
    <t>D4 Advanced - Small</t>
  </si>
  <si>
    <t xml:space="preserve">D5 Advanced - Easy to Repair </t>
  </si>
  <si>
    <t>E1 Very Advanced - Stealth Jump</t>
  </si>
  <si>
    <t>Backup</t>
  </si>
  <si>
    <t>mods</t>
  </si>
  <si>
    <t>Total Mods Error</t>
  </si>
  <si>
    <t>Mn M</t>
  </si>
  <si>
    <t>Mn R</t>
  </si>
  <si>
    <t>Mn F</t>
  </si>
  <si>
    <t>Sec R</t>
  </si>
  <si>
    <t>Sec M</t>
  </si>
  <si>
    <t>Sec F</t>
  </si>
  <si>
    <t>Optional Rules</t>
  </si>
  <si>
    <t>Reduce TL on Non-Jump FTL?</t>
  </si>
  <si>
    <t>TL Toggle</t>
  </si>
  <si>
    <t>MnFTL</t>
  </si>
  <si>
    <t>BU FTL</t>
  </si>
  <si>
    <t>Mn Reac</t>
  </si>
  <si>
    <t>HBT Fuel</t>
  </si>
  <si>
    <t>TL high</t>
  </si>
  <si>
    <t>Adjusted</t>
  </si>
  <si>
    <t>Man Mdrv</t>
  </si>
  <si>
    <t>BU</t>
  </si>
  <si>
    <t>ADL B/U M-Drive</t>
  </si>
  <si>
    <t>ADJ Reaction Rating</t>
  </si>
  <si>
    <t>B2 Budget - Inefficient</t>
  </si>
  <si>
    <t>Tb Early Prototype - Power Hog x2</t>
  </si>
  <si>
    <t>PWR Mod &gt;3</t>
  </si>
  <si>
    <t>Base Fuel Calculations on:</t>
  </si>
  <si>
    <t>Mains</t>
  </si>
  <si>
    <t>Backups</t>
  </si>
  <si>
    <t xml:space="preserve">Note: </t>
  </si>
  <si>
    <t>The toggle for which set to base fuel calculations on allows you to base fuel storage on</t>
  </si>
  <si>
    <t>either the most efficient or least efficient system, based on your mods.</t>
  </si>
  <si>
    <t>Fuel Tab Mod</t>
  </si>
  <si>
    <t>Main</t>
  </si>
  <si>
    <t>TL Errors</t>
  </si>
  <si>
    <t>Class Errors</t>
  </si>
  <si>
    <t>Ext Array</t>
  </si>
  <si>
    <t>Dist Array</t>
  </si>
  <si>
    <t>Mineral</t>
  </si>
  <si>
    <t>RDE Array</t>
  </si>
  <si>
    <t>Optional Rule</t>
  </si>
  <si>
    <t>Allow both Main and B/U to run programs at the same time?</t>
  </si>
  <si>
    <t>Other</t>
  </si>
  <si>
    <t>Small FTL</t>
  </si>
  <si>
    <t>FTL TL</t>
  </si>
  <si>
    <t>Optional Rule in Use</t>
  </si>
  <si>
    <t xml:space="preserve"> Accomodated</t>
  </si>
  <si>
    <t>Small Small Bridge</t>
  </si>
  <si>
    <t>md</t>
  </si>
  <si>
    <t>rating</t>
  </si>
  <si>
    <t>Basic</t>
  </si>
  <si>
    <t>Main M</t>
  </si>
  <si>
    <t>Main FTL</t>
  </si>
  <si>
    <t>BU/ M</t>
  </si>
  <si>
    <t>B/U FTL</t>
  </si>
  <si>
    <t>Weap</t>
  </si>
  <si>
    <t>Screen</t>
  </si>
  <si>
    <t>Stateroom</t>
  </si>
  <si>
    <t>Hull+</t>
  </si>
  <si>
    <t>On a Severity 6+, the Emergency Power System is also destroyed.</t>
  </si>
  <si>
    <r>
      <rPr>
        <b/>
        <sz val="11"/>
        <color theme="1"/>
        <rFont val="Calibri"/>
        <family val="2"/>
        <scheme val="minor"/>
      </rPr>
      <t xml:space="preserve">Note: </t>
    </r>
    <r>
      <rPr>
        <sz val="11"/>
        <color theme="1"/>
        <rFont val="Calibri"/>
        <family val="2"/>
        <scheme val="minor"/>
      </rPr>
      <t xml:space="preserve">An Emergency Power System provides 90% power for five turns if the Power Plant suffers a Severity 3+ critical hit. </t>
    </r>
  </si>
  <si>
    <r>
      <rPr>
        <b/>
        <sz val="11"/>
        <color theme="1"/>
        <rFont val="Calibri"/>
        <family val="2"/>
        <scheme val="minor"/>
      </rPr>
      <t xml:space="preserve">Note: </t>
    </r>
    <r>
      <rPr>
        <sz val="11"/>
        <color theme="1"/>
        <rFont val="Calibri"/>
        <family val="2"/>
        <scheme val="minor"/>
      </rPr>
      <t>Armored Bulkheads reduce the severity of a critical hit by 1 (minimum Severity 1)</t>
    </r>
  </si>
  <si>
    <r>
      <rPr>
        <b/>
        <sz val="11"/>
        <color theme="1"/>
        <rFont val="Calibri"/>
        <family val="2"/>
        <scheme val="minor"/>
      </rPr>
      <t xml:space="preserve">Note: </t>
    </r>
    <r>
      <rPr>
        <sz val="11"/>
        <color theme="1"/>
        <rFont val="Calibri"/>
        <family val="2"/>
        <scheme val="minor"/>
      </rPr>
      <t>Jump Collectors are accumulators that power the jump drive over a week's time for a stationary ship in space</t>
    </r>
  </si>
  <si>
    <t>Max Load</t>
  </si>
  <si>
    <t>Btl Load</t>
  </si>
  <si>
    <t>Power Distribution</t>
  </si>
  <si>
    <t>Battle Load</t>
  </si>
  <si>
    <t>(CS-1)</t>
  </si>
  <si>
    <t>(CS-2)</t>
  </si>
  <si>
    <t>(CS-3)</t>
  </si>
  <si>
    <r>
      <rPr>
        <b/>
        <sz val="11"/>
        <color theme="1"/>
        <rFont val="Calibri"/>
        <family val="2"/>
        <scheme val="minor"/>
      </rPr>
      <t xml:space="preserve">Note: </t>
    </r>
    <r>
      <rPr>
        <sz val="11"/>
        <color theme="1"/>
        <rFont val="Calibri"/>
        <family val="2"/>
        <scheme val="minor"/>
      </rPr>
      <t>The Battle Load section of the Power Distribution Table provides a conservative estimate of power needs in combat.</t>
    </r>
  </si>
  <si>
    <t>The Plus 10, 20 and 70 fields show the initial power output needed to maintain power to basic and combat systems after the ship suffers the indicated critical hit.</t>
  </si>
  <si>
    <r>
      <rPr>
        <b/>
        <sz val="11"/>
        <color theme="1"/>
        <rFont val="Calibri"/>
        <family val="2"/>
        <scheme val="minor"/>
      </rPr>
      <t>Metal hydride storage:</t>
    </r>
    <r>
      <rPr>
        <sz val="11"/>
        <color theme="1"/>
        <rFont val="Calibri"/>
        <family val="2"/>
        <scheme val="minor"/>
      </rPr>
      <t xml:space="preserve"> If the ship sustains a fuel leak, fuel loss will be </t>
    </r>
  </si>
  <si>
    <t>reduced to 25% of the amount indicated, to a minimum of 1 ton.</t>
  </si>
  <si>
    <t>Mixed: Use fields below</t>
  </si>
  <si>
    <t>Budget-Bulky</t>
  </si>
  <si>
    <t>Budget - Inefficient</t>
  </si>
  <si>
    <t>TL Cost Reduction 1</t>
  </si>
  <si>
    <t>TL Cost Reduction 2</t>
  </si>
  <si>
    <t>TL Cost Reduction 3</t>
  </si>
  <si>
    <t>Efficient</t>
  </si>
  <si>
    <t>Small</t>
  </si>
  <si>
    <t>Easy to repair</t>
  </si>
  <si>
    <t>Bulky Prototype</t>
  </si>
  <si>
    <t>Inefficient Prototype</t>
  </si>
  <si>
    <t>Bulky Early Prototype</t>
  </si>
  <si>
    <t>Inefficient Early Prototype</t>
  </si>
  <si>
    <t>Bulky/Inefficient Early Prototype</t>
  </si>
  <si>
    <t>Pwr Mod for record sheet</t>
  </si>
  <si>
    <t>Budget-Limited Range</t>
  </si>
  <si>
    <t>Cost Reduction 1</t>
  </si>
  <si>
    <t>Cost Reduction 2</t>
  </si>
  <si>
    <t>Cost Reduction 3</t>
  </si>
  <si>
    <t>Easy to Repair</t>
  </si>
  <si>
    <t>Budget-Inefficient</t>
  </si>
  <si>
    <t>Orbital Early Prototype</t>
  </si>
  <si>
    <t>XL Bulky Early Prototype</t>
  </si>
  <si>
    <t>Very Inefficient Early Prototype</t>
  </si>
  <si>
    <t>Bulky, Inefficient Early Prototype</t>
  </si>
  <si>
    <t>Ltd Rng Prototype</t>
  </si>
  <si>
    <t>Bulky, Ltd Rng Early Prototype</t>
  </si>
  <si>
    <t>Inefficient, Ltd Rng Early Prototype</t>
  </si>
  <si>
    <t>Main M-Drive Mod for record sheet</t>
  </si>
  <si>
    <t>B/U M-Drive Mod for record sheet</t>
  </si>
  <si>
    <t>Main R-Drive Mod for record sheet</t>
  </si>
  <si>
    <t>B/U R-Drive Mod for record sheet</t>
  </si>
  <si>
    <t>Decreased Jump Fuel</t>
  </si>
  <si>
    <t>Early Jump</t>
  </si>
  <si>
    <t>Late Jump Prototype</t>
  </si>
  <si>
    <t>Very Late Jump Prototype</t>
  </si>
  <si>
    <t>Late, Inefficient Early Prototype</t>
  </si>
  <si>
    <t>Late, Bulky Early Prototype</t>
  </si>
  <si>
    <t>Main FTL-Drive Mod for record sheet</t>
  </si>
  <si>
    <t>B/U FTL-Drive Mod for record sheet</t>
  </si>
  <si>
    <t>Mdrive</t>
  </si>
  <si>
    <t>EMP</t>
  </si>
  <si>
    <t>R Drive</t>
  </si>
  <si>
    <t>Auxilliary Sensor Array</t>
  </si>
  <si>
    <t>Aux&gt;Mn</t>
  </si>
  <si>
    <t>2xBasic</t>
  </si>
  <si>
    <t>Mixed Tank Input&gt; Fuel</t>
  </si>
  <si>
    <t>Unless otherwise noted in rules, additional systems are backups and their benefits are not cumulative.</t>
  </si>
  <si>
    <t>Tab</t>
  </si>
  <si>
    <t>Drives</t>
  </si>
  <si>
    <t>Overview</t>
  </si>
  <si>
    <t>Included Airlock(s)</t>
  </si>
  <si>
    <t>Airlock1</t>
  </si>
  <si>
    <t>Airlock2</t>
  </si>
  <si>
    <t>Calculate Drives on:</t>
  </si>
  <si>
    <t>Actual Dtons</t>
  </si>
  <si>
    <t>Adjusted Dtons</t>
  </si>
  <si>
    <t>Calculating as</t>
  </si>
  <si>
    <t>Dtons</t>
  </si>
  <si>
    <t>Low Capacity Warning</t>
  </si>
  <si>
    <t>Chemical plant?</t>
  </si>
  <si>
    <t>No Jump Rating</t>
  </si>
  <si>
    <t>Accumulator TL</t>
  </si>
  <si>
    <t>P Prototype - Bulky</t>
  </si>
  <si>
    <t>P Prototype - Inaccurate</t>
  </si>
  <si>
    <t>P Prototype - Power Hog</t>
  </si>
  <si>
    <t>R Early Prototype-Bulky x2</t>
  </si>
  <si>
    <t>R Early Prototype-Bulky/Hog</t>
  </si>
  <si>
    <t>R Early Prototype-Bulky/Inaccurate</t>
  </si>
  <si>
    <t>R Early Prototype-Inaccurate x2</t>
  </si>
  <si>
    <t>R Early Prototype-Inaccurate/Hog</t>
  </si>
  <si>
    <t>R Early Prototype-Power Hog x2</t>
  </si>
  <si>
    <t>Size + 140%</t>
  </si>
  <si>
    <t>Size + 120%, PWR + 30%</t>
  </si>
  <si>
    <t>Size + 120%, Attack Rolls -1</t>
  </si>
  <si>
    <t>Size x2, Attack Rolls -2</t>
  </si>
  <si>
    <t>Size x2,PWR+30%,Attack-1</t>
  </si>
  <si>
    <t xml:space="preserve">Size x2, PWR +60% </t>
  </si>
  <si>
    <t>Prototype - Bulky</t>
  </si>
  <si>
    <t>Prototype - Inaccurate</t>
  </si>
  <si>
    <t>Prototype - Power Hog</t>
  </si>
  <si>
    <t>Early Prototype-Bulky x2</t>
  </si>
  <si>
    <t>Early Prototype-Bulky/Hog</t>
  </si>
  <si>
    <t>Early Prototype-Bulky/Inaccurate</t>
  </si>
  <si>
    <t>Early Prototype-Inaccurate x2</t>
  </si>
  <si>
    <t>Early Prototype-Inaccurate/Hog</t>
  </si>
  <si>
    <t>Early Prototype-Power Hog x2</t>
  </si>
  <si>
    <t>Attack -1</t>
  </si>
  <si>
    <t>Attack -2</t>
  </si>
  <si>
    <t>Displacement</t>
  </si>
  <si>
    <t>Small Craft Firmpoints</t>
  </si>
  <si>
    <t>FmPt1</t>
  </si>
  <si>
    <t>FmPt2</t>
  </si>
  <si>
    <t>FmPt3</t>
  </si>
  <si>
    <t>Hardpoints</t>
  </si>
  <si>
    <t>A Fixed Mount</t>
  </si>
  <si>
    <t>Fixed Mount</t>
  </si>
  <si>
    <t>Fixed Mount Pop-Up</t>
  </si>
  <si>
    <t>B Fixed Mount Pop-Up</t>
  </si>
  <si>
    <t>Small Craft Firmpoint Validation</t>
  </si>
  <si>
    <t>HP Data Validation</t>
  </si>
  <si>
    <t>hardpoints2</t>
  </si>
  <si>
    <t>Text</t>
  </si>
  <si>
    <t>HP</t>
  </si>
  <si>
    <t>ID</t>
  </si>
  <si>
    <t>QTY</t>
  </si>
  <si>
    <t>Weap1</t>
  </si>
  <si>
    <t>Weap2</t>
  </si>
  <si>
    <t>Weap3</t>
  </si>
  <si>
    <t>Weap4</t>
  </si>
  <si>
    <t>Mod1</t>
  </si>
  <si>
    <t>Mod2</t>
  </si>
  <si>
    <t>Mod3</t>
  </si>
  <si>
    <t>Standard Design?</t>
  </si>
  <si>
    <t>Hard Pt Validation 1</t>
  </si>
  <si>
    <t>Hard Pt Validation 2</t>
  </si>
  <si>
    <t>Hard Pt Validation 3</t>
  </si>
  <si>
    <t>Hard Pt Validation 4</t>
  </si>
  <si>
    <t>Mod 1</t>
  </si>
  <si>
    <t>Mod 2</t>
  </si>
  <si>
    <t>Mod 3</t>
  </si>
  <si>
    <t>Armored?</t>
  </si>
  <si>
    <t>Hardened?</t>
  </si>
  <si>
    <t>Mixed Weapons in Hp01?</t>
  </si>
  <si>
    <t>Mixed Weapons in Hp02?</t>
  </si>
  <si>
    <t>Mixed Weapons in Hp03?</t>
  </si>
  <si>
    <t>a Fixed Firmpoint</t>
  </si>
  <si>
    <t>b Firmpoint Pop-Up</t>
  </si>
  <si>
    <t>c Single Turret sm</t>
  </si>
  <si>
    <t>ERR ID</t>
  </si>
  <si>
    <t>ERR Type</t>
  </si>
  <si>
    <t>Column1</t>
  </si>
  <si>
    <t>Column2</t>
  </si>
  <si>
    <t xml:space="preserve">Weapon </t>
  </si>
  <si>
    <t>#</t>
  </si>
  <si>
    <t>B Budget - Bulky</t>
  </si>
  <si>
    <t>B Budget - Inaccurate</t>
  </si>
  <si>
    <t>B Budget - Power Hog</t>
  </si>
  <si>
    <t>C TL+1 Cost Reduction</t>
  </si>
  <si>
    <t>C TL+2 Cost Reduction</t>
  </si>
  <si>
    <t>C TL+3 Cost Reduction</t>
  </si>
  <si>
    <t>D Adv - Energy Efficient</t>
  </si>
  <si>
    <t>D Adv - Small</t>
  </si>
  <si>
    <t>E VAdv - Accurate</t>
  </si>
  <si>
    <t>E VAdv - Intense Focus</t>
  </si>
  <si>
    <t>E VAdv - Long Range</t>
  </si>
  <si>
    <t>E VAdv - Very High Yield</t>
  </si>
  <si>
    <t>Small Range</t>
  </si>
  <si>
    <t>100+</t>
  </si>
  <si>
    <t/>
  </si>
  <si>
    <t>A Fixed Mount x1</t>
  </si>
  <si>
    <t>B Fixed Mount x1  Pop-Up</t>
  </si>
  <si>
    <t>A Fixed Mount x2</t>
  </si>
  <si>
    <t>B Fixed Mount x2 Pop-Up</t>
  </si>
  <si>
    <t>A Fixed Mount x3</t>
  </si>
  <si>
    <t>B Fixed Mount x3 Pop-Up</t>
  </si>
  <si>
    <t>Fixed Mount Slots</t>
  </si>
  <si>
    <t>Data Validation List</t>
  </si>
  <si>
    <t>Mod Name</t>
  </si>
  <si>
    <t>Weap TL</t>
  </si>
  <si>
    <t>Mod TL</t>
  </si>
  <si>
    <t>Column3</t>
  </si>
  <si>
    <t>Column4</t>
  </si>
  <si>
    <t>Notes5</t>
  </si>
  <si>
    <t>Column6</t>
  </si>
  <si>
    <t>Column7</t>
  </si>
  <si>
    <t>Mod Limits Exceeded</t>
  </si>
  <si>
    <t>Mod# Error</t>
  </si>
  <si>
    <t>Available</t>
  </si>
  <si>
    <t>Used</t>
  </si>
  <si>
    <t>HdPts</t>
  </si>
  <si>
    <t>XS HdPts</t>
  </si>
  <si>
    <t>User Defined Harpoint</t>
  </si>
  <si>
    <t xml:space="preserve">Hardpoints </t>
  </si>
  <si>
    <t>Cost (Cr)</t>
  </si>
  <si>
    <t>Example:</t>
  </si>
  <si>
    <t xml:space="preserve">X </t>
  </si>
  <si>
    <t>Dmg</t>
  </si>
  <si>
    <t xml:space="preserve">X1 </t>
  </si>
  <si>
    <t>User Defined Weapon</t>
  </si>
  <si>
    <t>Short</t>
  </si>
  <si>
    <t>Very Long</t>
  </si>
  <si>
    <t xml:space="preserve">X2 </t>
  </si>
  <si>
    <r>
      <rPr>
        <b/>
        <sz val="11"/>
        <color theme="0" tint="-0.499984740745262"/>
        <rFont val="Calibri"/>
        <family val="2"/>
        <scheme val="minor"/>
      </rPr>
      <t xml:space="preserve">Ex: </t>
    </r>
    <r>
      <rPr>
        <sz val="11"/>
        <color theme="0" tint="-0.499984740745262"/>
        <rFont val="Calibri"/>
        <family val="2"/>
        <scheme val="minor"/>
      </rPr>
      <t>Ion Cannon Barbette</t>
    </r>
  </si>
  <si>
    <t>1 Turret</t>
  </si>
  <si>
    <t>2 Barbette</t>
  </si>
  <si>
    <t>3 Point Defense</t>
  </si>
  <si>
    <t>4 Small Bay</t>
  </si>
  <si>
    <t>5 Medium Bay</t>
  </si>
  <si>
    <t>6 Large Bay</t>
  </si>
  <si>
    <t>X1:</t>
  </si>
  <si>
    <t>X2:</t>
  </si>
  <si>
    <t>X3:</t>
  </si>
  <si>
    <t>Cost - mixed Weapons</t>
  </si>
  <si>
    <t>Cost Firmpoint</t>
  </si>
  <si>
    <t>Cost Hardpoint</t>
  </si>
  <si>
    <t>Cost - same weapon</t>
  </si>
  <si>
    <t>FP01</t>
  </si>
  <si>
    <t>FP02</t>
  </si>
  <si>
    <t>FP03</t>
  </si>
  <si>
    <t>Use This Area to List Weapons Installed in Mixed Turrets/Fixed Mounts</t>
  </si>
  <si>
    <t>First Three Hardpoint Lines Below Are Reserved for Turret/Fixed Mount Weapons, Mixed Turrets and Small Craft Weapons.</t>
  </si>
  <si>
    <t>Distant*</t>
  </si>
  <si>
    <t>Distnt Optnl</t>
  </si>
  <si>
    <t>Hardpoint/Craft Mismatch</t>
  </si>
  <si>
    <t>RNG</t>
  </si>
  <si>
    <t>D Adv - Easy Repair</t>
  </si>
  <si>
    <t>D Adv - High Yield</t>
  </si>
  <si>
    <t>D Adv - Resilient</t>
  </si>
  <si>
    <t>Adv - Easy Repair</t>
  </si>
  <si>
    <t>Adv - High Yield</t>
  </si>
  <si>
    <t>Adv - Resilient</t>
  </si>
  <si>
    <t>#Mods</t>
  </si>
  <si>
    <t>Size - 10%</t>
  </si>
  <si>
    <t>Size - 15%</t>
  </si>
  <si>
    <t>D Advanced Small</t>
  </si>
  <si>
    <t>D Very Advanced Smaller</t>
  </si>
  <si>
    <t>D High Tech Smallest</t>
  </si>
  <si>
    <t>E Adv - Easy Repair</t>
  </si>
  <si>
    <t>E Adv - Energy Efficient</t>
  </si>
  <si>
    <t>E Adv - High Yield</t>
  </si>
  <si>
    <t>E Adv - Resilient</t>
  </si>
  <si>
    <t>F VAdv - Accurate</t>
  </si>
  <si>
    <t>F VAdv - Intense Focus</t>
  </si>
  <si>
    <t>F VAdv - Long Range</t>
  </si>
  <si>
    <t>F VAdv - Very High Yield</t>
  </si>
  <si>
    <t>Mod 1 List</t>
  </si>
  <si>
    <t>Mod 2,3</t>
  </si>
  <si>
    <t>Adv Size - 10%</t>
  </si>
  <si>
    <t>Adv Size - 15%</t>
  </si>
  <si>
    <t>Adv Size - 20%</t>
  </si>
  <si>
    <t>SM Tons</t>
  </si>
  <si>
    <t>SM TL</t>
  </si>
  <si>
    <t xml:space="preserve"> MOD TL</t>
  </si>
  <si>
    <t xml:space="preserve">SM Cost </t>
  </si>
  <si>
    <t>DMG</t>
  </si>
  <si>
    <t>#weaps</t>
  </si>
  <si>
    <t>x #weaps</t>
  </si>
  <si>
    <t>6D x 10</t>
  </si>
  <si>
    <t>9D</t>
  </si>
  <si>
    <t>7D</t>
  </si>
  <si>
    <t>3D</t>
  </si>
  <si>
    <t>6D</t>
  </si>
  <si>
    <t xml:space="preserve"> +2D/PDB</t>
  </si>
  <si>
    <t>Small Weapons</t>
  </si>
  <si>
    <t>Z28</t>
  </si>
  <si>
    <t>Record Sheet</t>
  </si>
  <si>
    <t>Mount</t>
  </si>
  <si>
    <t>Size+20%</t>
  </si>
  <si>
    <t>Damage: 1's to 2's</t>
  </si>
  <si>
    <t>Damage: 1's &amp; 2's to 3's</t>
  </si>
  <si>
    <t>Size +140%</t>
  </si>
  <si>
    <t>Size +120%, PWR +30%</t>
  </si>
  <si>
    <t>Size +120%, Attack -1</t>
  </si>
  <si>
    <t>Size x2, Attack -2</t>
  </si>
  <si>
    <t>Record</t>
  </si>
  <si>
    <t xml:space="preserve">Enjoy and if you have questions contact me on the Mongoose Publishing Forum,  </t>
  </si>
  <si>
    <t>FmPt</t>
  </si>
  <si>
    <t>HdPt</t>
  </si>
  <si>
    <t>Use</t>
  </si>
  <si>
    <t>Crew and Passengers</t>
  </si>
  <si>
    <t>Custom</t>
  </si>
  <si>
    <t>Select Crew Calculation to use:</t>
  </si>
  <si>
    <t>Active</t>
  </si>
  <si>
    <t>SM&gt;MaxSize</t>
  </si>
  <si>
    <t>Start with Ship Info. (Green Tab)</t>
  </si>
  <si>
    <t>There are two sets of counters on the right that allow you to count partial boxes. The boxes and counters will be greyed out until applicable.</t>
  </si>
  <si>
    <t>The SSD has room for 3000 damage boxes. These will scale by a factor of 10 or 100 with the hull points. Hatched boxes indicate the 10% critical threshhold.</t>
  </si>
  <si>
    <t>Bridge stations</t>
  </si>
  <si>
    <t>Small Craft Crew Calc:</t>
  </si>
  <si>
    <t>2xBasic2</t>
  </si>
  <si>
    <t>2xBasic3</t>
  </si>
  <si>
    <t>Y Sm Weapon Turret</t>
  </si>
  <si>
    <t>e Barbette Firmpoint</t>
  </si>
  <si>
    <t>Fixed Small Weapon Mounts</t>
  </si>
  <si>
    <t>Small Weapon Turrets</t>
  </si>
  <si>
    <t>Wrong HP</t>
  </si>
  <si>
    <t>Wrong Hardpoint</t>
  </si>
  <si>
    <t>Hardpoint index</t>
  </si>
  <si>
    <t>Weapon Index</t>
  </si>
  <si>
    <t>Firmpoint Index</t>
  </si>
  <si>
    <t>small craft or ship</t>
  </si>
  <si>
    <t>d Single Pop-up Turret sm</t>
  </si>
  <si>
    <t>Single Pop-up Turret sm</t>
  </si>
  <si>
    <t>Armor Stations?</t>
  </si>
  <si>
    <t>Maximum Size Exceeded</t>
  </si>
  <si>
    <t>Include B/U M-Drive in Battle Load?</t>
  </si>
  <si>
    <t>B Budget - Sloppy</t>
  </si>
  <si>
    <t>DM -1 to Screen</t>
  </si>
  <si>
    <t>Budget - Sloppy</t>
  </si>
  <si>
    <t>C Advanced - High Strength</t>
  </si>
  <si>
    <t>1's count as 2's</t>
  </si>
  <si>
    <t>D Very Adv - Accurate</t>
  </si>
  <si>
    <t>DM +1 to Screen</t>
  </si>
  <si>
    <t>1-2's count as 3's</t>
  </si>
  <si>
    <t>D Very Adv - Very High Strength</t>
  </si>
  <si>
    <t>P Prototype - Sloppy</t>
  </si>
  <si>
    <t>Proto - Bulky</t>
  </si>
  <si>
    <t>Proto - Power Hog</t>
  </si>
  <si>
    <t>Proto - Sloppy</t>
  </si>
  <si>
    <t>R Early Proto - Bulky/Hog</t>
  </si>
  <si>
    <t>R Early Proto - Bulky/Sloppy</t>
  </si>
  <si>
    <t>R Early Proto - Sloppy/Hog</t>
  </si>
  <si>
    <t>R Early Proto - Power Hog x2</t>
  </si>
  <si>
    <t>R Early Proto - Bulky x2</t>
  </si>
  <si>
    <t>R Early Proto - Sloppy x2</t>
  </si>
  <si>
    <t>DM-2 to Screen</t>
  </si>
  <si>
    <t>Power +60%</t>
  </si>
  <si>
    <t>Size+20%/PWR+30%</t>
  </si>
  <si>
    <t>Size+20%/DM -1</t>
  </si>
  <si>
    <t>PWR+30%/DM -1</t>
  </si>
  <si>
    <t>Name</t>
  </si>
  <si>
    <t>Early Proto - Bulky x2</t>
  </si>
  <si>
    <t>Early Proto - Bulky/Hog</t>
  </si>
  <si>
    <t>Early Proto - Bulky/Sloppy</t>
  </si>
  <si>
    <t>Early Proto - Power Hog x2</t>
  </si>
  <si>
    <t>Early Proto - Sloppy x2</t>
  </si>
  <si>
    <t>Early Proto - Sloppy/Hog</t>
  </si>
  <si>
    <t>Group 1</t>
  </si>
  <si>
    <t>Group 2</t>
  </si>
  <si>
    <t>Group 3</t>
  </si>
  <si>
    <t>Group 4</t>
  </si>
  <si>
    <t>Group1</t>
  </si>
  <si>
    <t>Group2</t>
  </si>
  <si>
    <t>Group3</t>
  </si>
  <si>
    <t>Group4</t>
  </si>
  <si>
    <t>ModCost</t>
  </si>
  <si>
    <t>Grav</t>
  </si>
  <si>
    <t>Energy Efficient</t>
  </si>
  <si>
    <t>High Strength</t>
  </si>
  <si>
    <t>Resilient</t>
  </si>
  <si>
    <t>C Advanced - Resilient</t>
  </si>
  <si>
    <t>Accurate</t>
  </si>
  <si>
    <t>Very High Strength</t>
  </si>
  <si>
    <t>DM -1</t>
  </si>
  <si>
    <t>DM +1</t>
  </si>
  <si>
    <t>DM-2</t>
  </si>
  <si>
    <t>1-2's to 3</t>
  </si>
  <si>
    <t>1s to 2</t>
  </si>
  <si>
    <t>DM-1</t>
  </si>
  <si>
    <t>Arkathan -October, 2021</t>
  </si>
  <si>
    <t>Military Hull:</t>
  </si>
  <si>
    <t>Military Hull Error</t>
  </si>
  <si>
    <t>solar</t>
  </si>
  <si>
    <t>Advanced Stealth</t>
  </si>
  <si>
    <t>Enhanced Stealth</t>
  </si>
  <si>
    <t>Improved Stealth</t>
  </si>
  <si>
    <t>Basic Stealth</t>
  </si>
  <si>
    <t>Enhanced Solar Coating</t>
  </si>
  <si>
    <t>Advanced Solar Coating</t>
  </si>
  <si>
    <t>Produces power</t>
  </si>
  <si>
    <t>(0 - 40 %)</t>
  </si>
  <si>
    <t>% of Hull:</t>
  </si>
  <si>
    <t>Adjustable Hull TL 12</t>
  </si>
  <si>
    <t>Adjustable Hull TL 15</t>
  </si>
  <si>
    <t>Pressure Hull</t>
  </si>
  <si>
    <t>Extreme Deeps ops, +4 armor</t>
  </si>
  <si>
    <t>Mimics other hull shapes</t>
  </si>
  <si>
    <t>Stealth count</t>
  </si>
  <si>
    <t>option count</t>
  </si>
  <si>
    <t>Solar Coat Count</t>
  </si>
  <si>
    <t>&lt; Check hull config for solar</t>
  </si>
  <si>
    <t xml:space="preserve">and enter that into Power Plant. </t>
  </si>
  <si>
    <t>in the Narrative Description (Ship Info Tab)</t>
  </si>
  <si>
    <t>&gt;&gt;Denote stats of separate and combined ships</t>
  </si>
  <si>
    <t>&gt;&gt;Split tonnage as appropriate on plans.</t>
  </si>
  <si>
    <t>&gt;&gt;Calculate total power needed for both ships</t>
  </si>
  <si>
    <t>&gt;&gt;Use B/U Drives for secondary hull</t>
  </si>
  <si>
    <t>Outer Hull in Dtons:</t>
  </si>
  <si>
    <t>(Minimum 60 Dtons)</t>
  </si>
  <si>
    <t>Minimal implementation. Cost and space accounted for.</t>
  </si>
  <si>
    <t>Hamster Cage</t>
  </si>
  <si>
    <t>Total Volume of Rings in Dtons:</t>
  </si>
  <si>
    <t>Ring width in meters (1.5m=1sq)</t>
  </si>
  <si>
    <t>Ring tonnage:</t>
  </si>
  <si>
    <t>Diameter in meters (min 30m/20sq)</t>
  </si>
  <si>
    <t>Meters</t>
  </si>
  <si>
    <t>Squares</t>
  </si>
  <si>
    <t>Ring Tonnage calculator</t>
  </si>
  <si>
    <t>&gt;&gt;Multi level rings can be calculated by adding 6m to the previous level's diameter and adding the total to the previous level(s)</t>
  </si>
  <si>
    <t>Inner (ceiling) circumference</t>
  </si>
  <si>
    <t>Solar Coating</t>
  </si>
  <si>
    <t>Adjustable Hull</t>
  </si>
  <si>
    <t>AP 4</t>
  </si>
  <si>
    <t>Railgun (B)</t>
  </si>
  <si>
    <t>Orbital Strike MD (S)</t>
  </si>
  <si>
    <t>Orbital Strike Ms (S)</t>
  </si>
  <si>
    <t>Orbital Strike</t>
  </si>
  <si>
    <t>7D x 10*</t>
  </si>
  <si>
    <t>3D x 10*</t>
  </si>
  <si>
    <t>2D x 3*</t>
  </si>
  <si>
    <t>3D x 3*</t>
  </si>
  <si>
    <t>5D x 20*</t>
  </si>
  <si>
    <t>6D x 10*</t>
  </si>
  <si>
    <t>8D x 20</t>
  </si>
  <si>
    <t>5D x 3*</t>
  </si>
  <si>
    <t>6D x10*</t>
  </si>
  <si>
    <t>7D x 20*</t>
  </si>
  <si>
    <t>10D x 100*</t>
  </si>
  <si>
    <t>Mass Driver Bay (S)</t>
  </si>
  <si>
    <t>Ion Cannon Bay (L)</t>
  </si>
  <si>
    <t>10D x 100</t>
  </si>
  <si>
    <t>4D x 3*</t>
  </si>
  <si>
    <t>AP 2</t>
  </si>
  <si>
    <t>AP 3, Radiation</t>
  </si>
  <si>
    <t>AP 5</t>
  </si>
  <si>
    <t>6D x 100*</t>
  </si>
  <si>
    <t>Orbital Bombardment</t>
  </si>
  <si>
    <t>4D x 20*</t>
  </si>
  <si>
    <t>5D x 10*</t>
  </si>
  <si>
    <t>6D x 20*</t>
  </si>
  <si>
    <t>8D x 20*</t>
  </si>
  <si>
    <t>Orbital Strike MD (M)</t>
  </si>
  <si>
    <t>Orbital Strike Ms (M)</t>
  </si>
  <si>
    <t>10D x 20*</t>
  </si>
  <si>
    <t>Orbital Strike MD (L)</t>
  </si>
  <si>
    <t>12D x 100*</t>
  </si>
  <si>
    <t>Orbital Strike Ms (L)</t>
  </si>
  <si>
    <t>8D x 100*</t>
  </si>
  <si>
    <t>7D x 100*</t>
  </si>
  <si>
    <t>4D x 10*</t>
  </si>
  <si>
    <t>SENSOP</t>
  </si>
  <si>
    <t>Electronics (Sensors)</t>
  </si>
  <si>
    <t>Beam Laser Barbette</t>
  </si>
  <si>
    <t>Pulse Laser Barbette</t>
  </si>
  <si>
    <t>Particle Beam Bay (L)</t>
  </si>
  <si>
    <t>Missile Bay (L)</t>
  </si>
  <si>
    <t>Sensop on-off</t>
  </si>
  <si>
    <t>FtrArmr</t>
  </si>
  <si>
    <t>Jump Filter</t>
  </si>
  <si>
    <t>Battle Network</t>
  </si>
  <si>
    <t>Battle Network/1</t>
  </si>
  <si>
    <t>Battle Network/2</t>
  </si>
  <si>
    <t>Enables Sensor Handoff to all ships within medium range</t>
  </si>
  <si>
    <t>Enables Sensor Handoff to all ships within long range</t>
  </si>
  <si>
    <t>7D x 3</t>
  </si>
  <si>
    <t>T+S:+S:BBBBL Max</t>
  </si>
  <si>
    <t>E Concealed Drive</t>
  </si>
  <si>
    <t>Concealed Drive</t>
  </si>
  <si>
    <t>Common Area Options</t>
  </si>
  <si>
    <t>Entertainment System</t>
  </si>
  <si>
    <t>Low Quality</t>
  </si>
  <si>
    <t>Adequate</t>
  </si>
  <si>
    <t>Luxury</t>
  </si>
  <si>
    <t>Advanced Entertainment System</t>
  </si>
  <si>
    <t>Cheap</t>
  </si>
  <si>
    <t>Average Quality</t>
  </si>
  <si>
    <t>High Quality</t>
  </si>
  <si>
    <t>Microbrewery/Distillery</t>
  </si>
  <si>
    <t>Gourmet Kitchen</t>
  </si>
  <si>
    <t>Hot Tub</t>
  </si>
  <si>
    <t>11+</t>
  </si>
  <si>
    <t>Swimming Pool</t>
  </si>
  <si>
    <t>Endless Pool</t>
  </si>
  <si>
    <t>dtons</t>
  </si>
  <si>
    <t>Basic Theater</t>
  </si>
  <si>
    <t>Advanced Theater</t>
  </si>
  <si>
    <t>Wet Bar</t>
  </si>
  <si>
    <t>Zero-G Room</t>
  </si>
  <si>
    <t>*SOC is House Rule to equate expense to clientele, feel free to ignore.</t>
  </si>
  <si>
    <t>&gt;&gt;&gt; Scroll down for Common Area Options &lt;&lt;&lt;</t>
  </si>
  <si>
    <t>calculated using doubled that thrust + 25%</t>
  </si>
  <si>
    <t>The rating for the Concealed Drive Mod is the actual thrust delivered. The tonnage and cost are</t>
  </si>
  <si>
    <t xml:space="preserve"> +4D/PDB</t>
  </si>
  <si>
    <t xml:space="preserve"> +6D/PDB</t>
  </si>
  <si>
    <t>3xFirmpoint Barbette</t>
  </si>
  <si>
    <t>Double Hull Installed</t>
  </si>
  <si>
    <t>No Double Hull</t>
  </si>
  <si>
    <t>Calculate Sensop?</t>
  </si>
  <si>
    <t>Pwr-10%</t>
  </si>
  <si>
    <t>Pwr-50%</t>
  </si>
  <si>
    <t>Pwr=0</t>
  </si>
  <si>
    <t>Wpn  DM-1</t>
  </si>
  <si>
    <t>Max Range=</t>
  </si>
  <si>
    <t>Random</t>
  </si>
  <si>
    <t>Wpn Disabled</t>
  </si>
  <si>
    <t>Random Wpn</t>
  </si>
  <si>
    <t>Explosion</t>
  </si>
  <si>
    <t>D3 Explosions</t>
  </si>
  <si>
    <t>1D Explosions</t>
  </si>
  <si>
    <t>Armour-2D</t>
  </si>
  <si>
    <t>1D Crew</t>
  </si>
  <si>
    <t>All Crew</t>
  </si>
  <si>
    <t>1 Crew</t>
  </si>
  <si>
    <t>Rnd Station</t>
  </si>
  <si>
    <t>2 turns</t>
  </si>
  <si>
    <t>Comp Reboot</t>
  </si>
  <si>
    <t xml:space="preserve">Bandwidth </t>
  </si>
  <si>
    <t>1D x 1D Dam</t>
  </si>
  <si>
    <t>Rnd St Dest</t>
  </si>
  <si>
    <t>1Dx1D,Hull CS+1</t>
  </si>
  <si>
    <t>Comp/40</t>
  </si>
  <si>
    <t>Core/110</t>
  </si>
  <si>
    <t>Advanced Countermeasures Suite</t>
  </si>
  <si>
    <t>DM +8 to Jam/EW</t>
  </si>
  <si>
    <t>Class VI - Superior</t>
  </si>
  <si>
    <t>Densitometer, Jammers, Lidar, Neural Activity Sensor, Radar; DM +3 to all Sensor Checks</t>
  </si>
  <si>
    <t>Superior Sensor Array</t>
  </si>
  <si>
    <t>Calculate cost as if module installed?</t>
  </si>
  <si>
    <t>Space Station Modules</t>
  </si>
  <si>
    <t>Residential Zones</t>
  </si>
  <si>
    <t>Luxury Quality (SOC 10+)</t>
  </si>
  <si>
    <t>Residents Accomodated</t>
  </si>
  <si>
    <t>Low Quality (SOC 1-3)</t>
  </si>
  <si>
    <t>Medium Quality (SOC 4-7)</t>
  </si>
  <si>
    <t>High Quality (SOC 8-9)</t>
  </si>
  <si>
    <t>Commercial Zones</t>
  </si>
  <si>
    <t>Crew tonnage for starport class calculation</t>
  </si>
  <si>
    <t>Module</t>
  </si>
  <si>
    <t>Design is:</t>
  </si>
  <si>
    <t>Hardpoints/Firmpoints on Base Class Without Any Modules:</t>
  </si>
  <si>
    <t>Module w/ Bridge</t>
  </si>
  <si>
    <t>Checksum</t>
  </si>
  <si>
    <t>Module with drives</t>
  </si>
  <si>
    <t>Base Class Usable Hull in Dtons (total with modules):</t>
  </si>
  <si>
    <t>Station</t>
  </si>
  <si>
    <t>Station Docking Facilities</t>
  </si>
  <si>
    <t>Ship Capacity in Dtons</t>
  </si>
  <si>
    <t>Docking Facility Group 1</t>
  </si>
  <si>
    <t>Docking Facility Group 2</t>
  </si>
  <si>
    <t>Docking Facility Group 3</t>
  </si>
  <si>
    <t>Docking Facility Group 4</t>
  </si>
  <si>
    <t>Docking Facility Group 5</t>
  </si>
  <si>
    <t>Crew Required</t>
  </si>
  <si>
    <t>Deep Space Comm Relay</t>
  </si>
  <si>
    <t>Station/Research Facilities</t>
  </si>
  <si>
    <t>Refineries</t>
  </si>
  <si>
    <t>Fuel Refinery Output Per Day</t>
  </si>
  <si>
    <t>Starport Service Fuel Tanks</t>
  </si>
  <si>
    <t>Class</t>
  </si>
  <si>
    <t>Refined Fuel/Day</t>
  </si>
  <si>
    <t>Shipyard Capacity</t>
  </si>
  <si>
    <t>Station Quality Chart</t>
  </si>
  <si>
    <t>Residential</t>
  </si>
  <si>
    <t>Mineral Refinery (space allocated)</t>
  </si>
  <si>
    <t>Smelter</t>
  </si>
  <si>
    <t>Output (Dtons)</t>
  </si>
  <si>
    <t>Shipyard</t>
  </si>
  <si>
    <t>Largest Vessel Construction Capacity</t>
  </si>
  <si>
    <t>Non-Jump Construction Capacity:</t>
  </si>
  <si>
    <t>Jump-Capable Construction Capacity:</t>
  </si>
  <si>
    <t>Manufacturing</t>
  </si>
  <si>
    <t>Basic Manufacturing Plant</t>
  </si>
  <si>
    <t>Advanced Manufacturing Plant</t>
  </si>
  <si>
    <t>Specialist Manufacturing Plant</t>
  </si>
  <si>
    <t>Agricultural Plant</t>
  </si>
  <si>
    <t>Tons Produced</t>
  </si>
  <si>
    <t>Number of Factories</t>
  </si>
  <si>
    <t>(Tab 9a Docking and Hangar space is part of the station's compliment and does not count towards a station's Docking rating)</t>
  </si>
  <si>
    <t>(Construction Deck above does not factor towards a station's Shipyard rating)</t>
  </si>
  <si>
    <t>Base Module</t>
  </si>
  <si>
    <t>Chart Room (Astographic Plotting and Analysis Chamber)</t>
  </si>
  <si>
    <t>Gravitational Analysis Suite</t>
  </si>
  <si>
    <t>Hostile Environment Operations Support Suite (HEOSS)</t>
  </si>
  <si>
    <t>Scientific Operations Suite</t>
  </si>
  <si>
    <t>Small Observatory</t>
  </si>
  <si>
    <t>Medium Observatory</t>
  </si>
  <si>
    <t>Large Observatory</t>
  </si>
  <si>
    <t>Number of Yards</t>
  </si>
  <si>
    <t>Average Crew</t>
  </si>
  <si>
    <t>GENERAL CREW</t>
  </si>
  <si>
    <t>SCIENTISTS</t>
  </si>
  <si>
    <t># Small Craft</t>
  </si>
  <si>
    <t>Tons Small Craft Drives</t>
  </si>
  <si>
    <t>Base Salary</t>
  </si>
  <si>
    <t>Additional Scientists</t>
  </si>
  <si>
    <t>Science</t>
  </si>
  <si>
    <t>Profession</t>
  </si>
  <si>
    <t>Additional Stewards</t>
  </si>
  <si>
    <t>Use 11-Staterooms for extra Common Areas</t>
  </si>
  <si>
    <t>Use Residential Zone for Crew?</t>
  </si>
  <si>
    <t>Hostile Environment Ops</t>
  </si>
  <si>
    <t>Resist Hazardous Atmospheres</t>
  </si>
  <si>
    <t>Hostile Environment Operations Package</t>
  </si>
  <si>
    <t>Reasearch Programs</t>
  </si>
  <si>
    <t>Science (Specific)</t>
  </si>
  <si>
    <t>Mentor</t>
  </si>
  <si>
    <t>Research Assistant</t>
  </si>
  <si>
    <t>Flight Operations</t>
  </si>
  <si>
    <t>Planetology</t>
  </si>
  <si>
    <t>Iterations</t>
  </si>
  <si>
    <t>Research</t>
  </si>
  <si>
    <t>Science (General)</t>
  </si>
  <si>
    <t>Advanced Science (Specific)</t>
  </si>
  <si>
    <t>Mentor/1</t>
  </si>
  <si>
    <t>Mentor/2</t>
  </si>
  <si>
    <t>Mentor/3</t>
  </si>
  <si>
    <t>Research Assist/1</t>
  </si>
  <si>
    <t>Research Assist/2</t>
  </si>
  <si>
    <t>Research Assist/3</t>
  </si>
  <si>
    <t>Flight Operations/1</t>
  </si>
  <si>
    <t>Flight Operations/2</t>
  </si>
  <si>
    <t>Flight Operations/3</t>
  </si>
  <si>
    <t>Planetology/1</t>
  </si>
  <si>
    <t>Planetology/2</t>
  </si>
  <si>
    <t>Planetology/3</t>
  </si>
  <si>
    <t>DM +1 to any Science research checks</t>
  </si>
  <si>
    <t>DM +1 to Planetology/Prospecting/Weather Prediction</t>
  </si>
  <si>
    <t>DM +2 to Planetology/Prospecting/Weather Prediction</t>
  </si>
  <si>
    <t>DM +3 to Planetology/Prospecting/Weather Prediction</t>
  </si>
  <si>
    <t>Science (Subject)</t>
  </si>
  <si>
    <t>DM +2 to Purchased Science(Specific) research checks</t>
  </si>
  <si>
    <t>DM +3 to Purchased Science(Specific) research checks</t>
  </si>
  <si>
    <t>weapon cost</t>
  </si>
  <si>
    <t>Allow Modules to have a separate Computer?</t>
  </si>
  <si>
    <t>Override Crew Accomodations for Modules?</t>
  </si>
  <si>
    <t>There are now three modes on this tab that will determine how the rest of the sheet works. Ship, Station and Module. I recommend saving a copy of this file as a blank for each mode.</t>
  </si>
  <si>
    <t>Ship</t>
  </si>
  <si>
    <t>(1% of Hull)</t>
  </si>
  <si>
    <t>Recommended</t>
  </si>
  <si>
    <t>Skill Level ***</t>
  </si>
  <si>
    <t>*** Average Crew Level set at Zero uses Base Salary</t>
  </si>
  <si>
    <t>Automation Level:</t>
  </si>
  <si>
    <t>Crew-Intensive</t>
  </si>
  <si>
    <t>Low Automation</t>
  </si>
  <si>
    <t>Standard Automation</t>
  </si>
  <si>
    <t>Enhanced Automation</t>
  </si>
  <si>
    <t>Advanced Automation</t>
  </si>
  <si>
    <t>High Automation</t>
  </si>
  <si>
    <t>Cost Multiplier</t>
  </si>
  <si>
    <t>Crew Multiplier</t>
  </si>
  <si>
    <t>DM-4 for all shipboard tasks</t>
  </si>
  <si>
    <t>DM-1 for all shipboard tasks after 1 week in space</t>
  </si>
  <si>
    <t>DM+1 on all shipboard tasks</t>
  </si>
  <si>
    <t>DM+2 on all shipboard tasks</t>
  </si>
  <si>
    <t>Active labels:</t>
  </si>
  <si>
    <t>NOTE: Automation is an optional rule from the Traveller Companion. Standard Automation is HG2022 Compliant</t>
  </si>
  <si>
    <t>0, Intellect00000</t>
  </si>
  <si>
    <t>Repulsor Bay Adv (L)</t>
  </si>
  <si>
    <t>Repulsor Bay Adv (M)</t>
  </si>
  <si>
    <t>Repulsor Bay Adv (S)</t>
  </si>
  <si>
    <t>Hold 800 Dtons</t>
  </si>
  <si>
    <t>Hold 400 Dtons</t>
  </si>
  <si>
    <t>Hold 100 Dtons</t>
  </si>
  <si>
    <t>Hold 200 Dtons</t>
  </si>
  <si>
    <t>Hold 1600 Dtons</t>
  </si>
  <si>
    <t>P Cannonade</t>
  </si>
  <si>
    <t>Cannonade</t>
  </si>
  <si>
    <t>8 X (User Defined)</t>
  </si>
  <si>
    <t>7 Cannonade</t>
  </si>
  <si>
    <t>Cannonade, Plasma</t>
  </si>
  <si>
    <t>Cannonade, Fusion</t>
  </si>
  <si>
    <t>Torpedo Interceptor Cluster</t>
  </si>
  <si>
    <t>GP Mass Driver</t>
  </si>
  <si>
    <t>Weak</t>
  </si>
  <si>
    <t>Rad, Weak</t>
  </si>
  <si>
    <t>16D</t>
  </si>
  <si>
    <t>12D</t>
  </si>
  <si>
    <t>Subtract PD Gunner</t>
  </si>
  <si>
    <t>Fusion Gun Bay (L)</t>
  </si>
  <si>
    <t>Mass Driver Bay (L)</t>
  </si>
  <si>
    <t>Meson Gun Bay (L)</t>
  </si>
  <si>
    <t>Neutron Laser Bay (L)</t>
  </si>
  <si>
    <t>Plasma-pulse Cannon Bay (L)</t>
  </si>
  <si>
    <t>Railgun Bay (L)</t>
  </si>
  <si>
    <t>Tachyon Cannon Bay (L)</t>
  </si>
  <si>
    <t>Tractor Beam Bay (L)</t>
  </si>
  <si>
    <t>Fusion Gun</t>
  </si>
  <si>
    <t>Fusion Gun Bay (M)</t>
  </si>
  <si>
    <t>Fusion Gun Bay (S)</t>
  </si>
  <si>
    <t>Gravimetric Distorter</t>
  </si>
  <si>
    <t>Ion Cannon Bay (M)</t>
  </si>
  <si>
    <t>Ion Cannon Bay (S)</t>
  </si>
  <si>
    <t>Mass Driver Bay (M)</t>
  </si>
  <si>
    <t>Meson Gun Bay (M)</t>
  </si>
  <si>
    <t>Meson Gun Bay (S)</t>
  </si>
  <si>
    <t>Missile Barbette</t>
  </si>
  <si>
    <t>Missile Bay (M)</t>
  </si>
  <si>
    <t>Missile Bay (S)</t>
  </si>
  <si>
    <t>Neutron Laser Bay (M)</t>
  </si>
  <si>
    <t>Neutron Laser Bay (S)</t>
  </si>
  <si>
    <t>Particle Beam</t>
  </si>
  <si>
    <t>Particle Beam Bay (M)</t>
  </si>
  <si>
    <t>Particle Beam Bay (S)</t>
  </si>
  <si>
    <t>Plasma Barbette</t>
  </si>
  <si>
    <t>Plasma Gun</t>
  </si>
  <si>
    <t>Plasma-pulse Cannon Bay (M)</t>
  </si>
  <si>
    <t>Plasma-pulse Cannon Bay (S)</t>
  </si>
  <si>
    <t>Railgun Bay (M)</t>
  </si>
  <si>
    <t>Railgun Bay (S)</t>
  </si>
  <si>
    <t>Repulsor Bay (L)</t>
  </si>
  <si>
    <t>Repulsor Bay (M)</t>
  </si>
  <si>
    <t>Repulsor Bay (S)</t>
  </si>
  <si>
    <t>Tachyon Cannon Bay (M)</t>
  </si>
  <si>
    <t>Tachyon Cannon Bay (S)</t>
  </si>
  <si>
    <t>Torpedo Bay (L)</t>
  </si>
  <si>
    <t>Torpedo Bay (M)</t>
  </si>
  <si>
    <t>Torpedo Bay (S)</t>
  </si>
  <si>
    <t>Tractor Beam Bay (S)</t>
  </si>
  <si>
    <t>Tractor Beam Bay (M)</t>
  </si>
  <si>
    <t>Add Command Bridge Status to an Existing Bridge</t>
  </si>
  <si>
    <t>VirtualGunnerCount</t>
  </si>
  <si>
    <t>VGunners</t>
  </si>
  <si>
    <t>Virtual Crew (non-Gunner)</t>
  </si>
  <si>
    <t>Reminder from 6-Comp Tab</t>
  </si>
  <si>
    <t xml:space="preserve">&gt;&gt;&gt; See Cargo Tab for additional information. </t>
  </si>
  <si>
    <t>Fuel/Cargo Container</t>
  </si>
  <si>
    <t>Fuel Cargo</t>
  </si>
  <si>
    <t>Solar Panels?</t>
  </si>
  <si>
    <t>Solar Panels</t>
  </si>
  <si>
    <t>Improved</t>
  </si>
  <si>
    <t>Enhanced</t>
  </si>
  <si>
    <t>PPU</t>
  </si>
  <si>
    <t># Units</t>
  </si>
  <si>
    <t xml:space="preserve"> Tons Fixed Wpns &gt;.25Dt</t>
  </si>
  <si>
    <t>* Non-Starship Weapons are sold outside of the shipyard.</t>
  </si>
  <si>
    <t>Fixed Vehicle Weapon Mounts &gt;.25 Dt</t>
  </si>
  <si>
    <t>Jump Drive (Hop)</t>
  </si>
  <si>
    <t>Jump Drive (Skip)</t>
  </si>
  <si>
    <t>Sand</t>
  </si>
  <si>
    <t>Special Munitions</t>
  </si>
  <si>
    <t>Mass Driver</t>
  </si>
  <si>
    <t>Deep Space Manoeuvering System?</t>
  </si>
  <si>
    <t>DSMS</t>
  </si>
  <si>
    <t>DSMS TL Limiter:</t>
  </si>
  <si>
    <t>MilCrew</t>
  </si>
  <si>
    <t>MilCrew2</t>
  </si>
  <si>
    <t>FTL?</t>
  </si>
  <si>
    <t>Fuel Capacity</t>
  </si>
  <si>
    <t>NOTES</t>
  </si>
  <si>
    <t>Random Station</t>
  </si>
  <si>
    <t>Computer Reboot</t>
  </si>
  <si>
    <t>Rnd Station Dest</t>
  </si>
  <si>
    <t>Life Support Fails in 1D hours</t>
  </si>
  <si>
    <t>Life Support Faila in 1D rounds</t>
  </si>
  <si>
    <t>Life Support Failure</t>
  </si>
  <si>
    <t>Thrust -1</t>
  </si>
  <si>
    <t>Pilot DM-2</t>
  </si>
  <si>
    <t>Pilot DM-3</t>
  </si>
  <si>
    <t>Pilot DM-4</t>
  </si>
  <si>
    <t>Leak 1D</t>
  </si>
  <si>
    <t xml:space="preserve"> tons/hour</t>
  </si>
  <si>
    <t xml:space="preserve">Leak 1D </t>
  </si>
  <si>
    <t>tons/round</t>
  </si>
  <si>
    <t>Beam Laser Bay (L)</t>
  </si>
  <si>
    <t>Beam Laser Bay (M)</t>
  </si>
  <si>
    <t>Beam Laser Bay (S)</t>
  </si>
  <si>
    <t>Pulse Laser Bay (L)</t>
  </si>
  <si>
    <t>Pulse Laser Bay (M)</t>
  </si>
  <si>
    <t>Pulse Laser Bay (S)</t>
  </si>
  <si>
    <t>Burst Laser</t>
  </si>
  <si>
    <t>Auto 3</t>
  </si>
  <si>
    <t>3D x 100*</t>
  </si>
  <si>
    <t>3D x 20*</t>
  </si>
  <si>
    <t>2D x 10*</t>
  </si>
  <si>
    <t>*Roll damage; Subtract Armor; Apply Multiple; And Then Subtract Screen Effect</t>
  </si>
  <si>
    <t>The Capital Ship SSD is located after the Cargo Tab. It provides larger print and 10,560 boxes, with a maximum scale of x1000 and partial box counters going to the hundreds. Warning, it is slow.</t>
  </si>
  <si>
    <t>CREW</t>
  </si>
  <si>
    <t>Maximum Tonnage Allowed for Listed Performance With Current Engines</t>
  </si>
  <si>
    <t>Total of Secondary Hull(s) in Dtons:</t>
  </si>
  <si>
    <t>RAW: Ships greater than 7500 tons are not permitted to use additional sensor stations</t>
  </si>
  <si>
    <t>Ignore Crew Reduction for Ship Size?</t>
  </si>
  <si>
    <t>Toggle</t>
  </si>
  <si>
    <t>Use This Multiplier</t>
  </si>
  <si>
    <t>Components</t>
  </si>
  <si>
    <t># of Systems</t>
  </si>
  <si>
    <t>Quantity of Bays</t>
  </si>
  <si>
    <t>Convert Main Tanks to Fuel/Cargo?</t>
  </si>
  <si>
    <t>Tons Per Bay</t>
  </si>
  <si>
    <t>Mountable Fuel Tank</t>
  </si>
  <si>
    <t>* Check notes on Weapons,Screens and Cargo. Resilient Mods are cumulative with bulkheads. Double Underline and (CS-1) indicates Armored Bulkheads</t>
  </si>
  <si>
    <t>Electronics (Sensors) 10+ to determine where a ship has jumped to</t>
  </si>
  <si>
    <t>Small Craft and Carried Vehicles</t>
  </si>
  <si>
    <t>Description</t>
  </si>
  <si>
    <t>Calculate craft in ship's cost?</t>
  </si>
  <si>
    <t>Cost per Unit</t>
  </si>
  <si>
    <t>Cost per unit</t>
  </si>
  <si>
    <t>Toggles for Drop Down Craft</t>
  </si>
  <si>
    <t>Disable TL Restriction?</t>
  </si>
  <si>
    <t>Maximum Tons:</t>
  </si>
  <si>
    <t>Minimum Tons:</t>
  </si>
  <si>
    <t>Setting Limits to Zero Lists All in the Group</t>
  </si>
  <si>
    <t>Include High Guard?</t>
  </si>
  <si>
    <t>Include Small Craft Catalogue?</t>
  </si>
  <si>
    <t>Include Vehicles:</t>
  </si>
  <si>
    <t>Include Small Craft:</t>
  </si>
  <si>
    <t>Include Riders:</t>
  </si>
  <si>
    <t>HG</t>
  </si>
  <si>
    <t>SmCrftCat</t>
  </si>
  <si>
    <t>Air/Raft</t>
  </si>
  <si>
    <t>ATV</t>
  </si>
  <si>
    <t>Brutus Heavy Cargo Truck</t>
  </si>
  <si>
    <t>Cargo Lifter</t>
  </si>
  <si>
    <t>G/Bike</t>
  </si>
  <si>
    <t>G/Racer</t>
  </si>
  <si>
    <t>Gecko AT Assault Vehicle</t>
  </si>
  <si>
    <t>Gunskiff</t>
  </si>
  <si>
    <t>G/Carrier</t>
  </si>
  <si>
    <t>Include Vehicle Handbook?</t>
  </si>
  <si>
    <t>Type: S</t>
  </si>
  <si>
    <t>VH</t>
  </si>
  <si>
    <t>System Defence Boat (Core'22)</t>
  </si>
  <si>
    <t>Light Fighter (Core'22)</t>
  </si>
  <si>
    <t>Gig (Core'22)</t>
  </si>
  <si>
    <t>Launch (Core'22)</t>
  </si>
  <si>
    <t>Ship's Boat (Core'22)</t>
  </si>
  <si>
    <t>Slow Boat (Core'22)</t>
  </si>
  <si>
    <t>Modular Cutter (Core'22)</t>
  </si>
  <si>
    <t>Shuttle (Core'22)</t>
  </si>
  <si>
    <t>Passenger Shuttle (Core'22)</t>
  </si>
  <si>
    <t>Robot Brain</t>
  </si>
  <si>
    <t>Alpha</t>
  </si>
  <si>
    <t>Omega</t>
  </si>
  <si>
    <t>No Robot Brain Interface</t>
  </si>
  <si>
    <t>Robot Brain Interfaces Installed</t>
  </si>
  <si>
    <t>Custom Robot Brain</t>
  </si>
  <si>
    <t>No avatars, max 4 tasks, DM-2 on each additional task</t>
  </si>
  <si>
    <t>Basic Avatar, Max 8 tasks, DM-1 on each additional task</t>
  </si>
  <si>
    <t>4 Avatars, 8 Drones, Advanced Swarm</t>
  </si>
  <si>
    <t>Brian</t>
  </si>
  <si>
    <t>Haptic Robot Brain Interfaces Installed</t>
  </si>
  <si>
    <t>Robot Handbook Robot Brain</t>
  </si>
  <si>
    <t>A25</t>
  </si>
  <si>
    <t>A28</t>
  </si>
  <si>
    <t>Robot Input Interface</t>
  </si>
  <si>
    <t>Allows Ship's Brain to run any of the Ship's Computer Software</t>
  </si>
  <si>
    <t>Armored Fighting Vehicle</t>
  </si>
  <si>
    <t>Ground Car</t>
  </si>
  <si>
    <t>Dirtside APC</t>
  </si>
  <si>
    <t>Dragonflyer Gravcopter</t>
  </si>
  <si>
    <t>G/Runner City Car</t>
  </si>
  <si>
    <t>Grav/Floater</t>
  </si>
  <si>
    <t>Heaven70 Gunship Drone</t>
  </si>
  <si>
    <t>HEV-12 Hostile Environment</t>
  </si>
  <si>
    <t>Liberator G/Carrier</t>
  </si>
  <si>
    <t xml:space="preserve">Abel Thermospheric Recon </t>
  </si>
  <si>
    <t>Borderguard Ground Attack</t>
  </si>
  <si>
    <t>Firehammer G/Fighter</t>
  </si>
  <si>
    <t>Newpoint G/APC</t>
  </si>
  <si>
    <t>Walkure G/Assault Vehicle</t>
  </si>
  <si>
    <t>Ultralight Fighter</t>
  </si>
  <si>
    <t>Light Fighter (HG'22)</t>
  </si>
  <si>
    <t xml:space="preserve">Military Gig </t>
  </si>
  <si>
    <t>Heavy Fighter</t>
  </si>
  <si>
    <t>Troop Transport</t>
  </si>
  <si>
    <t>Torpedo Boat</t>
  </si>
  <si>
    <t>Prospecting Buggy</t>
  </si>
  <si>
    <t>Dragon System Defense Boat</t>
  </si>
  <si>
    <t>Hadrian Battle Rider</t>
  </si>
  <si>
    <t>Civilian Hopper</t>
  </si>
  <si>
    <t>Cargo Shuttle (SCC)</t>
  </si>
  <si>
    <t>Smuggler's Pinnace</t>
  </si>
  <si>
    <t>Pinnace (Core'22)</t>
  </si>
  <si>
    <t>Slow Pinnace (Core'22)</t>
  </si>
  <si>
    <t>Short Shuttle</t>
  </si>
  <si>
    <t>Fast Shuttle</t>
  </si>
  <si>
    <t>Trade Shuttle</t>
  </si>
  <si>
    <t>ExtRng Passenger Shuttle</t>
  </si>
  <si>
    <t>Automated Lifeboat</t>
  </si>
  <si>
    <t>Freight Handler Pod</t>
  </si>
  <si>
    <t>Transporter</t>
  </si>
  <si>
    <t>Utility Pod</t>
  </si>
  <si>
    <t>Tradesman's Gig</t>
  </si>
  <si>
    <t>Belter Launch</t>
  </si>
  <si>
    <t>Customs Launch</t>
  </si>
  <si>
    <t>Lifeboat</t>
  </si>
  <si>
    <t>Medical Launch</t>
  </si>
  <si>
    <t>Rescue Boat</t>
  </si>
  <si>
    <t>Modular Skiff</t>
  </si>
  <si>
    <t>Research Pinnace</t>
  </si>
  <si>
    <t>Customs Patrol Boat</t>
  </si>
  <si>
    <t>Fast Cutter</t>
  </si>
  <si>
    <t>Ship-To-Ship Shuttle</t>
  </si>
  <si>
    <t>Traffic Control Router</t>
  </si>
  <si>
    <t>Heavy Modular Cutter</t>
  </si>
  <si>
    <t>Homeshield Mini-Fighter</t>
  </si>
  <si>
    <t>Cyclone Ground Attack Fighter</t>
  </si>
  <si>
    <t>Moray Antique Fighter</t>
  </si>
  <si>
    <t>Sentinel Escort Fighter</t>
  </si>
  <si>
    <t>Junker</t>
  </si>
  <si>
    <t>Kashu Multirole Fighter</t>
  </si>
  <si>
    <t>Jester Covert Ops Fighter</t>
  </si>
  <si>
    <t>Fighter</t>
  </si>
  <si>
    <t xml:space="preserve">(Military under 100 tons) Include Fighters? </t>
  </si>
  <si>
    <t>Vanguard Assault Fighter</t>
  </si>
  <si>
    <t>Space Surveillance Boat</t>
  </si>
  <si>
    <t>Carrier Support Craft</t>
  </si>
  <si>
    <t>Fast Launch</t>
  </si>
  <si>
    <t>Fighting Launch</t>
  </si>
  <si>
    <t>Covert Insertion Boat</t>
  </si>
  <si>
    <t>SEW Boat</t>
  </si>
  <si>
    <t>Strike Boat</t>
  </si>
  <si>
    <t>Boarding Shuttle</t>
  </si>
  <si>
    <t>Cargo Transport</t>
  </si>
  <si>
    <t>Planetary Assault Barge</t>
  </si>
  <si>
    <t>System Defence Craft</t>
  </si>
  <si>
    <t>Runabout</t>
  </si>
  <si>
    <t>Protective Shuttle</t>
  </si>
  <si>
    <t>Pressurized Yacht</t>
  </si>
  <si>
    <t>Luxury Shuttle</t>
  </si>
  <si>
    <t>Core'22</t>
  </si>
  <si>
    <t>Include Core Rulebook?</t>
  </si>
  <si>
    <t>Tons V</t>
  </si>
  <si>
    <t>Tons SmC</t>
  </si>
  <si>
    <t>Tons Rider</t>
  </si>
  <si>
    <t>V/Sm/Rdr</t>
  </si>
  <si>
    <t>Quality</t>
  </si>
  <si>
    <t>Chamber Liters</t>
  </si>
  <si>
    <t>Standard Units</t>
  </si>
  <si>
    <t>None Installed</t>
  </si>
  <si>
    <t>Custom Units</t>
  </si>
  <si>
    <t>Pick List</t>
  </si>
  <si>
    <t>T</t>
  </si>
  <si>
    <t>A</t>
  </si>
  <si>
    <t>N</t>
  </si>
  <si>
    <t>D</t>
  </si>
  <si>
    <t>R</t>
  </si>
  <si>
    <t>U</t>
  </si>
  <si>
    <t>O</t>
  </si>
  <si>
    <t>M</t>
  </si>
  <si>
    <t xml:space="preserve">* Note: You have to manually ensure that you have space to hold the craft you carry. </t>
  </si>
  <si>
    <t>Management is not responsible for craft left at the spaceport due to insufficient clamps/craft/hangar space.</t>
  </si>
  <si>
    <t>Craft</t>
  </si>
  <si>
    <t>Fabricator without space</t>
  </si>
  <si>
    <t>Aslan Ihateisho-Class Scout</t>
  </si>
  <si>
    <t>Include Aliens of Charted Space 1?</t>
  </si>
  <si>
    <t>Include Aliens of Charted Space 2?</t>
  </si>
  <si>
    <t>Include Aliens of Charted Space 3?</t>
  </si>
  <si>
    <t>Include Aliens of Charted Space 4?</t>
  </si>
  <si>
    <t>Include Behind the Claw?</t>
  </si>
  <si>
    <t>AOCS1</t>
  </si>
  <si>
    <t>AOCS2</t>
  </si>
  <si>
    <t>AOCS3</t>
  </si>
  <si>
    <t>AOCS4</t>
  </si>
  <si>
    <t>BH</t>
  </si>
  <si>
    <t>BtC</t>
  </si>
  <si>
    <t>Aslan Clawbike</t>
  </si>
  <si>
    <t>Aslan Crawler</t>
  </si>
  <si>
    <t xml:space="preserve">Aslan Assault Grav Tank </t>
  </si>
  <si>
    <t xml:space="preserve">Aslan Grav Barge </t>
  </si>
  <si>
    <t xml:space="preserve">Aslan Hraye-Class Scout </t>
  </si>
  <si>
    <t xml:space="preserve">K'Kree Personal Grav Skimmer </t>
  </si>
  <si>
    <t>K'Kree Lead Grav Skimmer</t>
  </si>
  <si>
    <t>K'Kree Family Transport Vehicle</t>
  </si>
  <si>
    <t>K'Kree Mobile Fighting Platform</t>
  </si>
  <si>
    <t>K'Kree Bearer-of-Cargoes Shuttle</t>
  </si>
  <si>
    <t xml:space="preserve">K'Kree Bearer-of-Families Orbital Shuttle </t>
  </si>
  <si>
    <t xml:space="preserve">K'Kree Quickening Thunder Robotic Fighter </t>
  </si>
  <si>
    <t xml:space="preserve">K'Kree Faithful Shield Robotic Escort Fighter </t>
  </si>
  <si>
    <t xml:space="preserve">Vargr Gravitic Racer </t>
  </si>
  <si>
    <t>Vargr Gravitic Speeder</t>
  </si>
  <si>
    <t xml:space="preserve">Vargr Wulfenite G/Carrier </t>
  </si>
  <si>
    <t>Vargr Clawtip Plasma Tank</t>
  </si>
  <si>
    <t>Varge Loper Ground Carrier</t>
  </si>
  <si>
    <t xml:space="preserve">Vargr Aakum-Class Heavy Fighter </t>
  </si>
  <si>
    <t>Vargr Aetin-Class Scout</t>
  </si>
  <si>
    <t xml:space="preserve">Zhodoni Utility Grav Sled </t>
  </si>
  <si>
    <t>Zhodoni Imperious G-Carrier</t>
  </si>
  <si>
    <t>Zhodoni Unity Grav AFV</t>
  </si>
  <si>
    <t>Zhodoni Insight Scout Sled</t>
  </si>
  <si>
    <t>Zhodoni Princely Lord Attack Speeder</t>
  </si>
  <si>
    <t xml:space="preserve">Zhodoni Silent Grasp Attack Speeder </t>
  </si>
  <si>
    <t>Zhodoni Qiknavra Grav Tank</t>
  </si>
  <si>
    <t xml:space="preserve">Zhodoni Ninz-Class Scout </t>
  </si>
  <si>
    <t xml:space="preserve">Solomani UB-25-Class Small Utility Boat </t>
  </si>
  <si>
    <t>Solomani UB-75-Class Large Utility Boat</t>
  </si>
  <si>
    <t xml:space="preserve">Solomani USC-3A-Class Small Packet Boat </t>
  </si>
  <si>
    <t>Solomani Saxby-Class System Defense Boat</t>
  </si>
  <si>
    <t>Droyne Siyoparttwi-Class Communications Vessel</t>
  </si>
  <si>
    <t xml:space="preserve">Darrian Monocycle </t>
  </si>
  <si>
    <t>Darrian Grav Bike</t>
  </si>
  <si>
    <t xml:space="preserve">Darrian Military Grav Bike </t>
  </si>
  <si>
    <t>Darrian Shere Tank</t>
  </si>
  <si>
    <t xml:space="preserve">Darrian Lehnd Covert Espionage Scout </t>
  </si>
  <si>
    <t>Darrian Thengg-Class Pioneer Scout</t>
  </si>
  <si>
    <t>Darrian Piholz-Class System Defense Boat</t>
  </si>
  <si>
    <t>Geonee Gosta Light Tank</t>
  </si>
  <si>
    <t xml:space="preserve">Geonee Branak Superheavy Tank </t>
  </si>
  <si>
    <t xml:space="preserve">Geonee Fuelling Shuttle </t>
  </si>
  <si>
    <t xml:space="preserve">Geonee Boarding Pod </t>
  </si>
  <si>
    <t xml:space="preserve">Geonee Adrat-Class Scout </t>
  </si>
  <si>
    <t xml:space="preserve">Geonee Brekat-Class System Defense Boat </t>
  </si>
  <si>
    <t>Geonee Kran-Class System Defense Boat</t>
  </si>
  <si>
    <t>Dolphin Grav Sled</t>
  </si>
  <si>
    <t>Dolphin Ocean Quest Submercible Laboratory</t>
  </si>
  <si>
    <t>Dolphin Sail Fish Scooter</t>
  </si>
  <si>
    <t>Dolphin Mud Crab Submercible Tank</t>
  </si>
  <si>
    <t>Dolphin Tiger Shark Attack Submarine</t>
  </si>
  <si>
    <t>Dolphin Deep Dive-Class Scout/Courier</t>
  </si>
  <si>
    <t>Bwap A-Awab Air Tram</t>
  </si>
  <si>
    <t xml:space="preserve">Bwap Betwa-Taa Heavy Ocean Farming Robot </t>
  </si>
  <si>
    <t>Bwap Da-We-Pa War Walker</t>
  </si>
  <si>
    <t xml:space="preserve">Bwap Fastas-Ewawab Off-Roader Engine </t>
  </si>
  <si>
    <t>Bwap Fastas-Ewawab Off-Roader Freight Carriage</t>
  </si>
  <si>
    <t>Bwap Fastas-Ewawab Off-Roader Laboratory Carriage</t>
  </si>
  <si>
    <t xml:space="preserve">Bwap Fastas-Ewawab Off-Roader Habitat Carriage </t>
  </si>
  <si>
    <t>Bwap Pabta Tracked Scooter</t>
  </si>
  <si>
    <t xml:space="preserve">Bwap Peswab Marsh Hopper </t>
  </si>
  <si>
    <t xml:space="preserve">Bwap Apa-Pakwa-Class Medium Fighter </t>
  </si>
  <si>
    <t xml:space="preserve">Bwap Efaweape-Class Scout </t>
  </si>
  <si>
    <t>Bwap Tabewarke-Class System Defense Boat</t>
  </si>
  <si>
    <t>Bwap Eaaetatka-Class Monitor</t>
  </si>
  <si>
    <t>Suerrat RCPO Courier</t>
  </si>
  <si>
    <t xml:space="preserve">Za'tachk Antha Recon Drone </t>
  </si>
  <si>
    <t xml:space="preserve">Za'tachk Eruenooph Scout Drone </t>
  </si>
  <si>
    <t>Za'tachk Idinpyx Airborne Attack Drone</t>
  </si>
  <si>
    <t xml:space="preserve">Za'tachk Nudaonsk Heavy Tank Drone </t>
  </si>
  <si>
    <t>Za'tachk Ulminixon Light Airborne Attack Drone</t>
  </si>
  <si>
    <t xml:space="preserve">Za'tachk Uft Lifeboat </t>
  </si>
  <si>
    <t>Za'tachk Klaront-Class Light Fighter Drone</t>
  </si>
  <si>
    <t>Za'tachk Iestynin-Class Medium Fighter Drone</t>
  </si>
  <si>
    <t>Za'tachk Slaixut-Class Torpedo Drone</t>
  </si>
  <si>
    <t>Gurvin Nawryne-Class Trade Scout</t>
  </si>
  <si>
    <t>Tezcat Hrisshtou-Class Light Fighter</t>
  </si>
  <si>
    <t>Tezcat Gshahk-Class Gig</t>
  </si>
  <si>
    <t>Tezcat Kalahk-Class Medium Fighter</t>
  </si>
  <si>
    <t xml:space="preserve">Tezcat Asjrou-Class Stealth Fighter </t>
  </si>
  <si>
    <t xml:space="preserve">Tezcat Rashkaaht-Class Boarding Skiff </t>
  </si>
  <si>
    <t>Tezcat Yarlasth-Class Heavy Fighter</t>
  </si>
  <si>
    <t xml:space="preserve">Tezcat Grathriss-Class Gunboat </t>
  </si>
  <si>
    <t>Tezcat Vatha-Class Torpedo Boat</t>
  </si>
  <si>
    <t>Tezcat Kilrashta-Class Refuelling Shuttle</t>
  </si>
  <si>
    <t xml:space="preserve">Vargr Ghoerruegh G/Carrier </t>
  </si>
  <si>
    <t>Dorannian Transport Crawler</t>
  </si>
  <si>
    <t xml:space="preserve">Hrunting Hnaefir Air/Raft </t>
  </si>
  <si>
    <t>Deep Ranger-Class Research Submarine</t>
  </si>
  <si>
    <t>Ilauus-Class Fast Shuttle</t>
  </si>
  <si>
    <t xml:space="preserve">Cargo Lighter </t>
  </si>
  <si>
    <t>Passenger Lighter</t>
  </si>
  <si>
    <t xml:space="preserve">Fuel Lighter </t>
  </si>
  <si>
    <t>Gunship Lighter</t>
  </si>
  <si>
    <t>Deneb Stalwart-Class Monitor</t>
  </si>
  <si>
    <t>Thousand-Class (In System) Freighter</t>
  </si>
  <si>
    <t>Cryo-Truck</t>
  </si>
  <si>
    <t>Exfil Ornithopter</t>
  </si>
  <si>
    <t>Stealth G/Bike</t>
  </si>
  <si>
    <t>Submersible Command Hub</t>
  </si>
  <si>
    <t>Transport Bus</t>
  </si>
  <si>
    <t>Kashi Rover</t>
  </si>
  <si>
    <t xml:space="preserve">Armored G/Car </t>
  </si>
  <si>
    <t>Poignard</t>
  </si>
  <si>
    <t>Budget Bounty</t>
  </si>
  <si>
    <t>Retrofit Launch</t>
  </si>
  <si>
    <t xml:space="preserve">Retrofit Pinnace </t>
  </si>
  <si>
    <t>Aslan Yeawel Light Fighter</t>
  </si>
  <si>
    <t>Aslan Hkhuilrakh Light fighter</t>
  </si>
  <si>
    <t>Aslan Yaeai Reconnaissance Pinnace</t>
  </si>
  <si>
    <t>Aslan Akhoilaw Shrine Ship</t>
  </si>
  <si>
    <t>Aslan Faiyh Assault Craft</t>
  </si>
  <si>
    <t>Sword Worlds Ship's Boat</t>
  </si>
  <si>
    <t>Sword Worlds Baldr Attack Fighter</t>
  </si>
  <si>
    <t>Sword Worlds Vanguard Fusion Boat</t>
  </si>
  <si>
    <t>Sword Worlds Vanguard-M Missile Boat</t>
  </si>
  <si>
    <t>Vargr Belt Racer</t>
  </si>
  <si>
    <t>Vargr Gothta Ambush Fighter</t>
  </si>
  <si>
    <t>Vargr Nolrrgarrai Strike Fighter</t>
  </si>
  <si>
    <t>Vargr Corsair Pinnace</t>
  </si>
  <si>
    <t>Zhodani Tlatl Light Fighter</t>
  </si>
  <si>
    <t>Zhodani Kia Heavy Fighter</t>
  </si>
  <si>
    <t>Zhodani Brechatsnech Belt Survey Vessel</t>
  </si>
  <si>
    <t>Zhodani Neishetsienz Gas Giant Survey Vessel</t>
  </si>
  <si>
    <t>Zhodani Drabr Chtor Terrestrial Survey Vessel</t>
  </si>
  <si>
    <t>IISS Survey Pod</t>
  </si>
  <si>
    <t>IISS Covert Operations Pod</t>
  </si>
  <si>
    <t>Hazardous Environment Exploration Boat</t>
  </si>
  <si>
    <t>Ship's Standalone Fabricators</t>
  </si>
  <si>
    <t>Ship's Standalone Deconstruction Chambers</t>
  </si>
  <si>
    <t>Ship's Combined Deconstruction/Fabrication Chambers</t>
  </si>
  <si>
    <t>Fabricators</t>
  </si>
  <si>
    <t>*Note: Requires a Laboratory, Studio or Workshop to install*</t>
  </si>
  <si>
    <t>Invader light Grav Tank</t>
  </si>
  <si>
    <t>Trepida Grav Tank</t>
  </si>
  <si>
    <t>Astrin Grav APC</t>
  </si>
  <si>
    <t>Expeditionary Crawler</t>
  </si>
  <si>
    <t>Explorer Mini-Sub</t>
  </si>
  <si>
    <t>Piankir Class Light Monitor</t>
  </si>
  <si>
    <t>Piankir Patrol Outrigger</t>
  </si>
  <si>
    <t>Piankir Combat Outrigger</t>
  </si>
  <si>
    <t>PBC-10 Class Heavy SDB</t>
  </si>
  <si>
    <t>SBC-12 Strike Boat</t>
  </si>
  <si>
    <t>PD-12 Patrol Boat</t>
  </si>
  <si>
    <t>Larshan Utility Craft</t>
  </si>
  <si>
    <t>Larshan -Defender Light Patrol Boat</t>
  </si>
  <si>
    <t>Sua Kai Heavy Fighter</t>
  </si>
  <si>
    <t>Zhodani Chredri Ivl Small Craft</t>
  </si>
  <si>
    <t>Zhodani Zdiezhi-Class Light Fighter</t>
  </si>
  <si>
    <t>WF5FW</t>
  </si>
  <si>
    <t>Include War Fleets of the 5th Frontier War?</t>
  </si>
  <si>
    <t>Sword Worlds Turunmaa Fighter</t>
  </si>
  <si>
    <t>Zhodani Military Air/Raft</t>
  </si>
  <si>
    <t>Pecah Breacher Shuttle</t>
  </si>
  <si>
    <t>Cestion Strike Boat</t>
  </si>
  <si>
    <t>Link/tube Combo</t>
  </si>
  <si>
    <t>Pimane Fuel Shuttle (B&amp;ESG)</t>
  </si>
  <si>
    <t>Behrait Transport Vehicle (B&amp;ESG)</t>
  </si>
  <si>
    <t>Bestia AFV (B&amp;ESG)</t>
  </si>
  <si>
    <t>Hrattliner Gravitic Transport (B&amp;ESG)</t>
  </si>
  <si>
    <t>Seaskimmer (CA 2)</t>
  </si>
  <si>
    <t>Rammiakhiidru Shuttle (CA 2)</t>
  </si>
  <si>
    <t>Hover Chariot (CA 3)</t>
  </si>
  <si>
    <t>Dune Jumper (CA 3)</t>
  </si>
  <si>
    <t>Tilt-Rotor Cargo Plane (Scirocco) (CA 3)</t>
  </si>
  <si>
    <t>Research Pinnace (DS)</t>
  </si>
  <si>
    <t>Skerrier (DR:CG)</t>
  </si>
  <si>
    <t>Ardent (DR:CG)</t>
  </si>
  <si>
    <t>Vendara (DR:CG)</t>
  </si>
  <si>
    <t>Deepnight Scout (DR:CG)</t>
  </si>
  <si>
    <t>Deepnight Pinnace (DR:CG)</t>
  </si>
  <si>
    <t>Deepnight Boat (DR:CG)</t>
  </si>
  <si>
    <t>Alikaia Light Combat Vehicle (DR:RT)</t>
  </si>
  <si>
    <t>Alikaia Aerospace Strike Fighter (DR:RT)</t>
  </si>
  <si>
    <t>Alikaia Exploration Ship (DR:RT)</t>
  </si>
  <si>
    <t>Erline Combat Walker (DR:TNSOY)</t>
  </si>
  <si>
    <t>Erline Combat Drone (DR:TNSOY)</t>
  </si>
  <si>
    <t>Commonwealth F-3A4 Reaction Drive Interceptor (DR:TFSON)</t>
  </si>
  <si>
    <t>Commonwealth U-27 Hybrid Support Vessel (DR:TFSON)</t>
  </si>
  <si>
    <t>Solomani FAMAT-12 ATV (DR:V)</t>
  </si>
  <si>
    <t>Solomani Outrider Grav Platform (DR:V)</t>
  </si>
  <si>
    <t>Droyne Umtyatho-Class Spacecraft (DR:V)</t>
  </si>
  <si>
    <t>Include Deepnight Revelation?</t>
  </si>
  <si>
    <t>DnR</t>
  </si>
  <si>
    <t>future system</t>
  </si>
  <si>
    <t>CR</t>
  </si>
  <si>
    <t>ERROR</t>
  </si>
  <si>
    <t>Crew Accomodations</t>
  </si>
  <si>
    <t>Hull tonnage exceeded</t>
  </si>
  <si>
    <t>Solar plus anything</t>
  </si>
  <si>
    <t>No High Burn Thruster</t>
  </si>
  <si>
    <t>No Solar Sails</t>
  </si>
  <si>
    <t>The Summary, Record Sheet and the SSD automatically fill out based on your choices. These can be printed to a printer or as PDF's for later use.</t>
  </si>
  <si>
    <t>Include Bounty Hunter?</t>
  </si>
  <si>
    <t>Ranger (DR:CG)</t>
  </si>
  <si>
    <t>Ship's Boat (HG'22)</t>
  </si>
  <si>
    <t>Slow Boat (HG'22)</t>
  </si>
  <si>
    <t>Zhodani Estal Intrusion Shuttle</t>
  </si>
  <si>
    <t>Passenger Shuttle (HG'22)</t>
  </si>
  <si>
    <t>Cargo Crane</t>
  </si>
  <si>
    <t>Loading Belts</t>
  </si>
  <si>
    <t>Fuel/Cargo options</t>
  </si>
  <si>
    <t># Additional Scientists</t>
  </si>
  <si>
    <t xml:space="preserve">Yes </t>
  </si>
  <si>
    <t>(SOL) Space Science Facility</t>
  </si>
  <si>
    <t>(SOL) Planetary Science Facility</t>
  </si>
  <si>
    <t xml:space="preserve">(SOL) Life Science Facility </t>
  </si>
  <si>
    <t>(SOL) Research Scoop</t>
  </si>
  <si>
    <t>(SOL) Refueling Research Scoop</t>
  </si>
  <si>
    <t>(SOL) Vehicular Excursion Bay, Minimal</t>
  </si>
  <si>
    <t>(SOL) Vehicle Access Bay, Large</t>
  </si>
  <si>
    <t>(SOL) Vehicular Excursion Bay, Minimal, Extreme Hazard</t>
  </si>
  <si>
    <t>Additional Tonnage</t>
  </si>
  <si>
    <t>(SOL) Vehicular Bay, Multi-Access</t>
  </si>
  <si>
    <t>(SOL) Vehicular Bay, Multi-Access, Extreme Hazard</t>
  </si>
  <si>
    <t>(SOL) Accomodation Block</t>
  </si>
  <si>
    <t>(SOL) HB Accomodation Block</t>
  </si>
  <si>
    <t>(SOL) Vehicle Access Bay, Large, Extreme Hazard</t>
  </si>
  <si>
    <t>Cestion Strike Boat (DC)</t>
  </si>
  <si>
    <t>ECITS Tug (DC)</t>
  </si>
  <si>
    <t>ECITS Cargo Module (DC)</t>
  </si>
  <si>
    <t>ECITS Passenger Module (DC)</t>
  </si>
  <si>
    <t>ECITS Salvage Module (DC)</t>
  </si>
  <si>
    <t>ECITS Torpedo Module (DC)</t>
  </si>
  <si>
    <t>ECITS Crew Module (DC)</t>
  </si>
  <si>
    <t>ECITS-Compatable Yacht (DC)</t>
  </si>
  <si>
    <t>ECITS Fighter Module (DC)</t>
  </si>
  <si>
    <t>ECITS Base Module (DC)</t>
  </si>
  <si>
    <t>Armored Car (DC)</t>
  </si>
  <si>
    <t>Sperle Searcher (DC)</t>
  </si>
  <si>
    <t>Hanger Pod (DRCG)</t>
  </si>
  <si>
    <t>Scientific Pod (DRCG)</t>
  </si>
  <si>
    <t>Mission Pod (DRCG)</t>
  </si>
  <si>
    <t>Missile Pod (ECC)</t>
  </si>
  <si>
    <t>Fuel Pod (ECC)</t>
  </si>
  <si>
    <t>Hanger Pod (ECC)</t>
  </si>
  <si>
    <t>Marine Operations Pod (ECC)</t>
  </si>
  <si>
    <t>Torpedo Pod (ECC)</t>
  </si>
  <si>
    <t>Orbiral Assualt Pod (ECC)</t>
  </si>
  <si>
    <t>Fighter Pod (ECC)</t>
  </si>
  <si>
    <t>Forward Communications Pod (ECC)</t>
  </si>
  <si>
    <t>Exploration Pod (ECC)</t>
  </si>
  <si>
    <t>Intelligence OPS Pod (ECC)</t>
  </si>
  <si>
    <t>Number of Aux Con's set up as Specialist Command Centers:</t>
  </si>
  <si>
    <t>(Denote the specializations of SCC's in Notes)</t>
  </si>
  <si>
    <t>Remember: Update AV1, AV, AW,N27:O37 when adding craft</t>
  </si>
  <si>
    <t>Module Control Rooms must be SCC's</t>
  </si>
  <si>
    <t>MISCELLANEOUS 1</t>
  </si>
  <si>
    <t>MISCELLANEOUS 2</t>
  </si>
  <si>
    <t>MISCELLANEOUS 3</t>
  </si>
  <si>
    <t>MISCELLANEOUS 4</t>
  </si>
  <si>
    <t>MISCELLANEOUS 5</t>
  </si>
  <si>
    <t>Deduct Misc Crew from General Crew?</t>
  </si>
  <si>
    <t>M1</t>
  </si>
  <si>
    <t>M2</t>
  </si>
  <si>
    <t>M3</t>
  </si>
  <si>
    <t>M4</t>
  </si>
  <si>
    <t>M5</t>
  </si>
  <si>
    <t>Misc subtraction</t>
  </si>
  <si>
    <t>Mortgage:</t>
  </si>
  <si>
    <t>Ship's Expenses</t>
  </si>
  <si>
    <t>Life Support:</t>
  </si>
  <si>
    <t>Crew Salaries:</t>
  </si>
  <si>
    <t>Total Expenses:</t>
  </si>
  <si>
    <t>Additional Pilots</t>
  </si>
  <si>
    <t>Additional Engineers</t>
  </si>
  <si>
    <t>Additional Astrogators</t>
  </si>
  <si>
    <t>Additional Mechanics</t>
  </si>
  <si>
    <t>Additional Medics</t>
  </si>
  <si>
    <t>Additional Gunners</t>
  </si>
  <si>
    <t>Additional Sensops</t>
  </si>
  <si>
    <t>Additional Admins</t>
  </si>
  <si>
    <t>Additional Officers</t>
  </si>
  <si>
    <t>Additional Crew</t>
  </si>
  <si>
    <t>Bypasses Size and</t>
  </si>
  <si>
    <t>Automation Reductions</t>
  </si>
  <si>
    <t xml:space="preserve">This Column </t>
  </si>
  <si>
    <t>Low Emissions</t>
  </si>
  <si>
    <t>D4 Advanced - Low Emissions</t>
  </si>
  <si>
    <t>D4 Advanced - Low Emisions</t>
  </si>
  <si>
    <t>Concealed Docking Space</t>
  </si>
  <si>
    <t>Concealed Hangar Bay</t>
  </si>
  <si>
    <t>Select normal or concealed</t>
  </si>
  <si>
    <t>Power Distribution: Normal (Battle Load)</t>
  </si>
  <si>
    <t>Maximum Load (Battle Load)</t>
  </si>
  <si>
    <t>GS-3 Fast Attack Vehicle (Field Catalogue)</t>
  </si>
  <si>
    <t>Field Ranger Utility Vehicle (Field Catalogue)</t>
  </si>
  <si>
    <t>Negav Ten-Wheel Off-Road Transport Vehicle (Field Catalogue)</t>
  </si>
  <si>
    <t>Marrix Light Armoured Combat Vehicle (Field Catalogue)</t>
  </si>
  <si>
    <t>Taisben Military Grav Platform (Field Catalogue)</t>
  </si>
  <si>
    <t>Preplenn Fast Attack Platform (Field Catalogue)</t>
  </si>
  <si>
    <t>Chagride Grav Sled (Field Catalogue)</t>
  </si>
  <si>
    <t>Saita Grav Tank (Field Catalogue)</t>
  </si>
  <si>
    <t>S-Series Grav Transport (Field Catalogue)</t>
  </si>
  <si>
    <t>Rock Twelve (Stealthed) Fuel Shuttle (Flashpoints)</t>
  </si>
  <si>
    <t>NoneNotMod</t>
  </si>
  <si>
    <t>* Making a module fully spaceworthy lets you bypass installing a bridge while having a pod that can survive space on its own.</t>
  </si>
  <si>
    <t>Gravity</t>
  </si>
  <si>
    <t>A Pod can have its own power plant. A Pod cannot have a bridge or control center other than an SCC.</t>
  </si>
  <si>
    <t>&lt;&lt;Pod?</t>
  </si>
  <si>
    <t>For modules/pods, setting quantities to zero removes all sensors and sensops</t>
  </si>
  <si>
    <t>WARNING: The morale of military ships is negatively impacted by insufficient supply levels</t>
  </si>
  <si>
    <t>Supplies Stores and Spares</t>
  </si>
  <si>
    <t>Dedicated hold for Supply Units</t>
  </si>
  <si>
    <t>100 days of SU's</t>
  </si>
  <si>
    <t>Modular Cutter Missile Support Module</t>
  </si>
  <si>
    <t>Modular Cutter Life Support module</t>
  </si>
  <si>
    <t>Modular Cutter Gunship Module</t>
  </si>
  <si>
    <t>Modular Cutter Fuel Skimmer Module</t>
  </si>
  <si>
    <t>Modular Cutter Frontier Medical Module</t>
  </si>
  <si>
    <t>Modular Cutter Fighter hangar Module</t>
  </si>
  <si>
    <t>Modular Cutter Fighter Frame Module</t>
  </si>
  <si>
    <t>Modular Cutter Cold Passage Module</t>
  </si>
  <si>
    <t>Modular Cutter Cargo Transport Module</t>
  </si>
  <si>
    <t>Modular Cutter ATV Module (Core'22)</t>
  </si>
  <si>
    <t>Modular Cutter Armory Module</t>
  </si>
  <si>
    <t>Modular Cutter Assault Boat Module</t>
  </si>
  <si>
    <t>Modular Cutter Cattle Transport Module</t>
  </si>
  <si>
    <t>Modular Cutter Open Module (Core'22)</t>
  </si>
  <si>
    <t>Modular Cutter Orbital Outpost Module</t>
  </si>
  <si>
    <t>Modular Cutter Passenger Transport Module</t>
  </si>
  <si>
    <t>Modular Cutter Personnel Transport Module</t>
  </si>
  <si>
    <t>Modular Cutter Planetary Assault Module</t>
  </si>
  <si>
    <t>Modular Cutter Planetary Outpost Module</t>
  </si>
  <si>
    <t>Modular Cutter Power Module</t>
  </si>
  <si>
    <t>Modular Cutter Pressurized Shelter Module</t>
  </si>
  <si>
    <t>Modular Cutter Public House Module</t>
  </si>
  <si>
    <t>Modular Cutter Relaxation Module</t>
  </si>
  <si>
    <t>Modular Cutter Salvage Module</t>
  </si>
  <si>
    <t>Modular Cutter Spaceborne Early Warning Module</t>
  </si>
  <si>
    <t>Modular Cutter Surveyor Cutter Module</t>
  </si>
  <si>
    <t>Modular Cutter Tanker Module</t>
  </si>
  <si>
    <t>Modular Cutter Urban Module</t>
  </si>
  <si>
    <t>Modular Cutter Vehicle Cradle Module</t>
  </si>
  <si>
    <t>Deepnight Endeavour Fuel Shuttle (Great Rift Adventure 2)</t>
  </si>
  <si>
    <t>Smallhauler (Great Rift Adventure 3)</t>
  </si>
  <si>
    <t>Field Buggy (Great Rift Adventure 3)</t>
  </si>
  <si>
    <t>Aslan Hraye-Class Scout (High Guard: Aslan)</t>
  </si>
  <si>
    <t>Aslan Ihateisho-Class Scout (High Guard: Aslan)</t>
  </si>
  <si>
    <t>Deployment Shuttle (High Guard Deployment Shuttle)</t>
  </si>
  <si>
    <t>Four-Wheel ATV (JTAS Vol. 1)</t>
  </si>
  <si>
    <t>Large ATV (JTAS Vol. 1)</t>
  </si>
  <si>
    <t>Grav-Assisted ATV (JTAS Vol. 1)</t>
  </si>
  <si>
    <t>Aquatic ATV (JTAS Vol. 1)</t>
  </si>
  <si>
    <t>Light Patrol Vehicle (JTAS Vol. 1)</t>
  </si>
  <si>
    <t>Light APC (JTAS Vol. 1)</t>
  </si>
  <si>
    <t>Rampart Atmosphere-Capable Fighter (JTAS Vol. 2)</t>
  </si>
  <si>
    <t>Foxhound Air Superiority Fighter (JTAS Vol. 2)</t>
  </si>
  <si>
    <t>Palomino Light Strike Aircraft (JTAS Vol. 2)</t>
  </si>
  <si>
    <t>Lightning Ground-Attack Aitcraft (JTAS Vol. 2)</t>
  </si>
  <si>
    <t>Raven Heavy Strike Jet (JTAS Vol. 2)</t>
  </si>
  <si>
    <t>Modular Cutter Mining Module (JTAS Vol. 3)</t>
  </si>
  <si>
    <t>Modular Cutter Starport Shuttle Module (JTAS V3)</t>
  </si>
  <si>
    <t>Modular Cutter Field Workshop Module (JTAS V3)</t>
  </si>
  <si>
    <t>Splorabug (JTAS Vol. 4)</t>
  </si>
  <si>
    <t>Talson Automotive ‘Challenger’ Ground Car (JTAS Vol. 4)</t>
  </si>
  <si>
    <t>Shepherd Picket Boat (JTAS Vol. 5)</t>
  </si>
  <si>
    <t>Towing Pod (JTAS Vol. 5)</t>
  </si>
  <si>
    <t>AT-4 Rough Terrain Snowmobile (JTAS Vol. 5)</t>
  </si>
  <si>
    <t>FT-500 Field Power Unit (JTAS Vol. 5)</t>
  </si>
  <si>
    <t>Hazardous Environment Fire Engine (JTAS Vol. 5)</t>
  </si>
  <si>
    <t>Advanced Fire Engine (JTAS Vol. 5)</t>
  </si>
  <si>
    <t>Javelin Light Gunboat (JTAS Vol. 6)</t>
  </si>
  <si>
    <t>Dart Interceptor (JTAS Vol. 6)</t>
  </si>
  <si>
    <t>Steppehauler-Class Default Module (JTAS Vol. 6)</t>
  </si>
  <si>
    <t>Steppehauler-Class Downport Module (JTAS Vol. 6)</t>
  </si>
  <si>
    <t>Steppehauler-Class Low Berth Module (JTAS Vol. 6)</t>
  </si>
  <si>
    <t>Steppehauler-Class Carrier Module (JTAS Vol. 6)</t>
  </si>
  <si>
    <t>Steppehauler-Class Torpedo Module (JTAS Vol. 6)</t>
  </si>
  <si>
    <t>ADB-602 Coastal Patrol Cutter (JTAS Vol. 6)</t>
  </si>
  <si>
    <t>ADB-511 Strike Hydrofoil (JTAS Vol. 6)</t>
  </si>
  <si>
    <t>KAVARII-CLASS Aerospace Defense Submarine (JTAS Vol. 6)</t>
  </si>
  <si>
    <t>IISS Grav Bike (JTAS Vol. 6)</t>
  </si>
  <si>
    <t>IISS Air/Raft (JTAS Vol. 6)</t>
  </si>
  <si>
    <t>IISS Survey G/Carrier (JTAS Vol. 6)</t>
  </si>
  <si>
    <t>Long Range Mod?</t>
  </si>
  <si>
    <t>Long-Range</t>
  </si>
  <si>
    <t>JTAS</t>
  </si>
  <si>
    <t>Include JTAS?</t>
  </si>
  <si>
    <t>Minnow Slow Pinnace (JTAS Vol. 7)</t>
  </si>
  <si>
    <t>Buggy Sealed Excursion Air/Raft (JTAS Vol. 7)</t>
  </si>
  <si>
    <t>Iderati Space Defense Submarine (JTAS Vol. 7)</t>
  </si>
  <si>
    <t>Iderati Light Support Submarine (JTAS Vol. 7)</t>
  </si>
  <si>
    <t>Modified System Defense Boat (JTAS Vol. 8)</t>
  </si>
  <si>
    <t>Aeon Flyer Stinger SZ-100 G/Bike (JTAS Vol. 8)</t>
  </si>
  <si>
    <t>Aeon Flyer Stinger SZ-580Z G/Bike (JTAS Vol. 8)</t>
  </si>
  <si>
    <t>BB-2 Nuclear Powered Bus (JTAS Vol. 8)</t>
  </si>
  <si>
    <t>Fast Launch (JTAS Vol. 9)</t>
  </si>
  <si>
    <t>Telchine Mining Craft (JTAS Vol. 9)</t>
  </si>
  <si>
    <t>Psara Fast Transport Vessel (JTAS Vol. 9)</t>
  </si>
  <si>
    <t>Merla Light Grav Vehicle (JTAS Vol. 9)</t>
  </si>
  <si>
    <t>Vindictor Logging Heavy Walker (JTAS Vol. 9)</t>
  </si>
  <si>
    <t>Unicycle of Mass Destruction (JTAS Vol. 10)</t>
  </si>
  <si>
    <t>Eli Boarding Pinnace (JTAS Vol. 11)</t>
  </si>
  <si>
    <t>Hauler Shuttle (JTAS Vol. 11)</t>
  </si>
  <si>
    <t>Mighty Maus Mobile Crane (JTAS Vol. 11)</t>
  </si>
  <si>
    <t>Ragno Walker (JTAS Vol. 11)</t>
  </si>
  <si>
    <t>Gorte-Class Battle Rider (JTAS Vol. 12)</t>
  </si>
  <si>
    <t>Drako Valliant Grav Saloon (JTAS Vol. 12)</t>
  </si>
  <si>
    <t>Bonham-Class Luxury Airship (JTAS Vol. 12)</t>
  </si>
  <si>
    <t>ZRM Airstrike Platform (JTAS Vol. 12)</t>
  </si>
  <si>
    <t>Hostile Environment Reserch Outpost (JTAS Vol. 12)</t>
  </si>
  <si>
    <t>Shimmerlight Luxury Sealed Air/Raft (JTAS Vol. 9)</t>
  </si>
  <si>
    <t>Star Angel Ambulance Pinnace (JTAS Vol. 13)</t>
  </si>
  <si>
    <t>Cargo Submarine (JTAS Vol. 13)</t>
  </si>
  <si>
    <t>Farm-Crawler (JTAS Vol. 13)</t>
  </si>
  <si>
    <t>Gukhii-Class Fighter (JTAS Vol. 14)</t>
  </si>
  <si>
    <t>Ship's Cart (JTAS Vol. 14)</t>
  </si>
  <si>
    <t>Scooter (JTAS Vol. 14)</t>
  </si>
  <si>
    <t>Ship's Bike (JTAS Vol. 14)</t>
  </si>
  <si>
    <t>Grav Cart (JTAS Vol. 14)</t>
  </si>
  <si>
    <t>Unpressurized Rover (JTAS Vol. 15)</t>
  </si>
  <si>
    <t>Cabin Rover (JTAS Vol. 15)</t>
  </si>
  <si>
    <t>Research Scout (JTAS Vol. 15)</t>
  </si>
  <si>
    <t>Ground Car w/Fusion+ (JTAS Vol. 15)</t>
  </si>
  <si>
    <t>ATV w/Fusion+ (JTAS Vol. 15)</t>
  </si>
  <si>
    <t>Air/Raft w/Fusion+ (JTAS Vol. 15)</t>
  </si>
  <si>
    <t>Grav Buggy w/Fusion+ (JTAS Vol. 15)</t>
  </si>
  <si>
    <t>G/Carrier w/Fusion+ (JTAS Vol. 15)</t>
  </si>
  <si>
    <t>Speeder w/Fusion+ (JTAS Vol. 15)</t>
  </si>
  <si>
    <t>G/Bike w/Fusion+ (JTAS Vol. 15)</t>
  </si>
  <si>
    <t>Little Sister Fighting Gig (JTAS Vol. 16)</t>
  </si>
  <si>
    <t>ECO-B3 Ground Car (JTAS Vol. 16)</t>
  </si>
  <si>
    <t>Ocean Cleanup Boat (JTAS Vol. 16)</t>
  </si>
  <si>
    <t>Short Duration Maneuver Drive (SDM)?</t>
  </si>
  <si>
    <t>Basic Gel HMS</t>
  </si>
  <si>
    <t>Ejection Capable Gel HMS</t>
  </si>
  <si>
    <t>Heat Management System</t>
  </si>
  <si>
    <t>Additional Capacity</t>
  </si>
  <si>
    <t>Standard Heat Management Gel</t>
  </si>
  <si>
    <t>Advanced Heat Management Gel</t>
  </si>
  <si>
    <t>Sword Worlds ATV (Marches Adventure 2)</t>
  </si>
  <si>
    <t>Galian Interceptior Platform (Mercenary Adventure 1)</t>
  </si>
  <si>
    <t>Half-Track Truck (Mercenary Adventure 1)</t>
  </si>
  <si>
    <t>Dushka Sarel Surface Action Cutter (Mercenary Adventure 3)</t>
  </si>
  <si>
    <t>Calefaction Emergency Ascent Vehicle (Mysteries of the Ancients)</t>
  </si>
  <si>
    <t>Reiplau All-Terrain Vehicle (Mysteries of the Ancients)</t>
  </si>
  <si>
    <t>Standard Eight-Wheel ATV (JTAS Vol. 1)</t>
  </si>
  <si>
    <t>Port Porter Transport Vehicle (JTAS Vol. 3)</t>
  </si>
  <si>
    <t>Port Protector Light Security Vehicle (JTAS Vol. 3)</t>
  </si>
  <si>
    <t>Use Small Craft Catalog Fuel Rule?</t>
  </si>
  <si>
    <t>Bridge Crew:</t>
  </si>
  <si>
    <t>No Gravity Shielding</t>
  </si>
  <si>
    <t>Primitive Gravity Shielding</t>
  </si>
  <si>
    <t>Basic Gravity Shielding</t>
  </si>
  <si>
    <t>Standard Gravity Shielding</t>
  </si>
  <si>
    <t>Enhanced Gravity Shielding</t>
  </si>
  <si>
    <t>Advanced Gravity Shielding</t>
  </si>
  <si>
    <t>Superb Gravity Shielding</t>
  </si>
  <si>
    <t>(P)</t>
  </si>
  <si>
    <t>(B)</t>
  </si>
  <si>
    <t>(S)</t>
  </si>
  <si>
    <t>(E)</t>
  </si>
  <si>
    <t>(A)</t>
  </si>
  <si>
    <t>(Su)</t>
  </si>
  <si>
    <t>Gravity Shielding</t>
  </si>
  <si>
    <t>Antimatter Streamer Bay (L)</t>
  </si>
  <si>
    <t>Antimatter Streamer Bay (M)</t>
  </si>
  <si>
    <t>Antimatter Streamer Bay (S)</t>
  </si>
  <si>
    <t>4D x 5</t>
  </si>
  <si>
    <t>6D x 5</t>
  </si>
  <si>
    <t>8D x 5</t>
  </si>
  <si>
    <t>Hullcutter Bay (S)</t>
  </si>
  <si>
    <t>Hullcutter Bay (M)</t>
  </si>
  <si>
    <t>Hullcutter Bay (L)</t>
  </si>
  <si>
    <t>Reductor</t>
  </si>
  <si>
    <t>1</t>
  </si>
  <si>
    <t>2</t>
  </si>
  <si>
    <t>3</t>
  </si>
  <si>
    <t>4</t>
  </si>
  <si>
    <t>5</t>
  </si>
  <si>
    <t>6</t>
  </si>
  <si>
    <t>7</t>
  </si>
  <si>
    <t>Type I -L</t>
  </si>
  <si>
    <t>Type II -L</t>
  </si>
  <si>
    <t>Type III -L</t>
  </si>
  <si>
    <t>Type I -G</t>
  </si>
  <si>
    <t>Type II -G</t>
  </si>
  <si>
    <t>Type III -G</t>
  </si>
  <si>
    <t>GP Check</t>
  </si>
  <si>
    <t>GPMD</t>
  </si>
  <si>
    <t>SuSag Stealth Courier (Naval Adventure 4)</t>
  </si>
  <si>
    <t>Turunmaa Fighter (Opening Moves)</t>
  </si>
  <si>
    <t>Missile Pod (Opening Moves)</t>
  </si>
  <si>
    <t>Hanger Pod (Opening Moves)</t>
  </si>
  <si>
    <t>Intelligence Operations Pod (Opening Moves)</t>
  </si>
  <si>
    <t>Passenger Shuttle (Reach Adventure 1)</t>
  </si>
  <si>
    <t>Sealed Air/Raft (Reach Adventure 2)</t>
  </si>
  <si>
    <t>Dirt Bike (Reach Adventure 2)</t>
  </si>
  <si>
    <t>Cargo Submarine (Reach Adventure 3)</t>
  </si>
  <si>
    <t>Work Submarine (Reach Adventure 3)</t>
  </si>
  <si>
    <t>Little Betty (Modified Shuttle) (Reach Adventure 6)</t>
  </si>
  <si>
    <t>Ausiyr Assualt Helicopter (Reach Adventure 6)</t>
  </si>
  <si>
    <t>Sir Willard's SUV (Reach Adventure 7)</t>
  </si>
  <si>
    <t>Sir Willard's Pickup (Reach Adventure 7)</t>
  </si>
  <si>
    <t>Doomsayer Grav APC (Reach Adventure 8)</t>
  </si>
  <si>
    <t>UB-25EV Utility Boat, Exploration Variant (Rim Expeditions)</t>
  </si>
  <si>
    <t>UB-75EV Large Utility Boat, Exploration Variant (Rim Expeditions)</t>
  </si>
  <si>
    <t>Famat–4 All–Terrain Vehicle (Rim Expeditions)</t>
  </si>
  <si>
    <t>Famat–12 All–Terrain Vehicle (Rim Expeditions)</t>
  </si>
  <si>
    <t>Outrider Grav Platform (Rim Expeditions)</t>
  </si>
  <si>
    <t>Chipmunk Personal Transport (Rim Expeditions)</t>
  </si>
  <si>
    <t>The Alahir (Heavy Scout) (Secrets of the Ancients)</t>
  </si>
  <si>
    <t>Vargr Aakum Heavy Fighter (Secrets of the Ancients)</t>
  </si>
  <si>
    <t>The Dart (Ancients Scout Ship) (Secrets of the Ancients)</t>
  </si>
  <si>
    <t>Priceless</t>
  </si>
  <si>
    <t>Skander SUV and Pickup (Skandervic)</t>
  </si>
  <si>
    <t>AM-20 Mining Craft (Solomani Adventure 1)</t>
  </si>
  <si>
    <t>Kokoro (Ornothopter) (Solomani Adventure 2)</t>
  </si>
  <si>
    <t>Kestrel Aerospace Fighter (Solomani Front)</t>
  </si>
  <si>
    <t>Scorpion-Class Strike Boat (Solomani Front)</t>
  </si>
  <si>
    <t>Mountain-Class Logistics Barge (Solomani Front)</t>
  </si>
  <si>
    <t>Modified Addumsa-Class System Defense Boat (Solomani Front)</t>
  </si>
  <si>
    <t>Pecah-Class Breacher Shuttle (Specialist Forces)</t>
  </si>
  <si>
    <t>Vixen-ADV Aerospace Defense Vessel (Specialist Forces)</t>
  </si>
  <si>
    <t>Umphathi-Class Security Sled, Military Variant (Specialist Forces)</t>
  </si>
  <si>
    <t>Ninnup-Class Hiver Ship's Boat (Traders and Gunboats)</t>
  </si>
  <si>
    <t>Quvar-Class Hiver Shuttle (Traders and Gunboats)</t>
  </si>
  <si>
    <t>Keldyx-Class Hiver System Defense Boat (Traders and Gunboats)</t>
  </si>
  <si>
    <t>Darlene-Class Gig (Traders and Gunboats)</t>
  </si>
  <si>
    <t>Prasad-Class Solomani Light Fighter (Traders and Gunboats)</t>
  </si>
  <si>
    <t>Solomani Gig (Traders and Gunboats)</t>
  </si>
  <si>
    <t>Guo-Class Solomani System Defense Boat (Traders and Gunboats)</t>
  </si>
  <si>
    <t>Gladys Ei-Class Solomani System Defense Boat (Traders and Gunboats)</t>
  </si>
  <si>
    <t>Priest Vogel-Class Sword Worlds System Defense Boat (Traders and Gunboats)</t>
  </si>
  <si>
    <t>Drakesward-Class Sword Sworlds System Defense Boat (Traders and Gunboats)</t>
  </si>
  <si>
    <t>PBC-10 Heavy System Defense Boat (War Fleets of the Fifth Frontier War)</t>
  </si>
  <si>
    <t>SBC-12 Strike Boat (War Fleets of the Fifth Frontier War)</t>
  </si>
  <si>
    <t>PLD-12 Patrol Boat (War Fleets of the Fifth Frontier War)</t>
  </si>
  <si>
    <t>The Nameless Ship (Wrath of the Ancients)</t>
  </si>
  <si>
    <t>Hleakakhea-Class System Defense Boat (Clans of the Aslan)</t>
  </si>
  <si>
    <t>Slave Quarters</t>
  </si>
  <si>
    <t>Glorious Empire minimal housing</t>
  </si>
  <si>
    <t>Page Totals</t>
  </si>
  <si>
    <t>Use Interplanetary Seating for Crew?</t>
  </si>
  <si>
    <t>Design Occupancy</t>
  </si>
  <si>
    <t>Disintegrator</t>
  </si>
  <si>
    <t>Improved Disintegrator</t>
  </si>
  <si>
    <t>Advanced Disintegrator</t>
  </si>
  <si>
    <t>Extreme</t>
  </si>
  <si>
    <t>Custom Screen appears in the list for Globe Generators</t>
  </si>
  <si>
    <t>Has the mortgage on this ship been completely paid off?</t>
  </si>
  <si>
    <t>E1 Advanced - Increased Power</t>
  </si>
  <si>
    <t>D1 Advanced - Small</t>
  </si>
  <si>
    <t>D2 Advanced - Easy to Repair</t>
  </si>
  <si>
    <t>Increased Power</t>
  </si>
  <si>
    <t>Cylinder</t>
  </si>
  <si>
    <t>Airlock Notes</t>
  </si>
  <si>
    <t>Cargo Bays (tons)</t>
  </si>
  <si>
    <t>Common Area (tons)</t>
  </si>
  <si>
    <t>Middle Staterooms (#/each)</t>
  </si>
  <si>
    <t>High Staterooms (#/each)</t>
  </si>
  <si>
    <t>Luxury Staterooms (#/each)</t>
  </si>
  <si>
    <t>Designate as Multi Environment:                               Space remaining:</t>
  </si>
  <si>
    <t>Brig (#/each)</t>
  </si>
  <si>
    <t>ME Spaces</t>
  </si>
  <si>
    <t xml:space="preserve">cargo </t>
  </si>
  <si>
    <t>barracks</t>
  </si>
  <si>
    <t>common areas</t>
  </si>
  <si>
    <t>Stables (#/each)</t>
  </si>
  <si>
    <t>Engineering Spaces (tons)</t>
  </si>
  <si>
    <t>Bridge (tons)</t>
  </si>
  <si>
    <t>Weapons (tons)</t>
  </si>
  <si>
    <t>Docking/Hangars (tons)</t>
  </si>
  <si>
    <t>Screens (tons)</t>
  </si>
  <si>
    <t>Facilities</t>
  </si>
  <si>
    <t>User Defined:</t>
  </si>
  <si>
    <t>Docking Hangars</t>
  </si>
  <si>
    <t>Facilities (tons)</t>
  </si>
  <si>
    <t>Sensors (tons)</t>
  </si>
  <si>
    <t>Version 2025, January 1</t>
  </si>
  <si>
    <t>(SOL) Personnel Excursion Bay, Small</t>
  </si>
  <si>
    <t>(SOL) Personnel Excursion Bay, Small, Extreme Hazard</t>
  </si>
  <si>
    <t>(SOL) Personnel Excursion Bay, Large</t>
  </si>
  <si>
    <t>(SOL) Personnel Excursion Bay, Large, Extreme Hazard</t>
  </si>
  <si>
    <t>Zhodani Long Range Scout</t>
  </si>
  <si>
    <t>Jump Control/3</t>
  </si>
  <si>
    <t>Scout</t>
  </si>
  <si>
    <t>Biological Containment Hold</t>
  </si>
  <si>
    <t>Standard Cargo 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</si>
</sst>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42">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0"/>
      <color theme="1"/>
      <name val="Calibri"/>
      <family val="2"/>
      <scheme val="minor"/>
    </font>
    <font>
      <sz val="2"/>
      <color theme="1"/>
      <name val="Calibri"/>
      <family val="2"/>
      <scheme val="minor"/>
    </font>
    <font>
      <sz val="1.5"/>
      <color theme="0"/>
      <name val="Calibri"/>
      <family val="2"/>
      <scheme val="minor"/>
    </font>
    <font>
      <b/>
      <sz val="12"/>
      <color theme="1"/>
      <name val="Calibri"/>
      <family val="2"/>
      <scheme val="minor"/>
    </font>
    <font>
      <sz val="9"/>
      <color theme="1"/>
      <name val="Calibri"/>
      <family val="2"/>
      <scheme val="minor"/>
    </font>
    <font>
      <sz val="14"/>
      <color theme="1"/>
      <name val="Calibri"/>
      <family val="2"/>
      <scheme val="minor"/>
    </font>
    <font>
      <sz val="11"/>
      <color rgb="FF111111"/>
      <name val="Calibri"/>
      <family val="2"/>
      <scheme val="minor"/>
    </font>
    <font>
      <sz val="11"/>
      <name val="Calibri"/>
      <family val="2"/>
      <scheme val="minor"/>
    </font>
    <font>
      <sz val="10"/>
      <name val="Calibri"/>
      <family val="2"/>
      <scheme val="minor"/>
    </font>
    <font>
      <sz val="8"/>
      <name val="Calibri"/>
      <family val="2"/>
      <scheme val="minor"/>
    </font>
    <font>
      <b/>
      <sz val="11"/>
      <name val="Calibri"/>
      <family val="2"/>
      <scheme val="minor"/>
    </font>
    <font>
      <b/>
      <sz val="10"/>
      <name val="Calibri"/>
      <family val="2"/>
      <scheme val="minor"/>
    </font>
    <font>
      <sz val="9"/>
      <name val="Calibri"/>
      <family val="2"/>
      <scheme val="minor"/>
    </font>
    <font>
      <b/>
      <sz val="8"/>
      <name val="Calibri"/>
      <family val="2"/>
      <scheme val="minor"/>
    </font>
    <font>
      <b/>
      <sz val="8"/>
      <color theme="1"/>
      <name val="Calibri"/>
      <family val="2"/>
      <scheme val="minor"/>
    </font>
    <font>
      <b/>
      <sz val="10"/>
      <color theme="1"/>
      <name val="Calibri"/>
      <family val="2"/>
      <scheme val="minor"/>
    </font>
    <font>
      <sz val="8.5"/>
      <color theme="1"/>
      <name val="Calibri"/>
      <family val="2"/>
      <scheme val="minor"/>
    </font>
    <font>
      <sz val="11"/>
      <color theme="0"/>
      <name val="Calibri"/>
      <family val="2"/>
      <scheme val="minor"/>
    </font>
    <font>
      <b/>
      <sz val="11"/>
      <color rgb="FFFF0000"/>
      <name val="Calibri"/>
      <family val="2"/>
      <scheme val="minor"/>
    </font>
    <font>
      <sz val="11"/>
      <color theme="0" tint="-0.499984740745262"/>
      <name val="Calibri"/>
      <family val="2"/>
      <scheme val="minor"/>
    </font>
    <font>
      <b/>
      <sz val="11"/>
      <color theme="0" tint="-0.499984740745262"/>
      <name val="Calibri"/>
      <family val="2"/>
      <scheme val="minor"/>
    </font>
    <font>
      <b/>
      <sz val="11"/>
      <color theme="0"/>
      <name val="Calibri"/>
      <family val="2"/>
      <scheme val="minor"/>
    </font>
    <font>
      <sz val="11"/>
      <color theme="9" tint="-0.249977111117893"/>
      <name val="Calibri"/>
      <family val="2"/>
      <scheme val="minor"/>
    </font>
    <font>
      <b/>
      <sz val="14"/>
      <color theme="1"/>
      <name val="Calibri"/>
      <family val="2"/>
      <scheme val="minor"/>
    </font>
    <font>
      <sz val="7"/>
      <name val="Calibri"/>
      <family val="2"/>
      <scheme val="minor"/>
    </font>
    <font>
      <sz val="7"/>
      <color theme="1"/>
      <name val="Calibri"/>
      <family val="2"/>
      <scheme val="minor"/>
    </font>
    <font>
      <sz val="24"/>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4"/>
      <name val="Calibri"/>
      <family val="2"/>
      <scheme val="minor"/>
    </font>
    <font>
      <sz val="16"/>
      <color theme="1"/>
      <name val="Calibri"/>
      <family val="2"/>
      <scheme val="minor"/>
    </font>
    <font>
      <sz val="16"/>
      <name val="Calibri"/>
      <family val="2"/>
      <scheme val="minor"/>
    </font>
    <font>
      <sz val="11"/>
      <color theme="1"/>
      <name val="Calibri"/>
      <family val="2"/>
      <scheme val="minor"/>
    </font>
    <font>
      <sz val="12"/>
      <color theme="1"/>
      <name val="Calibri"/>
      <family val="2"/>
    </font>
    <font>
      <b/>
      <sz val="11"/>
      <color theme="1" tint="0.499984740745262"/>
      <name val="Calibri"/>
      <family val="2"/>
      <scheme val="minor"/>
    </font>
    <font>
      <b/>
      <sz val="11.5"/>
      <color theme="0"/>
      <name val="Calibri"/>
      <family val="2"/>
      <scheme val="minor"/>
    </font>
    <font>
      <sz val="14"/>
      <name val="Calibri"/>
      <family val="2"/>
      <scheme val="minor"/>
    </font>
  </fonts>
  <fills count="23">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theme="4" tint="0.79998168889431442"/>
      </patternFill>
    </fill>
    <fill>
      <patternFill patternType="solid">
        <fgColor theme="7" tint="0.59996337778862885"/>
        <bgColor indexed="64"/>
      </patternFill>
    </fill>
    <fill>
      <patternFill patternType="solid">
        <fgColor theme="5" tint="0.79998168889431442"/>
        <bgColor indexed="64"/>
      </patternFill>
    </fill>
    <fill>
      <patternFill patternType="solid">
        <fgColor theme="5" tint="0.59996337778862885"/>
        <bgColor indexed="64"/>
      </patternFill>
    </fill>
    <fill>
      <patternFill patternType="solid">
        <fgColor theme="0" tint="-0.149967955565050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tint="-0.499984740745262"/>
        <bgColor indexed="64"/>
      </patternFill>
    </fill>
    <fill>
      <patternFill patternType="solid">
        <fgColor theme="2"/>
        <bgColor indexed="64"/>
      </patternFill>
    </fill>
    <fill>
      <patternFill patternType="solid">
        <fgColor theme="1" tint="0.499984740745262"/>
        <bgColor indexed="64"/>
      </patternFill>
    </fill>
    <fill>
      <gradientFill degree="90">
        <stop position="0">
          <color theme="0"/>
        </stop>
        <stop position="0.5">
          <color theme="7" tint="0.80001220740379042"/>
        </stop>
        <stop position="1">
          <color theme="0"/>
        </stop>
      </gradientFill>
    </fill>
    <fill>
      <patternFill patternType="solid">
        <fgColor rgb="FFFFEBFF"/>
        <bgColor indexed="64"/>
      </patternFill>
    </fill>
  </fills>
  <borders count="148">
    <border>
      <left/>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right style="double">
        <color auto="1"/>
      </right>
      <top/>
      <bottom/>
      <diagonal/>
    </border>
    <border>
      <left/>
      <right style="double">
        <color auto="1"/>
      </right>
      <top/>
      <bottom style="double">
        <color auto="1"/>
      </bottom>
      <diagonal/>
    </border>
    <border>
      <left style="medium">
        <color auto="1"/>
      </left>
      <right style="medium">
        <color auto="1"/>
      </right>
      <top style="double">
        <color auto="1"/>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bottom style="thin">
        <color auto="1"/>
      </bottom>
      <diagonal/>
    </border>
    <border>
      <left style="thin">
        <color auto="1"/>
      </left>
      <right style="thin">
        <color auto="1"/>
      </right>
      <top/>
      <bottom/>
      <diagonal/>
    </border>
    <border>
      <left style="thin">
        <color auto="1"/>
      </left>
      <right/>
      <top style="double">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double">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bottom style="thin">
        <color auto="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medium">
        <color theme="5" tint="-0.24994659260841701"/>
      </left>
      <right style="medium">
        <color theme="5" tint="-0.24994659260841701"/>
      </right>
      <top style="medium">
        <color theme="5" tint="-0.24994659260841701"/>
      </top>
      <bottom style="medium">
        <color theme="5" tint="-0.24994659260841701"/>
      </bottom>
      <diagonal/>
    </border>
    <border>
      <left style="medium">
        <color theme="5" tint="-0.24994659260841701"/>
      </left>
      <right/>
      <top style="medium">
        <color theme="5" tint="-0.24994659260841701"/>
      </top>
      <bottom/>
      <diagonal/>
    </border>
    <border>
      <left/>
      <right/>
      <top style="medium">
        <color theme="5" tint="-0.24994659260841701"/>
      </top>
      <bottom/>
      <diagonal/>
    </border>
    <border>
      <left/>
      <right style="medium">
        <color theme="5" tint="-0.24994659260841701"/>
      </right>
      <top style="medium">
        <color theme="5" tint="-0.24994659260841701"/>
      </top>
      <bottom/>
      <diagonal/>
    </border>
    <border>
      <left style="medium">
        <color theme="5" tint="-0.24994659260841701"/>
      </left>
      <right/>
      <top/>
      <bottom/>
      <diagonal/>
    </border>
    <border>
      <left/>
      <right style="medium">
        <color theme="5" tint="-0.24994659260841701"/>
      </right>
      <top/>
      <bottom/>
      <diagonal/>
    </border>
    <border>
      <left style="medium">
        <color theme="5" tint="-0.24994659260841701"/>
      </left>
      <right/>
      <top/>
      <bottom style="medium">
        <color theme="5" tint="-0.24994659260841701"/>
      </bottom>
      <diagonal/>
    </border>
    <border>
      <left/>
      <right/>
      <top/>
      <bottom style="medium">
        <color theme="5" tint="-0.24994659260841701"/>
      </bottom>
      <diagonal/>
    </border>
    <border>
      <left/>
      <right style="medium">
        <color theme="5" tint="-0.24994659260841701"/>
      </right>
      <top/>
      <bottom style="medium">
        <color theme="5" tint="-0.24994659260841701"/>
      </bottom>
      <diagonal/>
    </border>
    <border>
      <left style="medium">
        <color theme="5" tint="-0.24994659260841701"/>
      </left>
      <right style="medium">
        <color theme="5" tint="-0.24994659260841701"/>
      </right>
      <top/>
      <bottom style="medium">
        <color theme="5" tint="-0.24994659260841701"/>
      </bottom>
      <diagonal/>
    </border>
    <border>
      <left/>
      <right/>
      <top style="medium">
        <color theme="5" tint="-0.24994659260841701"/>
      </top>
      <bottom style="medium">
        <color theme="5" tint="-0.24994659260841701"/>
      </bottom>
      <diagonal/>
    </border>
    <border>
      <left style="thin">
        <color auto="1"/>
      </left>
      <right style="thin">
        <color auto="1"/>
      </right>
      <top/>
      <bottom style="medium">
        <color theme="5" tint="-0.24994659260841701"/>
      </bottom>
      <diagonal/>
    </border>
    <border>
      <left/>
      <right style="medium">
        <color theme="0" tint="-4.9989318521683403E-2"/>
      </right>
      <top/>
      <bottom/>
      <diagonal/>
    </border>
    <border>
      <left style="medium">
        <color theme="0" tint="-4.9989318521683403E-2"/>
      </left>
      <right style="medium">
        <color theme="5" tint="-0.24994659260841701"/>
      </right>
      <top/>
      <bottom/>
      <diagonal/>
    </border>
    <border>
      <left style="medium">
        <color theme="0" tint="-4.9989318521683403E-2"/>
      </left>
      <right style="medium">
        <color theme="0" tint="-4.9989318521683403E-2"/>
      </right>
      <top/>
      <bottom/>
      <diagonal/>
    </border>
    <border>
      <left style="medium">
        <color theme="5" tint="-0.24994659260841701"/>
      </left>
      <right style="medium">
        <color theme="0" tint="-4.9989318521683403E-2"/>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double">
        <color auto="1"/>
      </right>
      <top/>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
      <left style="medium">
        <color theme="5" tint="-0.24994659260841701"/>
      </left>
      <right style="medium">
        <color auto="1"/>
      </right>
      <top style="medium">
        <color theme="5" tint="-0.24994659260841701"/>
      </top>
      <bottom style="medium">
        <color theme="5" tint="-0.2499465926084170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theme="5" tint="-0.24994659260841701"/>
      </right>
      <top style="medium">
        <color theme="5" tint="-0.24994659260841701"/>
      </top>
      <bottom style="medium">
        <color theme="5" tint="-0.2499465926084170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double">
        <color auto="1"/>
      </left>
      <right style="thin">
        <color auto="1"/>
      </right>
      <top style="medium">
        <color auto="1"/>
      </top>
      <bottom style="thin">
        <color auto="1"/>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theme="5" tint="-0.24994659260841701"/>
      </left>
      <right/>
      <top style="thin">
        <color auto="1"/>
      </top>
      <bottom/>
      <diagonal/>
    </border>
    <border>
      <left style="medium">
        <color theme="5" tint="-0.24994659260841701"/>
      </left>
      <right style="medium">
        <color theme="5" tint="-0.24994659260841701"/>
      </right>
      <top style="medium">
        <color theme="5" tint="-0.2499465926084170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theme="5" tint="-0.24994659260841701"/>
      </left>
      <right style="medium">
        <color auto="1"/>
      </right>
      <top style="thin">
        <color auto="1"/>
      </top>
      <bottom style="medium">
        <color auto="1"/>
      </bottom>
      <diagonal/>
    </border>
    <border>
      <left style="medium">
        <color theme="5" tint="-0.24994659260841701"/>
      </left>
      <right style="medium">
        <color auto="1"/>
      </right>
      <top style="thin">
        <color auto="1"/>
      </top>
      <bottom style="thin">
        <color indexed="64"/>
      </bottom>
      <diagonal/>
    </border>
    <border>
      <left style="medium">
        <color theme="5" tint="-0.24994659260841701"/>
      </left>
      <right style="medium">
        <color auto="1"/>
      </right>
      <top/>
      <bottom style="thin">
        <color indexed="64"/>
      </bottom>
      <diagonal/>
    </border>
    <border>
      <left style="medium">
        <color theme="5" tint="-0.24994659260841701"/>
      </left>
      <right/>
      <top style="medium">
        <color theme="5" tint="-0.24994659260841701"/>
      </top>
      <bottom style="medium">
        <color theme="5" tint="-0.24994659260841701"/>
      </bottom>
      <diagonal/>
    </border>
    <border>
      <left/>
      <right style="medium">
        <color theme="5" tint="-0.24994659260841701"/>
      </right>
      <top style="medium">
        <color theme="5" tint="-0.24994659260841701"/>
      </top>
      <bottom style="medium">
        <color theme="5" tint="-0.24994659260841701"/>
      </bottom>
      <diagonal/>
    </border>
    <border>
      <left style="medium">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double">
        <color theme="5" tint="-0.24994659260841701"/>
      </bottom>
      <diagonal/>
    </border>
    <border>
      <left style="double">
        <color theme="5" tint="-0.24994659260841701"/>
      </left>
      <right style="medium">
        <color theme="5" tint="-0.24994659260841701"/>
      </right>
      <top style="medium">
        <color theme="5" tint="-0.24994659260841701"/>
      </top>
      <bottom style="medium">
        <color theme="5" tint="-0.24994659260841701"/>
      </bottom>
      <diagonal/>
    </border>
    <border>
      <left style="medium">
        <color auto="1"/>
      </left>
      <right style="double">
        <color theme="5" tint="-0.24994659260841701"/>
      </right>
      <top style="medium">
        <color auto="1"/>
      </top>
      <bottom/>
      <diagonal/>
    </border>
    <border>
      <left style="medium">
        <color auto="1"/>
      </left>
      <right style="double">
        <color theme="5" tint="-0.24994659260841701"/>
      </right>
      <top/>
      <bottom/>
      <diagonal/>
    </border>
    <border>
      <left style="medium">
        <color auto="1"/>
      </left>
      <right style="double">
        <color theme="5" tint="-0.24994659260841701"/>
      </right>
      <top/>
      <bottom style="medium">
        <color auto="1"/>
      </bottom>
      <diagonal/>
    </border>
    <border>
      <left style="medium">
        <color auto="1"/>
      </left>
      <right style="medium">
        <color theme="5" tint="-0.24994659260841701"/>
      </right>
      <top style="medium">
        <color auto="1"/>
      </top>
      <bottom/>
      <diagonal/>
    </border>
    <border>
      <left style="medium">
        <color auto="1"/>
      </left>
      <right style="medium">
        <color theme="5" tint="-0.24994659260841701"/>
      </right>
      <top/>
      <bottom/>
      <diagonal/>
    </border>
    <border>
      <left style="medium">
        <color auto="1"/>
      </left>
      <right style="medium">
        <color theme="5" tint="-0.24994659260841701"/>
      </right>
      <top/>
      <bottom style="medium">
        <color auto="1"/>
      </bottom>
      <diagonal/>
    </border>
    <border>
      <left style="medium">
        <color theme="5" tint="-0.24994659260841701"/>
      </left>
      <right style="medium">
        <color theme="5" tint="-0.24994659260841701"/>
      </right>
      <top style="double">
        <color theme="5" tint="-0.24994659260841701"/>
      </top>
      <bottom style="medium">
        <color theme="5" tint="-0.24994659260841701"/>
      </bottom>
      <diagonal/>
    </border>
    <border>
      <left style="medium">
        <color theme="5" tint="-0.24994659260841701"/>
      </left>
      <right style="thin">
        <color auto="1"/>
      </right>
      <top style="medium">
        <color auto="1"/>
      </top>
      <bottom/>
      <diagonal/>
    </border>
    <border>
      <left style="thin">
        <color auto="1"/>
      </left>
      <right style="medium">
        <color theme="5" tint="-0.24994659260841701"/>
      </right>
      <top style="medium">
        <color auto="1"/>
      </top>
      <bottom/>
      <diagonal/>
    </border>
    <border>
      <left style="medium">
        <color theme="5" tint="-0.24994659260841701"/>
      </left>
      <right style="thin">
        <color auto="1"/>
      </right>
      <top/>
      <bottom style="thin">
        <color auto="1"/>
      </bottom>
      <diagonal/>
    </border>
    <border>
      <left style="medium">
        <color theme="5" tint="-0.24994659260841701"/>
      </left>
      <right style="thin">
        <color auto="1"/>
      </right>
      <top/>
      <bottom/>
      <diagonal/>
    </border>
    <border>
      <left style="thin">
        <color auto="1"/>
      </left>
      <right/>
      <top style="medium">
        <color theme="5" tint="-0.24994659260841701"/>
      </top>
      <bottom/>
      <diagonal/>
    </border>
    <border>
      <left/>
      <right style="medium">
        <color theme="5" tint="-0.24994659260841701"/>
      </right>
      <top/>
      <bottom style="thin">
        <color auto="1"/>
      </bottom>
      <diagonal/>
    </border>
    <border>
      <left style="medium">
        <color theme="5" tint="-0.24994659260841701"/>
      </left>
      <right/>
      <top/>
      <bottom style="thin">
        <color auto="1"/>
      </bottom>
      <diagonal/>
    </border>
    <border>
      <left style="medium">
        <color theme="5" tint="-0.24994659260841701"/>
      </left>
      <right/>
      <top style="thin">
        <color auto="1"/>
      </top>
      <bottom style="thin">
        <color auto="1"/>
      </bottom>
      <diagonal/>
    </border>
    <border>
      <left style="thick">
        <color theme="5" tint="-0.24994659260841701"/>
      </left>
      <right style="thick">
        <color theme="5" tint="-0.24994659260841701"/>
      </right>
      <top style="thick">
        <color theme="5" tint="-0.24994659260841701"/>
      </top>
      <bottom style="thick">
        <color theme="5" tint="-0.24994659260841701"/>
      </bottom>
      <diagonal/>
    </border>
    <border>
      <left style="medium">
        <color theme="0" tint="-4.9989318521683403E-2"/>
      </left>
      <right/>
      <top/>
      <bottom/>
      <diagonal/>
    </border>
    <border>
      <left/>
      <right style="medium">
        <color theme="5" tint="-0.24994659260841701"/>
      </right>
      <top style="thin">
        <color indexed="64"/>
      </top>
      <bottom/>
      <diagonal/>
    </border>
    <border>
      <left/>
      <right/>
      <top style="dotted">
        <color auto="1"/>
      </top>
      <bottom/>
      <diagonal/>
    </border>
  </borders>
  <cellStyleXfs count="4">
    <xf numFmtId="0" fontId="0" fillId="0" borderId="0"/>
    <xf numFmtId="43" fontId="37" fillId="0" borderId="0" applyFont="0" applyFill="0" applyBorder="0" applyAlignment="0" applyProtection="0"/>
    <xf numFmtId="0" fontId="38" fillId="0" borderId="0"/>
    <xf numFmtId="43" fontId="38" fillId="0" borderId="0" applyFont="0" applyFill="0" applyBorder="0" applyAlignment="0" applyProtection="0"/>
  </cellStyleXfs>
  <cellXfs count="10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4" fontId="0" fillId="0" borderId="0" xfId="0" applyNumberFormat="1"/>
    <xf numFmtId="0" fontId="2" fillId="0" borderId="0" xfId="0" applyFont="1"/>
    <xf numFmtId="0" fontId="2" fillId="0" borderId="0" xfId="0" applyFont="1" applyAlignment="1">
      <alignment horizontal="center"/>
    </xf>
    <xf numFmtId="0" fontId="1" fillId="0" borderId="0" xfId="0" applyFont="1" applyAlignment="1">
      <alignment horizontal="right"/>
    </xf>
    <xf numFmtId="4" fontId="2" fillId="0" borderId="0" xfId="0" applyNumberFormat="1" applyFont="1" applyAlignment="1">
      <alignment horizontal="center"/>
    </xf>
    <xf numFmtId="0" fontId="0" fillId="0" borderId="0" xfId="0" applyAlignment="1">
      <alignment horizontal="right"/>
    </xf>
    <xf numFmtId="4" fontId="0" fillId="0" borderId="0" xfId="0" applyNumberFormat="1" applyAlignment="1">
      <alignment horizontal="center"/>
    </xf>
    <xf numFmtId="0" fontId="2" fillId="0" borderId="0" xfId="0" applyFont="1" applyAlignment="1">
      <alignment horizontal="left"/>
    </xf>
    <xf numFmtId="0" fontId="0" fillId="0" borderId="0" xfId="0" applyAlignment="1">
      <alignment wrapText="1"/>
    </xf>
    <xf numFmtId="0" fontId="1" fillId="0" borderId="0" xfId="0" applyFont="1" applyAlignment="1">
      <alignment horizontal="center" wrapText="1"/>
    </xf>
    <xf numFmtId="0" fontId="0" fillId="0" borderId="2" xfId="0" applyBorder="1"/>
    <xf numFmtId="0" fontId="2" fillId="0" borderId="0" xfId="0" applyFont="1" applyAlignment="1">
      <alignment horizontal="right"/>
    </xf>
    <xf numFmtId="0" fontId="0" fillId="0" borderId="0" xfId="0" applyAlignment="1">
      <alignment horizontal="left"/>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horizontal="right" vertical="center"/>
    </xf>
    <xf numFmtId="49" fontId="0" fillId="0" borderId="0" xfId="0" applyNumberFormat="1" applyAlignment="1">
      <alignment horizontal="center"/>
    </xf>
    <xf numFmtId="0" fontId="0" fillId="3" borderId="0" xfId="0" applyFill="1"/>
    <xf numFmtId="4" fontId="0" fillId="3" borderId="0" xfId="0" applyNumberFormat="1" applyFill="1"/>
    <xf numFmtId="0" fontId="1" fillId="2" borderId="0" xfId="0" applyFont="1" applyFill="1" applyAlignment="1">
      <alignment horizontal="center"/>
    </xf>
    <xf numFmtId="49" fontId="0" fillId="0" borderId="0" xfId="0" applyNumberFormat="1"/>
    <xf numFmtId="4" fontId="0" fillId="0" borderId="0" xfId="0" applyNumberFormat="1" applyAlignment="1">
      <alignment horizontal="right"/>
    </xf>
    <xf numFmtId="0" fontId="0" fillId="3" borderId="0" xfId="0" applyFill="1" applyAlignment="1">
      <alignment horizontal="center"/>
    </xf>
    <xf numFmtId="0" fontId="0" fillId="0" borderId="20" xfId="0" applyBorder="1"/>
    <xf numFmtId="0" fontId="4" fillId="0" borderId="0" xfId="0" applyFont="1" applyAlignment="1">
      <alignment vertical="top" wrapText="1"/>
    </xf>
    <xf numFmtId="0" fontId="5" fillId="0" borderId="0" xfId="0" applyFont="1" applyAlignment="1">
      <alignment horizontal="left" shrinkToFit="1"/>
    </xf>
    <xf numFmtId="0" fontId="6" fillId="0" borderId="44" xfId="0" applyFont="1" applyBorder="1" applyAlignment="1">
      <alignment horizontal="left" shrinkToFit="1"/>
    </xf>
    <xf numFmtId="0" fontId="6" fillId="0" borderId="45" xfId="0" applyFont="1" applyBorder="1" applyAlignment="1">
      <alignment horizontal="left" shrinkToFit="1"/>
    </xf>
    <xf numFmtId="0" fontId="6" fillId="0" borderId="46" xfId="0" applyFont="1" applyBorder="1" applyAlignment="1">
      <alignment horizontal="left" shrinkToFit="1"/>
    </xf>
    <xf numFmtId="0" fontId="6" fillId="0" borderId="50" xfId="0" applyFont="1" applyBorder="1" applyAlignment="1">
      <alignment horizontal="left" shrinkToFit="1"/>
    </xf>
    <xf numFmtId="0" fontId="6" fillId="0" borderId="52" xfId="0" applyFont="1" applyBorder="1" applyAlignment="1">
      <alignment horizontal="left" shrinkToFit="1"/>
    </xf>
    <xf numFmtId="0" fontId="6" fillId="0" borderId="42" xfId="0" applyFont="1" applyBorder="1" applyAlignment="1">
      <alignment horizontal="left" shrinkToFit="1"/>
    </xf>
    <xf numFmtId="0" fontId="6" fillId="0" borderId="37" xfId="0" applyFont="1" applyBorder="1" applyAlignment="1">
      <alignment horizontal="left" shrinkToFit="1"/>
    </xf>
    <xf numFmtId="0" fontId="6" fillId="0" borderId="43" xfId="0" applyFont="1" applyBorder="1" applyAlignment="1">
      <alignment horizontal="left" shrinkToFit="1"/>
    </xf>
    <xf numFmtId="0" fontId="6" fillId="0" borderId="32" xfId="0" applyFont="1" applyBorder="1" applyAlignment="1">
      <alignment horizontal="left" shrinkToFit="1"/>
    </xf>
    <xf numFmtId="0" fontId="6" fillId="0" borderId="33" xfId="0" applyFont="1" applyBorder="1" applyAlignment="1">
      <alignment horizontal="left" shrinkToFit="1"/>
    </xf>
    <xf numFmtId="0" fontId="6" fillId="0" borderId="47" xfId="0" applyFont="1" applyBorder="1" applyAlignment="1">
      <alignment horizontal="left" shrinkToFit="1"/>
    </xf>
    <xf numFmtId="0" fontId="6" fillId="0" borderId="48" xfId="0" applyFont="1" applyBorder="1" applyAlignment="1">
      <alignment horizontal="left" shrinkToFit="1"/>
    </xf>
    <xf numFmtId="0" fontId="6" fillId="0" borderId="51" xfId="0" applyFont="1" applyBorder="1" applyAlignment="1">
      <alignment horizontal="left" shrinkToFit="1"/>
    </xf>
    <xf numFmtId="0" fontId="0" fillId="0" borderId="14" xfId="0" applyBorder="1"/>
    <xf numFmtId="0" fontId="0" fillId="0" borderId="15" xfId="0" applyBorder="1"/>
    <xf numFmtId="0" fontId="0" fillId="0" borderId="18" xfId="0" applyBorder="1"/>
    <xf numFmtId="0" fontId="0" fillId="0" borderId="16" xfId="0" applyBorder="1"/>
    <xf numFmtId="0" fontId="0" fillId="0" borderId="24" xfId="0" applyBorder="1"/>
    <xf numFmtId="0" fontId="0" fillId="0" borderId="6" xfId="0" applyBorder="1"/>
    <xf numFmtId="0" fontId="11" fillId="0" borderId="0" xfId="0" applyFont="1" applyAlignment="1">
      <alignment shrinkToFit="1"/>
    </xf>
    <xf numFmtId="0" fontId="0" fillId="0" borderId="0" xfId="0" applyAlignment="1">
      <alignment shrinkToFit="1"/>
    </xf>
    <xf numFmtId="0" fontId="3" fillId="0" borderId="0" xfId="0" applyFont="1"/>
    <xf numFmtId="49" fontId="0" fillId="3" borderId="0" xfId="0" applyNumberFormat="1" applyFill="1" applyAlignment="1">
      <alignment horizontal="center"/>
    </xf>
    <xf numFmtId="0" fontId="1" fillId="2" borderId="15" xfId="0" applyFont="1" applyFill="1" applyBorder="1"/>
    <xf numFmtId="4" fontId="2" fillId="2" borderId="16" xfId="0" applyNumberFormat="1" applyFont="1" applyFill="1" applyBorder="1"/>
    <xf numFmtId="0" fontId="0" fillId="2" borderId="17" xfId="0" applyFill="1" applyBorder="1"/>
    <xf numFmtId="0" fontId="0" fillId="2" borderId="0" xfId="0" applyFill="1"/>
    <xf numFmtId="4" fontId="0" fillId="2" borderId="18" xfId="0" applyNumberFormat="1" applyFill="1" applyBorder="1"/>
    <xf numFmtId="0" fontId="0" fillId="2" borderId="19" xfId="0" applyFill="1" applyBorder="1"/>
    <xf numFmtId="0" fontId="0" fillId="2" borderId="20" xfId="0" applyFill="1" applyBorder="1" applyAlignment="1">
      <alignment horizontal="center"/>
    </xf>
    <xf numFmtId="0" fontId="0" fillId="2" borderId="21" xfId="0" applyFill="1" applyBorder="1"/>
    <xf numFmtId="0" fontId="11" fillId="0" borderId="0" xfId="0" applyFont="1" applyAlignment="1">
      <alignment vertical="center" shrinkToFit="1"/>
    </xf>
    <xf numFmtId="0" fontId="14" fillId="0" borderId="0" xfId="0" applyFont="1" applyAlignment="1">
      <alignment shrinkToFit="1"/>
    </xf>
    <xf numFmtId="0" fontId="15" fillId="0" borderId="0" xfId="0" applyFont="1" applyAlignment="1">
      <alignment vertical="center"/>
    </xf>
    <xf numFmtId="0" fontId="6" fillId="0" borderId="49" xfId="0" applyFont="1" applyBorder="1" applyAlignment="1">
      <alignment horizontal="left" shrinkToFit="1"/>
    </xf>
    <xf numFmtId="0" fontId="6" fillId="0" borderId="53" xfId="0" applyFont="1" applyBorder="1" applyAlignment="1">
      <alignment horizontal="left" shrinkToFit="1"/>
    </xf>
    <xf numFmtId="0" fontId="0" fillId="0" borderId="0" xfId="0"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1" fillId="0" borderId="0" xfId="0" applyFont="1" applyProtection="1">
      <protection hidden="1"/>
    </xf>
    <xf numFmtId="0" fontId="0" fillId="0" borderId="0" xfId="0" applyAlignment="1" applyProtection="1">
      <alignment horizontal="right"/>
      <protection hidden="1"/>
    </xf>
    <xf numFmtId="0" fontId="0" fillId="0" borderId="0" xfId="0" applyAlignment="1" applyProtection="1">
      <alignment horizontal="center"/>
      <protection locked="0"/>
    </xf>
    <xf numFmtId="1" fontId="0" fillId="0" borderId="0" xfId="0" applyNumberFormat="1"/>
    <xf numFmtId="0" fontId="1" fillId="0" borderId="20" xfId="0" applyFont="1" applyBorder="1" applyAlignment="1">
      <alignment horizontal="right"/>
    </xf>
    <xf numFmtId="0" fontId="21" fillId="0" borderId="0" xfId="0" applyFont="1" applyAlignment="1">
      <alignment horizontal="center"/>
    </xf>
    <xf numFmtId="0" fontId="0" fillId="0" borderId="0" xfId="0" applyAlignment="1">
      <alignment horizontal="center" wrapText="1"/>
    </xf>
    <xf numFmtId="0" fontId="0" fillId="0" borderId="0" xfId="0" applyProtection="1">
      <protection locked="0"/>
    </xf>
    <xf numFmtId="0" fontId="0" fillId="0" borderId="17" xfId="0" applyBorder="1"/>
    <xf numFmtId="0" fontId="0" fillId="0" borderId="21" xfId="0" applyBorder="1"/>
    <xf numFmtId="0" fontId="0" fillId="3" borderId="17" xfId="0" applyFill="1" applyBorder="1"/>
    <xf numFmtId="0" fontId="0" fillId="3" borderId="19" xfId="0" applyFill="1" applyBorder="1"/>
    <xf numFmtId="0" fontId="0" fillId="3" borderId="20" xfId="0" applyFill="1" applyBorder="1"/>
    <xf numFmtId="0" fontId="0" fillId="2" borderId="14" xfId="0" applyFill="1" applyBorder="1"/>
    <xf numFmtId="0" fontId="0" fillId="2" borderId="15" xfId="0" applyFill="1" applyBorder="1"/>
    <xf numFmtId="0" fontId="0" fillId="2" borderId="16" xfId="0" applyFill="1" applyBorder="1"/>
    <xf numFmtId="0" fontId="0" fillId="0" borderId="19" xfId="0" applyBorder="1"/>
    <xf numFmtId="0" fontId="0" fillId="0" borderId="16"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29" xfId="0" applyBorder="1" applyAlignment="1">
      <alignment horizontal="center"/>
    </xf>
    <xf numFmtId="0" fontId="0" fillId="0" borderId="21" xfId="0" applyBorder="1" applyAlignment="1">
      <alignment horizontal="center"/>
    </xf>
    <xf numFmtId="0" fontId="0" fillId="0" borderId="17" xfId="0" applyBorder="1" applyAlignment="1">
      <alignment horizontal="center"/>
    </xf>
    <xf numFmtId="0" fontId="0" fillId="2" borderId="0" xfId="0" applyFill="1" applyAlignment="1">
      <alignment horizontal="center"/>
    </xf>
    <xf numFmtId="0" fontId="0" fillId="2" borderId="18" xfId="0" applyFill="1" applyBorder="1"/>
    <xf numFmtId="0" fontId="0" fillId="2" borderId="17" xfId="0" applyFill="1" applyBorder="1" applyAlignment="1">
      <alignment horizontal="center"/>
    </xf>
    <xf numFmtId="0" fontId="0" fillId="2" borderId="18" xfId="0" applyFill="1" applyBorder="1" applyAlignment="1">
      <alignment horizontal="center"/>
    </xf>
    <xf numFmtId="0" fontId="0" fillId="0" borderId="35" xfId="0"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0" fillId="0" borderId="20" xfId="0" applyBorder="1" applyAlignment="1">
      <alignment horizontal="right"/>
    </xf>
    <xf numFmtId="0" fontId="1" fillId="3" borderId="0" xfId="0" applyFont="1" applyFill="1" applyAlignment="1">
      <alignment horizontal="right"/>
    </xf>
    <xf numFmtId="0" fontId="1" fillId="3" borderId="0" xfId="0" applyFont="1" applyFill="1" applyAlignment="1">
      <alignment horizontal="center"/>
    </xf>
    <xf numFmtId="0" fontId="3" fillId="3" borderId="0" xfId="0" applyFont="1" applyFill="1"/>
    <xf numFmtId="0" fontId="1" fillId="0" borderId="37" xfId="0" applyFont="1" applyBorder="1" applyAlignment="1">
      <alignment horizontal="center" shrinkToFit="1"/>
    </xf>
    <xf numFmtId="0" fontId="1" fillId="0" borderId="37" xfId="0" applyFont="1" applyBorder="1"/>
    <xf numFmtId="0" fontId="0" fillId="0" borderId="37" xfId="0" applyBorder="1"/>
    <xf numFmtId="0" fontId="1" fillId="3" borderId="37" xfId="0" applyFont="1" applyFill="1" applyBorder="1" applyAlignment="1">
      <alignment horizontal="center" shrinkToFit="1"/>
    </xf>
    <xf numFmtId="9" fontId="1" fillId="0" borderId="37" xfId="0" applyNumberFormat="1" applyFont="1" applyBorder="1" applyAlignment="1">
      <alignment horizontal="center"/>
    </xf>
    <xf numFmtId="9" fontId="1" fillId="3" borderId="37" xfId="0" applyNumberFormat="1" applyFont="1" applyFill="1" applyBorder="1" applyAlignment="1">
      <alignment horizontal="center"/>
    </xf>
    <xf numFmtId="0" fontId="0" fillId="0" borderId="0" xfId="0" applyAlignment="1">
      <alignment horizontal="left" shrinkToFit="1"/>
    </xf>
    <xf numFmtId="0" fontId="0" fillId="0" borderId="0" xfId="0" applyAlignment="1">
      <alignment horizontal="center" shrinkToFit="1"/>
    </xf>
    <xf numFmtId="0" fontId="4" fillId="0" borderId="0" xfId="0" applyFont="1" applyAlignment="1" applyProtection="1">
      <alignment horizontal="left" vertical="top" wrapText="1"/>
      <protection locked="0"/>
    </xf>
    <xf numFmtId="0" fontId="22" fillId="0" borderId="37" xfId="0" applyFont="1" applyBorder="1" applyAlignment="1">
      <alignment horizontal="center"/>
    </xf>
    <xf numFmtId="4" fontId="0" fillId="0" borderId="0" xfId="0" applyNumberFormat="1" applyAlignment="1">
      <alignment horizontal="left"/>
    </xf>
    <xf numFmtId="0" fontId="0" fillId="6" borderId="21" xfId="0" applyFill="1" applyBorder="1" applyAlignment="1">
      <alignment horizontal="left"/>
    </xf>
    <xf numFmtId="0" fontId="1" fillId="6" borderId="0" xfId="0" applyFont="1" applyFill="1" applyAlignment="1">
      <alignment horizontal="right"/>
    </xf>
    <xf numFmtId="0" fontId="21" fillId="0" borderId="0" xfId="0" applyFont="1" applyAlignment="1">
      <alignment horizontal="left"/>
    </xf>
    <xf numFmtId="0" fontId="21" fillId="0" borderId="0" xfId="0" applyFont="1"/>
    <xf numFmtId="164" fontId="0" fillId="0" borderId="0" xfId="0" applyNumberFormat="1" applyAlignment="1">
      <alignment horizontal="center"/>
    </xf>
    <xf numFmtId="0" fontId="0" fillId="0" borderId="34" xfId="0" applyBorder="1"/>
    <xf numFmtId="0" fontId="0" fillId="0" borderId="35" xfId="0" applyBorder="1"/>
    <xf numFmtId="0" fontId="0" fillId="0" borderId="29" xfId="0" applyBorder="1"/>
    <xf numFmtId="0" fontId="0" fillId="7" borderId="70" xfId="0" applyFill="1" applyBorder="1"/>
    <xf numFmtId="0" fontId="0" fillId="0" borderId="70" xfId="0" applyBorder="1"/>
    <xf numFmtId="0" fontId="0" fillId="0" borderId="68" xfId="0" applyBorder="1"/>
    <xf numFmtId="0" fontId="0" fillId="0" borderId="68" xfId="0" applyBorder="1" applyAlignment="1">
      <alignment horizontal="center"/>
    </xf>
    <xf numFmtId="0" fontId="0" fillId="0" borderId="69" xfId="0" applyBorder="1"/>
    <xf numFmtId="0" fontId="0" fillId="7" borderId="71" xfId="0" applyFill="1" applyBorder="1"/>
    <xf numFmtId="0" fontId="0" fillId="0" borderId="15" xfId="0" applyBorder="1" applyAlignment="1">
      <alignment horizontal="center"/>
    </xf>
    <xf numFmtId="0" fontId="0" fillId="0" borderId="20" xfId="0" applyBorder="1" applyAlignment="1">
      <alignment horizontal="center"/>
    </xf>
    <xf numFmtId="0" fontId="0" fillId="4" borderId="0" xfId="0" applyFill="1" applyAlignment="1">
      <alignment horizontal="center"/>
    </xf>
    <xf numFmtId="0" fontId="0" fillId="0" borderId="72" xfId="0" applyBorder="1"/>
    <xf numFmtId="0" fontId="0" fillId="7" borderId="72" xfId="0" applyFill="1" applyBorder="1"/>
    <xf numFmtId="0" fontId="0" fillId="0" borderId="14" xfId="0" applyBorder="1" applyAlignment="1">
      <alignment horizontal="center"/>
    </xf>
    <xf numFmtId="0" fontId="0" fillId="3" borderId="17" xfId="0" applyFill="1" applyBorder="1" applyAlignment="1">
      <alignment horizontal="center"/>
    </xf>
    <xf numFmtId="0" fontId="0" fillId="3" borderId="18" xfId="0" applyFill="1" applyBorder="1"/>
    <xf numFmtId="0" fontId="0" fillId="3" borderId="19" xfId="0" applyFill="1" applyBorder="1" applyAlignment="1">
      <alignment horizontal="center"/>
    </xf>
    <xf numFmtId="0" fontId="0" fillId="3" borderId="20" xfId="0" applyFill="1" applyBorder="1" applyAlignment="1">
      <alignment horizontal="center"/>
    </xf>
    <xf numFmtId="0" fontId="1" fillId="0" borderId="14" xfId="0" applyFont="1" applyBorder="1" applyAlignment="1">
      <alignment horizontal="left"/>
    </xf>
    <xf numFmtId="0" fontId="0" fillId="0" borderId="19" xfId="0" applyBorder="1" applyAlignment="1">
      <alignment horizontal="center"/>
    </xf>
    <xf numFmtId="49" fontId="0" fillId="0" borderId="0" xfId="0" applyNumberFormat="1" applyAlignment="1">
      <alignment horizontal="left"/>
    </xf>
    <xf numFmtId="0" fontId="1" fillId="0" borderId="14" xfId="0" applyFont="1" applyBorder="1"/>
    <xf numFmtId="0" fontId="1" fillId="0" borderId="16" xfId="0" applyFont="1" applyBorder="1"/>
    <xf numFmtId="0" fontId="0" fillId="5" borderId="0" xfId="0" applyFill="1"/>
    <xf numFmtId="0" fontId="0" fillId="0" borderId="20" xfId="0" applyBorder="1" applyAlignment="1">
      <alignment horizontal="left"/>
    </xf>
    <xf numFmtId="0" fontId="0" fillId="0" borderId="70" xfId="0" applyBorder="1" applyAlignment="1">
      <alignment horizontal="right"/>
    </xf>
    <xf numFmtId="0" fontId="0" fillId="0" borderId="71" xfId="0" applyBorder="1"/>
    <xf numFmtId="0" fontId="1" fillId="0" borderId="68" xfId="0" applyFont="1" applyBorder="1" applyAlignment="1">
      <alignment horizontal="right"/>
    </xf>
    <xf numFmtId="4" fontId="1" fillId="0" borderId="0" xfId="0" applyNumberFormat="1" applyFont="1"/>
    <xf numFmtId="0" fontId="1" fillId="0" borderId="15" xfId="0" applyFont="1" applyBorder="1"/>
    <xf numFmtId="0" fontId="5" fillId="0" borderId="0" xfId="0" applyFont="1" applyAlignment="1">
      <alignment shrinkToFit="1"/>
    </xf>
    <xf numFmtId="0" fontId="5" fillId="0" borderId="20" xfId="0" applyFont="1" applyBorder="1" applyAlignment="1">
      <alignment shrinkToFit="1"/>
    </xf>
    <xf numFmtId="0" fontId="0" fillId="3" borderId="0" xfId="0" applyFill="1" applyProtection="1">
      <protection hidden="1"/>
    </xf>
    <xf numFmtId="0" fontId="21" fillId="0" borderId="0" xfId="0" applyFont="1" applyAlignment="1" applyProtection="1">
      <alignment horizontal="center"/>
      <protection hidden="1"/>
    </xf>
    <xf numFmtId="4" fontId="0" fillId="0" borderId="0" xfId="0" applyNumberFormat="1" applyAlignment="1" applyProtection="1">
      <alignment horizontal="center"/>
      <protection hidden="1"/>
    </xf>
    <xf numFmtId="0" fontId="1" fillId="0" borderId="0" xfId="0" applyFont="1" applyAlignment="1" applyProtection="1">
      <alignment horizontal="right"/>
      <protection hidden="1"/>
    </xf>
    <xf numFmtId="0" fontId="0" fillId="2" borderId="14" xfId="0" applyFill="1" applyBorder="1" applyProtection="1">
      <protection hidden="1"/>
    </xf>
    <xf numFmtId="0" fontId="1" fillId="2" borderId="15" xfId="0" applyFont="1" applyFill="1" applyBorder="1" applyAlignment="1" applyProtection="1">
      <alignment horizontal="center"/>
      <protection hidden="1"/>
    </xf>
    <xf numFmtId="0" fontId="0" fillId="2" borderId="16" xfId="0" applyFill="1" applyBorder="1" applyProtection="1">
      <protection hidden="1"/>
    </xf>
    <xf numFmtId="0" fontId="1" fillId="0" borderId="14" xfId="0" applyFont="1" applyBorder="1" applyAlignment="1" applyProtection="1">
      <alignment horizontal="center"/>
      <protection hidden="1"/>
    </xf>
    <xf numFmtId="0" fontId="0" fillId="0" borderId="16" xfId="0" applyBorder="1" applyAlignment="1" applyProtection="1">
      <alignment horizontal="center"/>
      <protection hidden="1"/>
    </xf>
    <xf numFmtId="0" fontId="1" fillId="0" borderId="19" xfId="0" applyFont="1" applyBorder="1" applyAlignment="1" applyProtection="1">
      <alignment horizontal="center"/>
      <protection hidden="1"/>
    </xf>
    <xf numFmtId="4" fontId="0" fillId="0" borderId="0" xfId="0" applyNumberFormat="1" applyProtection="1">
      <protection hidden="1"/>
    </xf>
    <xf numFmtId="0" fontId="21" fillId="0" borderId="0" xfId="0" applyFont="1" applyProtection="1">
      <protection hidden="1"/>
    </xf>
    <xf numFmtId="0" fontId="0" fillId="0" borderId="0" xfId="0" applyAlignment="1" applyProtection="1">
      <alignment shrinkToFit="1"/>
      <protection hidden="1"/>
    </xf>
    <xf numFmtId="0" fontId="1" fillId="3" borderId="0" xfId="0" applyFont="1" applyFill="1" applyProtection="1">
      <protection hidden="1"/>
    </xf>
    <xf numFmtId="0" fontId="0" fillId="3" borderId="0" xfId="0" applyFill="1" applyAlignment="1" applyProtection="1">
      <alignment shrinkToFit="1"/>
      <protection hidden="1"/>
    </xf>
    <xf numFmtId="0" fontId="0" fillId="3" borderId="0" xfId="0" applyFill="1" applyAlignment="1" applyProtection="1">
      <alignment horizontal="center"/>
      <protection hidden="1"/>
    </xf>
    <xf numFmtId="4" fontId="0" fillId="3" borderId="0" xfId="0" applyNumberFormat="1" applyFill="1" applyProtection="1">
      <protection hidden="1"/>
    </xf>
    <xf numFmtId="0" fontId="0" fillId="0" borderId="0" xfId="0" applyAlignment="1" applyProtection="1">
      <alignment horizontal="left"/>
      <protection hidden="1"/>
    </xf>
    <xf numFmtId="0" fontId="1" fillId="2" borderId="14" xfId="0" applyFont="1" applyFill="1" applyBorder="1" applyProtection="1">
      <protection hidden="1"/>
    </xf>
    <xf numFmtId="0" fontId="0" fillId="2" borderId="15" xfId="0" applyFill="1" applyBorder="1" applyAlignment="1" applyProtection="1">
      <alignment horizontal="center"/>
      <protection hidden="1"/>
    </xf>
    <xf numFmtId="0" fontId="0" fillId="0" borderId="17" xfId="0" applyBorder="1" applyAlignment="1" applyProtection="1">
      <alignment horizontal="center"/>
      <protection hidden="1"/>
    </xf>
    <xf numFmtId="0" fontId="0" fillId="2" borderId="17" xfId="0" applyFill="1" applyBorder="1" applyProtection="1">
      <protection hidden="1"/>
    </xf>
    <xf numFmtId="0" fontId="1" fillId="2" borderId="0" xfId="0" applyFont="1" applyFill="1" applyAlignment="1" applyProtection="1">
      <alignment horizontal="center"/>
      <protection hidden="1"/>
    </xf>
    <xf numFmtId="0" fontId="0" fillId="0" borderId="17" xfId="0" applyBorder="1" applyProtection="1">
      <protection hidden="1"/>
    </xf>
    <xf numFmtId="0" fontId="1" fillId="2" borderId="17" xfId="0" applyFont="1" applyFill="1" applyBorder="1" applyAlignment="1" applyProtection="1">
      <alignment horizontal="right"/>
      <protection hidden="1"/>
    </xf>
    <xf numFmtId="0" fontId="24" fillId="3" borderId="37" xfId="0" applyFont="1" applyFill="1" applyBorder="1" applyAlignment="1" applyProtection="1">
      <alignment horizontal="right"/>
      <protection hidden="1"/>
    </xf>
    <xf numFmtId="0" fontId="23" fillId="3" borderId="35" xfId="0" applyFont="1" applyFill="1" applyBorder="1" applyProtection="1">
      <protection hidden="1"/>
    </xf>
    <xf numFmtId="0" fontId="23" fillId="3" borderId="35" xfId="0" applyFont="1" applyFill="1" applyBorder="1" applyAlignment="1" applyProtection="1">
      <alignment horizontal="center"/>
      <protection hidden="1"/>
    </xf>
    <xf numFmtId="4" fontId="23" fillId="3" borderId="35" xfId="0" applyNumberFormat="1" applyFont="1" applyFill="1" applyBorder="1" applyProtection="1">
      <protection hidden="1"/>
    </xf>
    <xf numFmtId="0" fontId="1" fillId="2" borderId="15" xfId="0" applyFont="1" applyFill="1" applyBorder="1" applyAlignment="1" applyProtection="1">
      <alignment horizontal="left"/>
      <protection hidden="1"/>
    </xf>
    <xf numFmtId="0" fontId="0" fillId="2" borderId="15" xfId="0" applyFill="1" applyBorder="1" applyProtection="1">
      <protection hidden="1"/>
    </xf>
    <xf numFmtId="0" fontId="1" fillId="2" borderId="0" xfId="0" applyFont="1" applyFill="1" applyProtection="1">
      <protection hidden="1"/>
    </xf>
    <xf numFmtId="0" fontId="0" fillId="2" borderId="0" xfId="0" applyFill="1" applyProtection="1">
      <protection hidden="1"/>
    </xf>
    <xf numFmtId="0" fontId="0" fillId="2" borderId="18" xfId="0" applyFill="1" applyBorder="1" applyProtection="1">
      <protection hidden="1"/>
    </xf>
    <xf numFmtId="0" fontId="0" fillId="3" borderId="29" xfId="0" applyFill="1" applyBorder="1" applyAlignment="1">
      <alignment horizontal="center"/>
    </xf>
    <xf numFmtId="4" fontId="0" fillId="3" borderId="29" xfId="0" applyNumberFormat="1" applyFill="1" applyBorder="1" applyAlignment="1">
      <alignment horizontal="right"/>
    </xf>
    <xf numFmtId="4" fontId="0" fillId="0" borderId="29" xfId="0" applyNumberFormat="1" applyBorder="1" applyAlignment="1">
      <alignment horizontal="right"/>
    </xf>
    <xf numFmtId="4" fontId="0" fillId="0" borderId="35" xfId="0" applyNumberFormat="1" applyBorder="1" applyAlignment="1">
      <alignment horizontal="right"/>
    </xf>
    <xf numFmtId="0" fontId="1" fillId="0" borderId="32" xfId="0" applyFont="1" applyBorder="1" applyAlignment="1">
      <alignment horizontal="center"/>
    </xf>
    <xf numFmtId="0" fontId="1" fillId="0" borderId="33" xfId="0" applyFont="1" applyBorder="1"/>
    <xf numFmtId="0" fontId="1" fillId="0" borderId="37" xfId="0" applyFont="1" applyBorder="1" applyAlignment="1">
      <alignment horizontal="center"/>
    </xf>
    <xf numFmtId="0" fontId="1" fillId="9" borderId="0" xfId="0" applyFont="1" applyFill="1" applyProtection="1">
      <protection hidden="1"/>
    </xf>
    <xf numFmtId="0" fontId="1" fillId="10" borderId="0" xfId="0" applyFont="1" applyFill="1" applyProtection="1">
      <protection hidden="1"/>
    </xf>
    <xf numFmtId="0" fontId="0" fillId="0" borderId="73" xfId="0" applyBorder="1" applyProtection="1">
      <protection locked="0"/>
    </xf>
    <xf numFmtId="0" fontId="0" fillId="0" borderId="73" xfId="0" applyBorder="1" applyAlignment="1" applyProtection="1">
      <alignment horizontal="center"/>
      <protection locked="0"/>
    </xf>
    <xf numFmtId="0" fontId="10" fillId="0" borderId="73" xfId="0" applyFont="1" applyBorder="1" applyAlignment="1" applyProtection="1">
      <alignment horizontal="left" vertical="center" wrapText="1"/>
      <protection locked="0"/>
    </xf>
    <xf numFmtId="1" fontId="0" fillId="0" borderId="73" xfId="0" applyNumberFormat="1" applyBorder="1" applyAlignment="1" applyProtection="1">
      <alignment horizontal="center"/>
      <protection locked="0"/>
    </xf>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6" borderId="73" xfId="0" applyFill="1" applyBorder="1" applyProtection="1">
      <protection locked="0"/>
    </xf>
    <xf numFmtId="0" fontId="0" fillId="3" borderId="73" xfId="0" applyFill="1" applyBorder="1" applyAlignment="1" applyProtection="1">
      <alignment horizontal="center"/>
      <protection locked="0"/>
    </xf>
    <xf numFmtId="0" fontId="0" fillId="3" borderId="73" xfId="0" applyFill="1" applyBorder="1" applyProtection="1">
      <protection locked="0"/>
    </xf>
    <xf numFmtId="164" fontId="0" fillId="0" borderId="0" xfId="0" applyNumberFormat="1"/>
    <xf numFmtId="0" fontId="26" fillId="0" borderId="0" xfId="0" applyFont="1"/>
    <xf numFmtId="0" fontId="26" fillId="0" borderId="0" xfId="0" applyFont="1" applyAlignment="1">
      <alignment horizontal="center"/>
    </xf>
    <xf numFmtId="0" fontId="0" fillId="5" borderId="73" xfId="0" applyFill="1" applyBorder="1" applyProtection="1">
      <protection locked="0"/>
    </xf>
    <xf numFmtId="0" fontId="1" fillId="2" borderId="17" xfId="0" applyFont="1" applyFill="1" applyBorder="1" applyProtection="1">
      <protection hidden="1"/>
    </xf>
    <xf numFmtId="0" fontId="1" fillId="2" borderId="0" xfId="0" applyFont="1" applyFill="1" applyAlignment="1" applyProtection="1">
      <alignment horizontal="left"/>
      <protection hidden="1"/>
    </xf>
    <xf numFmtId="0" fontId="0" fillId="2" borderId="0" xfId="0" applyFill="1" applyAlignment="1" applyProtection="1">
      <alignment horizontal="center"/>
      <protection hidden="1"/>
    </xf>
    <xf numFmtId="0" fontId="0" fillId="9" borderId="73" xfId="0" applyFill="1" applyBorder="1" applyProtection="1">
      <protection locked="0"/>
    </xf>
    <xf numFmtId="0" fontId="0" fillId="9" borderId="73" xfId="0" applyFill="1" applyBorder="1" applyAlignment="1" applyProtection="1">
      <alignment shrinkToFit="1"/>
      <protection locked="0"/>
    </xf>
    <xf numFmtId="0" fontId="0" fillId="10" borderId="73" xfId="0" applyFill="1" applyBorder="1" applyProtection="1">
      <protection locked="0"/>
    </xf>
    <xf numFmtId="0" fontId="0" fillId="10" borderId="73" xfId="0" applyFill="1" applyBorder="1" applyAlignment="1" applyProtection="1">
      <alignment shrinkToFit="1"/>
      <protection locked="0"/>
    </xf>
    <xf numFmtId="0" fontId="0" fillId="3" borderId="73" xfId="0" applyFill="1" applyBorder="1" applyAlignment="1" applyProtection="1">
      <alignment shrinkToFit="1"/>
      <protection locked="0"/>
    </xf>
    <xf numFmtId="0" fontId="0" fillId="0" borderId="73" xfId="0" applyBorder="1" applyAlignment="1" applyProtection="1">
      <alignment shrinkToFit="1"/>
      <protection locked="0"/>
    </xf>
    <xf numFmtId="0" fontId="0" fillId="0" borderId="73" xfId="0" applyBorder="1" applyAlignment="1" applyProtection="1">
      <alignment horizontal="center" shrinkToFit="1"/>
      <protection locked="0"/>
    </xf>
    <xf numFmtId="4" fontId="0" fillId="0" borderId="73" xfId="0" applyNumberFormat="1" applyBorder="1" applyProtection="1">
      <protection locked="0"/>
    </xf>
    <xf numFmtId="0" fontId="0" fillId="7" borderId="68" xfId="0" applyFill="1" applyBorder="1"/>
    <xf numFmtId="0" fontId="1" fillId="3" borderId="0" xfId="0" applyFont="1" applyFill="1" applyAlignment="1" applyProtection="1">
      <alignment horizontal="right"/>
      <protection hidden="1"/>
    </xf>
    <xf numFmtId="0" fontId="0" fillId="0" borderId="73" xfId="0" applyBorder="1" applyAlignment="1" applyProtection="1">
      <alignment horizontal="center"/>
      <protection locked="0" hidden="1"/>
    </xf>
    <xf numFmtId="0" fontId="1" fillId="0" borderId="0" xfId="0" applyFont="1" applyAlignment="1" applyProtection="1">
      <alignment horizontal="left"/>
      <protection hidden="1"/>
    </xf>
    <xf numFmtId="1" fontId="0" fillId="3" borderId="82" xfId="0" applyNumberFormat="1" applyFill="1" applyBorder="1" applyAlignment="1" applyProtection="1">
      <alignment horizontal="center"/>
      <protection locked="0"/>
    </xf>
    <xf numFmtId="0" fontId="0" fillId="3" borderId="0" xfId="0" applyFill="1" applyAlignment="1">
      <alignment horizontal="center" vertical="center"/>
    </xf>
    <xf numFmtId="0" fontId="1" fillId="0" borderId="17" xfId="0" applyFont="1" applyBorder="1" applyAlignment="1" applyProtection="1">
      <alignment horizontal="right"/>
      <protection hidden="1"/>
    </xf>
    <xf numFmtId="0" fontId="0" fillId="2" borderId="73" xfId="0" applyFill="1" applyBorder="1" applyAlignment="1" applyProtection="1">
      <alignment horizontal="center"/>
      <protection locked="0"/>
    </xf>
    <xf numFmtId="0" fontId="0" fillId="0" borderId="83" xfId="0" applyBorder="1" applyAlignment="1">
      <alignment horizontal="center"/>
    </xf>
    <xf numFmtId="0" fontId="0" fillId="3" borderId="0" xfId="0" applyFill="1" applyAlignment="1" applyProtection="1">
      <alignment horizontal="center"/>
      <protection locked="0"/>
    </xf>
    <xf numFmtId="0" fontId="0" fillId="11" borderId="0" xfId="0" applyFill="1"/>
    <xf numFmtId="0" fontId="0" fillId="11" borderId="0" xfId="0" applyFill="1" applyAlignment="1">
      <alignment horizontal="center"/>
    </xf>
    <xf numFmtId="0" fontId="3" fillId="0" borderId="0" xfId="0" applyFont="1" applyAlignment="1">
      <alignment horizontal="center"/>
    </xf>
    <xf numFmtId="3" fontId="0" fillId="0" borderId="73" xfId="0" applyNumberFormat="1" applyBorder="1" applyAlignment="1" applyProtection="1">
      <alignment horizontal="center"/>
      <protection locked="0"/>
    </xf>
    <xf numFmtId="0" fontId="1" fillId="0" borderId="15" xfId="0" applyFont="1" applyBorder="1" applyAlignment="1">
      <alignment horizontal="right"/>
    </xf>
    <xf numFmtId="4" fontId="0" fillId="0" borderId="15" xfId="0" applyNumberFormat="1" applyBorder="1"/>
    <xf numFmtId="0" fontId="1" fillId="0" borderId="17" xfId="0" applyFont="1" applyBorder="1"/>
    <xf numFmtId="0" fontId="1" fillId="0" borderId="20" xfId="0" applyFont="1" applyBorder="1" applyAlignment="1">
      <alignment horizontal="center"/>
    </xf>
    <xf numFmtId="165" fontId="0" fillId="0" borderId="73" xfId="0" applyNumberFormat="1" applyBorder="1" applyAlignment="1" applyProtection="1">
      <alignment horizontal="center"/>
      <protection locked="0"/>
    </xf>
    <xf numFmtId="165" fontId="0" fillId="0" borderId="0" xfId="0" applyNumberFormat="1" applyProtection="1">
      <protection hidden="1"/>
    </xf>
    <xf numFmtId="3" fontId="0" fillId="0" borderId="0" xfId="0" applyNumberFormat="1" applyProtection="1">
      <protection hidden="1"/>
    </xf>
    <xf numFmtId="1" fontId="0" fillId="0" borderId="0" xfId="0" applyNumberFormat="1" applyProtection="1">
      <protection hidden="1"/>
    </xf>
    <xf numFmtId="0" fontId="0" fillId="0" borderId="3" xfId="0" applyBorder="1" applyAlignment="1">
      <alignment shrinkToFit="1"/>
    </xf>
    <xf numFmtId="0" fontId="11" fillId="0" borderId="3" xfId="0" applyFont="1" applyBorder="1" applyAlignment="1">
      <alignment shrinkToFit="1"/>
    </xf>
    <xf numFmtId="0" fontId="13" fillId="0" borderId="3" xfId="0" applyFont="1" applyBorder="1" applyAlignment="1">
      <alignment horizontal="center"/>
    </xf>
    <xf numFmtId="0" fontId="11" fillId="0" borderId="3" xfId="0" applyFont="1" applyBorder="1" applyAlignment="1">
      <alignment vertical="center" shrinkToFit="1"/>
    </xf>
    <xf numFmtId="4" fontId="0" fillId="5" borderId="0" xfId="0" applyNumberFormat="1" applyFill="1"/>
    <xf numFmtId="0" fontId="0" fillId="5" borderId="85" xfId="0" applyFill="1" applyBorder="1"/>
    <xf numFmtId="0" fontId="0" fillId="5" borderId="87" xfId="0" applyFill="1" applyBorder="1" applyAlignment="1">
      <alignment horizontal="center"/>
    </xf>
    <xf numFmtId="0" fontId="0" fillId="12" borderId="0" xfId="0" applyFill="1"/>
    <xf numFmtId="0" fontId="0" fillId="13" borderId="73" xfId="0" applyFill="1" applyBorder="1" applyProtection="1">
      <protection locked="0"/>
    </xf>
    <xf numFmtId="0" fontId="0" fillId="13" borderId="73" xfId="0" applyFill="1" applyBorder="1" applyAlignment="1" applyProtection="1">
      <alignment horizontal="center"/>
      <protection locked="0"/>
    </xf>
    <xf numFmtId="0" fontId="0" fillId="14" borderId="73" xfId="0" applyFill="1" applyBorder="1" applyAlignment="1" applyProtection="1">
      <alignment horizontal="center"/>
      <protection locked="0"/>
    </xf>
    <xf numFmtId="0" fontId="0" fillId="14" borderId="73" xfId="0" applyFill="1" applyBorder="1" applyProtection="1">
      <protection locked="0"/>
    </xf>
    <xf numFmtId="1" fontId="0" fillId="14" borderId="73" xfId="0" applyNumberFormat="1" applyFill="1" applyBorder="1" applyAlignment="1" applyProtection="1">
      <alignment horizontal="center"/>
      <protection locked="0"/>
    </xf>
    <xf numFmtId="0" fontId="0" fillId="12" borderId="0" xfId="0" applyFill="1" applyAlignment="1">
      <alignment horizontal="right"/>
    </xf>
    <xf numFmtId="0" fontId="0" fillId="14" borderId="83" xfId="0" applyFill="1" applyBorder="1" applyAlignment="1">
      <alignment horizontal="center"/>
    </xf>
    <xf numFmtId="0" fontId="0" fillId="14" borderId="0" xfId="0" applyFill="1" applyAlignment="1">
      <alignment horizontal="center"/>
    </xf>
    <xf numFmtId="0" fontId="11" fillId="0" borderId="3" xfId="0" applyFont="1" applyBorder="1" applyAlignment="1">
      <alignment horizontal="right"/>
    </xf>
    <xf numFmtId="0" fontId="0" fillId="12" borderId="0" xfId="0" applyFill="1" applyAlignment="1">
      <alignment horizontal="center"/>
    </xf>
    <xf numFmtId="0" fontId="27" fillId="0" borderId="20" xfId="0" applyFont="1" applyBorder="1" applyAlignment="1">
      <alignment horizontal="center"/>
    </xf>
    <xf numFmtId="3" fontId="0" fillId="0" borderId="0" xfId="0" applyNumberFormat="1"/>
    <xf numFmtId="0" fontId="11" fillId="0" borderId="73" xfId="0" applyFont="1" applyBorder="1" applyAlignment="1" applyProtection="1">
      <alignment horizontal="center"/>
      <protection locked="0" hidden="1"/>
    </xf>
    <xf numFmtId="4" fontId="0" fillId="0" borderId="18" xfId="0" applyNumberFormat="1" applyBorder="1"/>
    <xf numFmtId="4" fontId="0" fillId="0" borderId="21" xfId="0" applyNumberFormat="1" applyBorder="1"/>
    <xf numFmtId="0" fontId="21" fillId="0" borderId="16" xfId="0" applyFont="1" applyBorder="1" applyAlignment="1" applyProtection="1">
      <alignment horizontal="center"/>
      <protection hidden="1"/>
    </xf>
    <xf numFmtId="0" fontId="1" fillId="0" borderId="20" xfId="0" applyFont="1" applyBorder="1"/>
    <xf numFmtId="0" fontId="0" fillId="0" borderId="75" xfId="0" applyBorder="1" applyAlignment="1">
      <alignment horizontal="center"/>
    </xf>
    <xf numFmtId="3" fontId="0" fillId="0" borderId="0" xfId="0" applyNumberFormat="1" applyAlignment="1">
      <alignment horizontal="center"/>
    </xf>
    <xf numFmtId="0" fontId="0" fillId="0" borderId="0" xfId="0" applyAlignment="1">
      <alignment textRotation="135"/>
    </xf>
    <xf numFmtId="0" fontId="0" fillId="0" borderId="0" xfId="0" applyAlignment="1">
      <alignment vertical="top" textRotation="180"/>
    </xf>
    <xf numFmtId="0" fontId="0" fillId="0" borderId="25" xfId="0" applyBorder="1"/>
    <xf numFmtId="0" fontId="0" fillId="0" borderId="26" xfId="0" applyBorder="1"/>
    <xf numFmtId="0" fontId="0" fillId="0" borderId="22" xfId="0" applyBorder="1" applyAlignment="1">
      <alignment horizontal="center"/>
    </xf>
    <xf numFmtId="0" fontId="0" fillId="0" borderId="25" xfId="0" applyBorder="1" applyAlignment="1">
      <alignment horizontal="center"/>
    </xf>
    <xf numFmtId="0" fontId="0" fillId="16" borderId="25" xfId="0" applyFill="1" applyBorder="1" applyAlignment="1">
      <alignment horizontal="center"/>
    </xf>
    <xf numFmtId="0" fontId="0" fillId="4" borderId="25" xfId="0" applyFill="1" applyBorder="1" applyAlignment="1">
      <alignment horizontal="center"/>
    </xf>
    <xf numFmtId="0" fontId="0" fillId="6" borderId="25" xfId="0" applyFill="1" applyBorder="1" applyAlignment="1">
      <alignment horizontal="center"/>
    </xf>
    <xf numFmtId="0" fontId="0" fillId="15" borderId="25" xfId="0" applyFill="1" applyBorder="1" applyAlignment="1">
      <alignment horizontal="center"/>
    </xf>
    <xf numFmtId="0" fontId="0" fillId="17" borderId="25" xfId="0" applyFill="1" applyBorder="1" applyAlignment="1">
      <alignment horizontal="center"/>
    </xf>
    <xf numFmtId="0" fontId="0" fillId="0" borderId="98" xfId="0" applyBorder="1"/>
    <xf numFmtId="0" fontId="0" fillId="0" borderId="99" xfId="0" applyBorder="1"/>
    <xf numFmtId="0" fontId="0" fillId="0" borderId="100" xfId="0" applyBorder="1"/>
    <xf numFmtId="0" fontId="1" fillId="0" borderId="0" xfId="0" applyFont="1" applyAlignment="1">
      <alignment horizontal="left"/>
    </xf>
    <xf numFmtId="0" fontId="3" fillId="0" borderId="34" xfId="0" applyFont="1" applyBorder="1" applyAlignment="1">
      <alignment horizontal="center"/>
    </xf>
    <xf numFmtId="0" fontId="8" fillId="0" borderId="0" xfId="0" applyFont="1" applyAlignment="1">
      <alignment horizontal="right"/>
    </xf>
    <xf numFmtId="4" fontId="1" fillId="0" borderId="0" xfId="0" applyNumberFormat="1" applyFont="1" applyAlignment="1">
      <alignment horizontal="center"/>
    </xf>
    <xf numFmtId="3" fontId="0" fillId="0" borderId="73" xfId="0" applyNumberFormat="1" applyBorder="1" applyProtection="1">
      <protection locked="0"/>
    </xf>
    <xf numFmtId="0" fontId="0" fillId="3" borderId="0" xfId="0" applyFill="1" applyAlignment="1">
      <alignment vertical="top" textRotation="180"/>
    </xf>
    <xf numFmtId="0" fontId="0" fillId="3" borderId="4" xfId="0" applyFill="1" applyBorder="1"/>
    <xf numFmtId="0" fontId="0" fillId="3" borderId="2" xfId="0" applyFill="1" applyBorder="1"/>
    <xf numFmtId="0" fontId="0" fillId="3" borderId="102" xfId="0" applyFill="1" applyBorder="1" applyAlignment="1">
      <alignment horizontal="center"/>
    </xf>
    <xf numFmtId="0" fontId="0" fillId="3" borderId="2" xfId="0" applyFill="1" applyBorder="1" applyAlignment="1">
      <alignment horizontal="center"/>
    </xf>
    <xf numFmtId="0" fontId="0" fillId="3" borderId="103" xfId="0" applyFill="1" applyBorder="1"/>
    <xf numFmtId="0" fontId="0" fillId="3" borderId="11" xfId="0" applyFill="1" applyBorder="1"/>
    <xf numFmtId="0" fontId="0" fillId="0" borderId="5" xfId="0" applyBorder="1"/>
    <xf numFmtId="0" fontId="0" fillId="0" borderId="12" xfId="0" applyBorder="1" applyAlignment="1">
      <alignment vertical="top" textRotation="180"/>
    </xf>
    <xf numFmtId="0" fontId="0" fillId="3" borderId="5" xfId="0" applyFill="1" applyBorder="1"/>
    <xf numFmtId="0" fontId="0" fillId="3" borderId="12" xfId="0" applyFill="1" applyBorder="1" applyAlignment="1">
      <alignment vertical="top" textRotation="180"/>
    </xf>
    <xf numFmtId="0" fontId="0" fillId="0" borderId="12" xfId="0" applyBorder="1"/>
    <xf numFmtId="0" fontId="0" fillId="3" borderId="12" xfId="0" applyFill="1" applyBorder="1"/>
    <xf numFmtId="0" fontId="0" fillId="0" borderId="9" xfId="0" applyBorder="1"/>
    <xf numFmtId="0" fontId="0" fillId="0" borderId="3" xfId="0" applyBorder="1"/>
    <xf numFmtId="0" fontId="0" fillId="0" borderId="96" xfId="0" applyBorder="1" applyAlignment="1">
      <alignment horizontal="center"/>
    </xf>
    <xf numFmtId="0" fontId="0" fillId="0" borderId="3" xfId="0" applyBorder="1" applyAlignment="1">
      <alignment horizontal="center"/>
    </xf>
    <xf numFmtId="0" fontId="0" fillId="0" borderId="104" xfId="0" applyBorder="1"/>
    <xf numFmtId="0" fontId="0" fillId="0" borderId="13" xfId="0" applyBorder="1"/>
    <xf numFmtId="0" fontId="1" fillId="2" borderId="0" xfId="0" applyFont="1" applyFill="1"/>
    <xf numFmtId="0" fontId="21" fillId="0" borderId="16" xfId="0" applyFont="1" applyBorder="1" applyAlignment="1">
      <alignment horizontal="center"/>
    </xf>
    <xf numFmtId="0" fontId="1" fillId="0" borderId="17" xfId="0" applyFont="1" applyBorder="1" applyAlignment="1">
      <alignment vertical="center"/>
    </xf>
    <xf numFmtId="0" fontId="0" fillId="0" borderId="18" xfId="0" applyBorder="1" applyAlignment="1">
      <alignment horizontal="left" wrapText="1"/>
    </xf>
    <xf numFmtId="0" fontId="0" fillId="14" borderId="105" xfId="0" applyFill="1" applyBorder="1" applyProtection="1">
      <protection locked="0"/>
    </xf>
    <xf numFmtId="0" fontId="0" fillId="0" borderId="18" xfId="0" applyBorder="1" applyAlignment="1">
      <alignment horizontal="center" wrapText="1"/>
    </xf>
    <xf numFmtId="0" fontId="0" fillId="0" borderId="105" xfId="0" applyBorder="1" applyProtection="1">
      <protection locked="0"/>
    </xf>
    <xf numFmtId="0" fontId="2" fillId="0" borderId="14" xfId="0" applyFont="1" applyBorder="1"/>
    <xf numFmtId="0" fontId="0" fillId="0" borderId="0" xfId="0" applyAlignment="1" applyProtection="1">
      <alignment wrapText="1"/>
      <protection hidden="1"/>
    </xf>
    <xf numFmtId="3" fontId="0" fillId="3" borderId="29" xfId="0" applyNumberFormat="1" applyFill="1" applyBorder="1" applyAlignment="1">
      <alignment horizontal="center"/>
    </xf>
    <xf numFmtId="3" fontId="0" fillId="0" borderId="29" xfId="0" applyNumberFormat="1" applyBorder="1" applyAlignment="1">
      <alignment horizontal="center"/>
    </xf>
    <xf numFmtId="3" fontId="0" fillId="0" borderId="35" xfId="0" applyNumberFormat="1" applyBorder="1" applyAlignment="1">
      <alignment horizontal="center"/>
    </xf>
    <xf numFmtId="3" fontId="0" fillId="0" borderId="20" xfId="0" applyNumberFormat="1" applyBorder="1" applyAlignment="1">
      <alignment horizontal="center"/>
    </xf>
    <xf numFmtId="3" fontId="0" fillId="0" borderId="16" xfId="0" applyNumberFormat="1" applyBorder="1" applyAlignment="1">
      <alignment horizontal="center"/>
    </xf>
    <xf numFmtId="3" fontId="0" fillId="0" borderId="18" xfId="0" applyNumberFormat="1" applyBorder="1" applyAlignment="1">
      <alignment horizontal="center"/>
    </xf>
    <xf numFmtId="3" fontId="0" fillId="3" borderId="0" xfId="0" applyNumberFormat="1" applyFill="1" applyAlignment="1">
      <alignment horizontal="center"/>
    </xf>
    <xf numFmtId="3" fontId="0" fillId="6" borderId="19" xfId="0" applyNumberFormat="1" applyFill="1" applyBorder="1"/>
    <xf numFmtId="3" fontId="0" fillId="3" borderId="37" xfId="0" applyNumberFormat="1" applyFill="1" applyBorder="1" applyAlignment="1">
      <alignment horizontal="center"/>
    </xf>
    <xf numFmtId="3" fontId="22" fillId="3" borderId="37" xfId="0" applyNumberFormat="1" applyFont="1" applyFill="1" applyBorder="1"/>
    <xf numFmtId="3" fontId="0" fillId="0" borderId="37" xfId="0" applyNumberFormat="1" applyBorder="1"/>
    <xf numFmtId="3" fontId="22" fillId="3" borderId="32" xfId="0" applyNumberFormat="1" applyFont="1" applyFill="1" applyBorder="1"/>
    <xf numFmtId="3" fontId="0" fillId="3" borderId="37" xfId="0" applyNumberFormat="1" applyFill="1" applyBorder="1"/>
    <xf numFmtId="3" fontId="22" fillId="0" borderId="37" xfId="0" applyNumberFormat="1" applyFont="1" applyBorder="1"/>
    <xf numFmtId="3" fontId="1" fillId="0" borderId="37" xfId="0" applyNumberFormat="1" applyFont="1" applyBorder="1"/>
    <xf numFmtId="165" fontId="0" fillId="0" borderId="0" xfId="0" applyNumberFormat="1" applyAlignment="1">
      <alignment horizontal="center"/>
    </xf>
    <xf numFmtId="3" fontId="0" fillId="14" borderId="73" xfId="0" applyNumberFormat="1" applyFill="1" applyBorder="1" applyAlignment="1" applyProtection="1">
      <alignment horizontal="center"/>
      <protection locked="0"/>
    </xf>
    <xf numFmtId="3" fontId="0" fillId="3" borderId="0" xfId="0" applyNumberFormat="1" applyFill="1"/>
    <xf numFmtId="3" fontId="0" fillId="0" borderId="0" xfId="0" applyNumberFormat="1" applyAlignment="1">
      <alignment vertical="center"/>
    </xf>
    <xf numFmtId="3" fontId="0" fillId="0" borderId="73" xfId="0" applyNumberFormat="1" applyBorder="1" applyAlignment="1" applyProtection="1">
      <alignment horizontal="center" vertical="center"/>
      <protection locked="0"/>
    </xf>
    <xf numFmtId="3" fontId="0" fillId="9" borderId="73" xfId="0" applyNumberFormat="1" applyFill="1" applyBorder="1" applyAlignment="1" applyProtection="1">
      <alignment horizontal="center"/>
      <protection locked="0"/>
    </xf>
    <xf numFmtId="3" fontId="0" fillId="10" borderId="73" xfId="0" applyNumberFormat="1" applyFill="1" applyBorder="1" applyAlignment="1" applyProtection="1">
      <alignment horizontal="center"/>
      <protection locked="0"/>
    </xf>
    <xf numFmtId="3" fontId="0" fillId="3" borderId="73" xfId="0" applyNumberFormat="1" applyFill="1" applyBorder="1" applyAlignment="1" applyProtection="1">
      <alignment horizontal="center"/>
      <protection locked="0"/>
    </xf>
    <xf numFmtId="3" fontId="0" fillId="0" borderId="73" xfId="0" applyNumberFormat="1" applyBorder="1" applyAlignment="1" applyProtection="1">
      <alignment horizontal="center"/>
      <protection locked="0" hidden="1"/>
    </xf>
    <xf numFmtId="3" fontId="0" fillId="3" borderId="0" xfId="0" applyNumberFormat="1" applyFill="1" applyAlignment="1" applyProtection="1">
      <alignment horizontal="center"/>
      <protection hidden="1"/>
    </xf>
    <xf numFmtId="3" fontId="0" fillId="0" borderId="21" xfId="0" applyNumberFormat="1" applyBorder="1" applyAlignment="1" applyProtection="1">
      <alignment horizontal="center"/>
      <protection hidden="1"/>
    </xf>
    <xf numFmtId="4" fontId="0" fillId="0" borderId="0" xfId="0" applyNumberFormat="1" applyAlignment="1" applyProtection="1">
      <alignment horizontal="right"/>
      <protection hidden="1"/>
    </xf>
    <xf numFmtId="3" fontId="0" fillId="0" borderId="0" xfId="0" applyNumberFormat="1" applyAlignment="1" applyProtection="1">
      <alignment horizontal="center"/>
      <protection hidden="1"/>
    </xf>
    <xf numFmtId="3" fontId="0" fillId="0" borderId="0" xfId="0" applyNumberFormat="1" applyAlignment="1" applyProtection="1">
      <alignment horizontal="right"/>
      <protection hidden="1"/>
    </xf>
    <xf numFmtId="3" fontId="0" fillId="3" borderId="0" xfId="0" applyNumberFormat="1" applyFill="1" applyAlignment="1" applyProtection="1">
      <alignment horizontal="right"/>
      <protection hidden="1"/>
    </xf>
    <xf numFmtId="3" fontId="0" fillId="3" borderId="0" xfId="0" applyNumberFormat="1" applyFill="1" applyProtection="1">
      <protection hidden="1"/>
    </xf>
    <xf numFmtId="3" fontId="23" fillId="3" borderId="35" xfId="0" applyNumberFormat="1" applyFont="1" applyFill="1" applyBorder="1" applyAlignment="1" applyProtection="1">
      <alignment horizontal="center"/>
      <protection hidden="1"/>
    </xf>
    <xf numFmtId="3" fontId="0" fillId="5" borderId="85" xfId="0" applyNumberFormat="1" applyFill="1" applyBorder="1" applyAlignment="1">
      <alignment horizontal="center"/>
    </xf>
    <xf numFmtId="3" fontId="0" fillId="5" borderId="87" xfId="0" applyNumberFormat="1" applyFill="1" applyBorder="1" applyAlignment="1">
      <alignment horizontal="center"/>
    </xf>
    <xf numFmtId="3" fontId="0" fillId="5" borderId="88" xfId="0" applyNumberFormat="1" applyFill="1" applyBorder="1" applyAlignment="1">
      <alignment horizontal="center"/>
    </xf>
    <xf numFmtId="3" fontId="0" fillId="5" borderId="73" xfId="0" applyNumberFormat="1" applyFill="1" applyBorder="1" applyAlignment="1" applyProtection="1">
      <alignment horizontal="center"/>
      <protection locked="0"/>
    </xf>
    <xf numFmtId="3" fontId="0" fillId="8" borderId="0" xfId="0" applyNumberFormat="1" applyFill="1" applyAlignment="1">
      <alignment horizontal="center"/>
    </xf>
    <xf numFmtId="3" fontId="0" fillId="2" borderId="0" xfId="0" applyNumberFormat="1" applyFill="1" applyAlignment="1">
      <alignment horizontal="center"/>
    </xf>
    <xf numFmtId="3" fontId="0" fillId="5" borderId="86" xfId="0" applyNumberFormat="1" applyFill="1" applyBorder="1" applyAlignment="1">
      <alignment horizontal="center"/>
    </xf>
    <xf numFmtId="3" fontId="0" fillId="0" borderId="73" xfId="0" applyNumberFormat="1" applyBorder="1" applyAlignment="1" applyProtection="1">
      <alignment horizontal="right"/>
      <protection locked="0"/>
    </xf>
    <xf numFmtId="2" fontId="0" fillId="3" borderId="0" xfId="0" applyNumberFormat="1" applyFill="1"/>
    <xf numFmtId="4" fontId="0" fillId="3" borderId="0" xfId="0" applyNumberFormat="1" applyFill="1" applyAlignment="1">
      <alignment horizontal="center"/>
    </xf>
    <xf numFmtId="2" fontId="0" fillId="0" borderId="0" xfId="0" applyNumberFormat="1"/>
    <xf numFmtId="0" fontId="17" fillId="0" borderId="55" xfId="0" applyFont="1" applyBorder="1" applyAlignment="1">
      <alignment horizontal="center" shrinkToFit="1"/>
    </xf>
    <xf numFmtId="0" fontId="0" fillId="0" borderId="3" xfId="0" applyBorder="1" applyAlignment="1">
      <alignment vertical="center"/>
    </xf>
    <xf numFmtId="0" fontId="31" fillId="0" borderId="0" xfId="0" applyFont="1"/>
    <xf numFmtId="0" fontId="17" fillId="0" borderId="3" xfId="0" applyFont="1" applyBorder="1" applyAlignment="1">
      <alignment shrinkToFit="1"/>
    </xf>
    <xf numFmtId="0" fontId="17" fillId="0" borderId="0" xfId="0" applyFont="1" applyAlignment="1">
      <alignment shrinkToFit="1"/>
    </xf>
    <xf numFmtId="0" fontId="17" fillId="0" borderId="55" xfId="0" applyFont="1" applyBorder="1" applyAlignment="1">
      <alignment shrinkToFit="1"/>
    </xf>
    <xf numFmtId="0" fontId="36" fillId="0" borderId="0" xfId="0" applyFont="1" applyAlignment="1">
      <alignment horizontal="center"/>
    </xf>
    <xf numFmtId="0" fontId="35" fillId="0" borderId="0" xfId="0" applyFont="1"/>
    <xf numFmtId="0" fontId="36" fillId="0" borderId="0" xfId="0" applyFont="1" applyAlignment="1">
      <alignment shrinkToFit="1"/>
    </xf>
    <xf numFmtId="0" fontId="36" fillId="0" borderId="0" xfId="0" applyFont="1" applyAlignment="1">
      <alignment horizontal="center" shrinkToFit="1"/>
    </xf>
    <xf numFmtId="0" fontId="35" fillId="0" borderId="0" xfId="0" applyFont="1" applyAlignment="1">
      <alignment shrinkToFit="1"/>
    </xf>
    <xf numFmtId="0" fontId="0" fillId="3" borderId="14" xfId="0" applyFill="1" applyBorder="1"/>
    <xf numFmtId="0" fontId="0" fillId="3" borderId="15" xfId="0" applyFill="1" applyBorder="1"/>
    <xf numFmtId="0" fontId="0" fillId="3" borderId="16" xfId="0" applyFill="1" applyBorder="1"/>
    <xf numFmtId="0" fontId="0" fillId="3" borderId="21" xfId="0" applyFill="1" applyBorder="1"/>
    <xf numFmtId="0" fontId="0" fillId="0" borderId="23" xfId="0" applyBorder="1"/>
    <xf numFmtId="0" fontId="0" fillId="18" borderId="0" xfId="0" applyFill="1"/>
    <xf numFmtId="0" fontId="0" fillId="18" borderId="12" xfId="0" applyFill="1" applyBorder="1"/>
    <xf numFmtId="0" fontId="0" fillId="18" borderId="5" xfId="0" applyFill="1" applyBorder="1"/>
    <xf numFmtId="0" fontId="0" fillId="18" borderId="6" xfId="0" applyFill="1" applyBorder="1"/>
    <xf numFmtId="0" fontId="0" fillId="18" borderId="27" xfId="0" applyFill="1" applyBorder="1"/>
    <xf numFmtId="0" fontId="0" fillId="18" borderId="7" xfId="0" applyFill="1" applyBorder="1"/>
    <xf numFmtId="0" fontId="0" fillId="0" borderId="117" xfId="0" applyBorder="1" applyAlignment="1">
      <alignment horizontal="center"/>
    </xf>
    <xf numFmtId="0" fontId="21" fillId="0" borderId="0" xfId="0" applyFont="1" applyAlignment="1">
      <alignment horizontal="center" vertical="center"/>
    </xf>
    <xf numFmtId="4" fontId="21" fillId="0" borderId="0" xfId="0" applyNumberFormat="1" applyFont="1"/>
    <xf numFmtId="4" fontId="0" fillId="3" borderId="73" xfId="0" applyNumberFormat="1" applyFill="1" applyBorder="1" applyProtection="1">
      <protection locked="0"/>
    </xf>
    <xf numFmtId="4" fontId="0" fillId="0" borderId="16" xfId="0" applyNumberFormat="1" applyBorder="1"/>
    <xf numFmtId="4" fontId="0" fillId="0" borderId="33" xfId="0" applyNumberFormat="1" applyBorder="1"/>
    <xf numFmtId="1" fontId="1" fillId="0" borderId="0" xfId="0" applyNumberFormat="1" applyFont="1"/>
    <xf numFmtId="1" fontId="1" fillId="0" borderId="14" xfId="0" applyNumberFormat="1" applyFont="1" applyBorder="1"/>
    <xf numFmtId="0" fontId="0" fillId="0" borderId="15" xfId="0" applyBorder="1" applyAlignment="1">
      <alignment wrapText="1"/>
    </xf>
    <xf numFmtId="0" fontId="0" fillId="0" borderId="20" xfId="0" applyBorder="1" applyAlignment="1">
      <alignment wrapText="1"/>
    </xf>
    <xf numFmtId="0" fontId="0" fillId="0" borderId="31" xfId="0" applyBorder="1" applyAlignment="1">
      <alignment wrapText="1"/>
    </xf>
    <xf numFmtId="0" fontId="1" fillId="0" borderId="0" xfId="0" applyFont="1" applyAlignment="1">
      <alignment horizontal="right" vertical="top"/>
    </xf>
    <xf numFmtId="0" fontId="1" fillId="0" borderId="14" xfId="0" applyFont="1" applyBorder="1" applyAlignment="1">
      <alignment horizontal="center" vertical="top"/>
    </xf>
    <xf numFmtId="4" fontId="1" fillId="0" borderId="17" xfId="0" applyNumberFormat="1" applyFont="1" applyBorder="1" applyAlignment="1">
      <alignment vertical="top"/>
    </xf>
    <xf numFmtId="0" fontId="1" fillId="0" borderId="17" xfId="0" applyFont="1" applyBorder="1" applyAlignment="1">
      <alignment vertical="top"/>
    </xf>
    <xf numFmtId="0" fontId="1" fillId="0" borderId="19" xfId="0" applyFont="1" applyBorder="1" applyAlignment="1">
      <alignment vertical="top"/>
    </xf>
    <xf numFmtId="0" fontId="1" fillId="0" borderId="32" xfId="0" applyFont="1" applyBorder="1" applyAlignment="1">
      <alignment vertical="top"/>
    </xf>
    <xf numFmtId="0" fontId="1" fillId="0" borderId="0" xfId="0" applyFont="1" applyAlignment="1">
      <alignment vertical="top"/>
    </xf>
    <xf numFmtId="0" fontId="1" fillId="0" borderId="14" xfId="0" applyFont="1" applyBorder="1" applyAlignment="1">
      <alignment vertical="top"/>
    </xf>
    <xf numFmtId="4" fontId="1" fillId="0" borderId="37" xfId="0" applyNumberFormat="1" applyFont="1" applyBorder="1" applyAlignment="1">
      <alignment horizontal="center"/>
    </xf>
    <xf numFmtId="4" fontId="0" fillId="0" borderId="20" xfId="0" applyNumberFormat="1" applyBorder="1"/>
    <xf numFmtId="4" fontId="0" fillId="13" borderId="73" xfId="0" applyNumberFormat="1" applyFill="1" applyBorder="1" applyAlignment="1" applyProtection="1">
      <alignment horizontal="center"/>
      <protection locked="0"/>
    </xf>
    <xf numFmtId="3" fontId="0" fillId="0" borderId="75" xfId="0" applyNumberFormat="1" applyBorder="1" applyProtection="1">
      <protection locked="0"/>
    </xf>
    <xf numFmtId="3" fontId="0" fillId="0" borderId="0" xfId="0" applyNumberFormat="1" applyProtection="1">
      <protection locked="0"/>
    </xf>
    <xf numFmtId="3" fontId="1" fillId="0" borderId="0" xfId="0" applyNumberFormat="1" applyFont="1"/>
    <xf numFmtId="0" fontId="0" fillId="0" borderId="82" xfId="0" applyBorder="1" applyProtection="1">
      <protection locked="0"/>
    </xf>
    <xf numFmtId="0" fontId="0" fillId="3" borderId="15" xfId="0" applyFill="1" applyBorder="1" applyAlignment="1">
      <alignment horizontal="center"/>
    </xf>
    <xf numFmtId="3" fontId="0" fillId="3" borderId="73" xfId="0" applyNumberFormat="1" applyFill="1" applyBorder="1" applyProtection="1">
      <protection locked="0"/>
    </xf>
    <xf numFmtId="0" fontId="0" fillId="0" borderId="17" xfId="0" applyBorder="1" applyAlignment="1">
      <alignment horizontal="right"/>
    </xf>
    <xf numFmtId="2" fontId="0" fillId="3" borderId="16" xfId="0" applyNumberFormat="1" applyFill="1" applyBorder="1"/>
    <xf numFmtId="0" fontId="0" fillId="3" borderId="0" xfId="0" applyFill="1" applyAlignment="1">
      <alignment horizontal="right"/>
    </xf>
    <xf numFmtId="2" fontId="0" fillId="0" borderId="18" xfId="0" applyNumberFormat="1" applyBorder="1"/>
    <xf numFmtId="2" fontId="0" fillId="3" borderId="18" xfId="0" applyNumberFormat="1" applyFill="1" applyBorder="1"/>
    <xf numFmtId="4" fontId="0" fillId="0" borderId="118" xfId="0" applyNumberFormat="1" applyBorder="1" applyProtection="1">
      <protection locked="0"/>
    </xf>
    <xf numFmtId="4" fontId="0" fillId="3" borderId="82" xfId="0" applyNumberFormat="1" applyFill="1" applyBorder="1" applyProtection="1">
      <protection locked="0"/>
    </xf>
    <xf numFmtId="0" fontId="0" fillId="5" borderId="17" xfId="0" applyFill="1" applyBorder="1"/>
    <xf numFmtId="4" fontId="0" fillId="0" borderId="0" xfId="0" applyNumberFormat="1" applyAlignment="1">
      <alignment vertical="center"/>
    </xf>
    <xf numFmtId="4" fontId="0" fillId="0" borderId="31" xfId="0" applyNumberFormat="1" applyBorder="1"/>
    <xf numFmtId="0" fontId="1" fillId="0" borderId="119" xfId="0" applyFont="1" applyBorder="1"/>
    <xf numFmtId="0" fontId="1" fillId="0" borderId="102" xfId="0" applyFont="1" applyBorder="1"/>
    <xf numFmtId="0" fontId="1" fillId="0" borderId="120" xfId="0" applyFont="1" applyBorder="1"/>
    <xf numFmtId="0" fontId="0" fillId="0" borderId="1" xfId="0" applyBorder="1"/>
    <xf numFmtId="4" fontId="0" fillId="0" borderId="90" xfId="0" applyNumberFormat="1" applyBorder="1"/>
    <xf numFmtId="4" fontId="0" fillId="0" borderId="121" xfId="0" applyNumberFormat="1" applyBorder="1"/>
    <xf numFmtId="4" fontId="0" fillId="0" borderId="122" xfId="0" applyNumberFormat="1" applyBorder="1"/>
    <xf numFmtId="0" fontId="1" fillId="0" borderId="80" xfId="0" applyFont="1" applyBorder="1" applyAlignment="1">
      <alignment horizontal="center"/>
    </xf>
    <xf numFmtId="0" fontId="0" fillId="0" borderId="82" xfId="0" applyBorder="1" applyAlignment="1" applyProtection="1">
      <alignment horizontal="center"/>
      <protection locked="0"/>
    </xf>
    <xf numFmtId="0" fontId="1" fillId="0" borderId="10" xfId="0" applyFont="1" applyBorder="1" applyAlignment="1">
      <alignment horizontal="center"/>
    </xf>
    <xf numFmtId="0" fontId="1" fillId="0" borderId="55" xfId="0" applyFont="1" applyBorder="1" applyAlignment="1">
      <alignment horizontal="center"/>
    </xf>
    <xf numFmtId="0" fontId="1" fillId="0" borderId="38" xfId="0" applyFont="1" applyBorder="1" applyAlignment="1">
      <alignment horizontal="center"/>
    </xf>
    <xf numFmtId="0" fontId="0" fillId="18" borderId="73" xfId="0" applyFill="1" applyBorder="1" applyProtection="1">
      <protection locked="0"/>
    </xf>
    <xf numFmtId="4" fontId="0" fillId="18" borderId="73" xfId="0" applyNumberFormat="1" applyFill="1" applyBorder="1" applyProtection="1">
      <protection locked="0"/>
    </xf>
    <xf numFmtId="0" fontId="1" fillId="0" borderId="18" xfId="0" applyFont="1" applyBorder="1" applyAlignment="1">
      <alignment horizontal="center"/>
    </xf>
    <xf numFmtId="3" fontId="0" fillId="0" borderId="83" xfId="0" applyNumberFormat="1" applyBorder="1"/>
    <xf numFmtId="0" fontId="0" fillId="3" borderId="82" xfId="0" applyFill="1" applyBorder="1" applyProtection="1">
      <protection locked="0"/>
    </xf>
    <xf numFmtId="3" fontId="0" fillId="3" borderId="82" xfId="0" applyNumberFormat="1" applyFill="1" applyBorder="1" applyProtection="1">
      <protection locked="0"/>
    </xf>
    <xf numFmtId="0" fontId="0" fillId="3" borderId="128" xfId="0" applyFill="1" applyBorder="1" applyProtection="1">
      <protection locked="0"/>
    </xf>
    <xf numFmtId="0" fontId="0" fillId="11" borderId="128" xfId="0" applyFill="1" applyBorder="1" applyProtection="1">
      <protection locked="0"/>
    </xf>
    <xf numFmtId="3" fontId="0" fillId="11" borderId="73" xfId="0" applyNumberFormat="1" applyFill="1" applyBorder="1" applyProtection="1">
      <protection locked="0"/>
    </xf>
    <xf numFmtId="4" fontId="0" fillId="11" borderId="90" xfId="0" applyNumberFormat="1" applyFill="1" applyBorder="1"/>
    <xf numFmtId="0" fontId="0" fillId="11" borderId="127" xfId="0" applyFill="1" applyBorder="1" applyProtection="1">
      <protection locked="0"/>
    </xf>
    <xf numFmtId="3" fontId="0" fillId="11" borderId="126" xfId="0" applyNumberFormat="1" applyFill="1" applyBorder="1" applyProtection="1">
      <protection locked="0"/>
    </xf>
    <xf numFmtId="4" fontId="0" fillId="3" borderId="90" xfId="0" applyNumberFormat="1" applyFill="1" applyBorder="1"/>
    <xf numFmtId="4" fontId="0" fillId="3" borderId="123" xfId="0" applyNumberFormat="1" applyFill="1" applyBorder="1"/>
    <xf numFmtId="0" fontId="1" fillId="0" borderId="132" xfId="0" applyFont="1" applyBorder="1" applyAlignment="1">
      <alignment horizontal="center"/>
    </xf>
    <xf numFmtId="0" fontId="1" fillId="0" borderId="133" xfId="0" applyFont="1" applyBorder="1" applyAlignment="1">
      <alignment horizontal="center"/>
    </xf>
    <xf numFmtId="0" fontId="1" fillId="0" borderId="134" xfId="0" applyFont="1" applyBorder="1" applyAlignment="1">
      <alignment horizontal="center"/>
    </xf>
    <xf numFmtId="0" fontId="0" fillId="3" borderId="129" xfId="0" applyFill="1" applyBorder="1"/>
    <xf numFmtId="0" fontId="1" fillId="3" borderId="130" xfId="0" applyFont="1" applyFill="1" applyBorder="1" applyAlignment="1">
      <alignment horizontal="center"/>
    </xf>
    <xf numFmtId="0" fontId="0" fillId="3" borderId="131" xfId="0" applyFill="1" applyBorder="1"/>
    <xf numFmtId="0" fontId="0" fillId="0" borderId="0" xfId="1" applyNumberFormat="1" applyFont="1"/>
    <xf numFmtId="0" fontId="0" fillId="2" borderId="1" xfId="0" applyFill="1" applyBorder="1" applyAlignment="1">
      <alignment horizontal="center"/>
    </xf>
    <xf numFmtId="3" fontId="0" fillId="3" borderId="136" xfId="0" applyNumberFormat="1" applyFill="1" applyBorder="1"/>
    <xf numFmtId="3" fontId="0" fillId="3" borderId="137" xfId="0" applyNumberFormat="1" applyFill="1" applyBorder="1"/>
    <xf numFmtId="3" fontId="0" fillId="3" borderId="135" xfId="0" applyNumberFormat="1" applyFill="1" applyBorder="1" applyProtection="1">
      <protection locked="0"/>
    </xf>
    <xf numFmtId="3" fontId="0" fillId="19" borderId="101" xfId="0" applyNumberFormat="1" applyFill="1" applyBorder="1" applyAlignment="1">
      <alignment horizontal="center"/>
    </xf>
    <xf numFmtId="0" fontId="38" fillId="0" borderId="0" xfId="2"/>
    <xf numFmtId="4" fontId="38" fillId="0" borderId="0" xfId="2" applyNumberFormat="1"/>
    <xf numFmtId="0" fontId="38" fillId="0" borderId="0" xfId="3" applyNumberFormat="1" applyFont="1"/>
    <xf numFmtId="165" fontId="0" fillId="0" borderId="0" xfId="0" applyNumberFormat="1"/>
    <xf numFmtId="4" fontId="0" fillId="0" borderId="0" xfId="0" applyNumberFormat="1" applyAlignment="1">
      <alignment wrapText="1"/>
    </xf>
    <xf numFmtId="0" fontId="0" fillId="0" borderId="139" xfId="0" applyBorder="1"/>
    <xf numFmtId="0" fontId="0" fillId="0" borderId="138" xfId="0" applyBorder="1"/>
    <xf numFmtId="0" fontId="0" fillId="0" borderId="140" xfId="0" applyBorder="1"/>
    <xf numFmtId="0" fontId="0" fillId="0" borderId="75" xfId="0" applyBorder="1" applyAlignment="1" applyProtection="1">
      <alignment horizontal="center"/>
      <protection locked="0"/>
    </xf>
    <xf numFmtId="0" fontId="0" fillId="0" borderId="141" xfId="0" applyBorder="1"/>
    <xf numFmtId="0" fontId="0" fillId="0" borderId="73" xfId="0" applyBorder="1" applyAlignment="1" applyProtection="1">
      <alignment horizontal="right"/>
      <protection locked="0"/>
    </xf>
    <xf numFmtId="3" fontId="0" fillId="0" borderId="83" xfId="0" applyNumberFormat="1" applyBorder="1" applyAlignment="1">
      <alignment horizontal="center"/>
    </xf>
    <xf numFmtId="3" fontId="0" fillId="3" borderId="88" xfId="0" applyNumberFormat="1" applyFill="1" applyBorder="1" applyAlignment="1">
      <alignment horizontal="center"/>
    </xf>
    <xf numFmtId="0" fontId="1" fillId="0" borderId="19" xfId="0" applyFont="1" applyBorder="1" applyAlignment="1">
      <alignment horizontal="center"/>
    </xf>
    <xf numFmtId="0" fontId="0" fillId="0" borderId="0" xfId="0" quotePrefix="1"/>
    <xf numFmtId="0" fontId="0" fillId="3" borderId="18" xfId="0" applyFill="1" applyBorder="1" applyAlignment="1">
      <alignment horizontal="center"/>
    </xf>
    <xf numFmtId="0" fontId="0" fillId="0" borderId="118" xfId="0" applyBorder="1" applyProtection="1">
      <protection locked="0"/>
    </xf>
    <xf numFmtId="0" fontId="0" fillId="0" borderId="77" xfId="0" applyBorder="1"/>
    <xf numFmtId="0" fontId="0" fillId="0" borderId="142" xfId="0" applyBorder="1"/>
    <xf numFmtId="0" fontId="0" fillId="0" borderId="143" xfId="0" applyBorder="1"/>
    <xf numFmtId="0" fontId="1" fillId="0" borderId="5" xfId="0" applyFont="1" applyBorder="1"/>
    <xf numFmtId="0" fontId="2" fillId="0" borderId="5" xfId="0" applyFont="1" applyBorder="1" applyAlignment="1">
      <alignment horizontal="right"/>
    </xf>
    <xf numFmtId="0" fontId="1" fillId="0" borderId="5" xfId="0" applyFont="1" applyBorder="1" applyAlignment="1">
      <alignment horizontal="right"/>
    </xf>
    <xf numFmtId="0" fontId="1" fillId="0" borderId="9" xfId="0" applyFont="1" applyBorder="1" applyAlignment="1">
      <alignment horizontal="right"/>
    </xf>
    <xf numFmtId="4" fontId="0" fillId="0" borderId="12" xfId="0" applyNumberFormat="1" applyBorder="1"/>
    <xf numFmtId="4" fontId="0" fillId="0" borderId="13" xfId="0" applyNumberFormat="1" applyBorder="1"/>
    <xf numFmtId="3" fontId="0" fillId="0" borderId="21" xfId="0" applyNumberFormat="1" applyBorder="1" applyAlignment="1">
      <alignment horizontal="center"/>
    </xf>
    <xf numFmtId="3" fontId="0" fillId="5" borderId="145" xfId="0" applyNumberFormat="1" applyFill="1" applyBorder="1" applyAlignment="1">
      <alignment horizontal="center"/>
    </xf>
    <xf numFmtId="3" fontId="0" fillId="3" borderId="145" xfId="0" applyNumberFormat="1" applyFill="1" applyBorder="1" applyAlignment="1">
      <alignment horizontal="center"/>
    </xf>
    <xf numFmtId="3" fontId="0" fillId="5" borderId="118" xfId="0" applyNumberFormat="1" applyFill="1" applyBorder="1" applyAlignment="1" applyProtection="1">
      <alignment horizontal="center"/>
      <protection locked="0"/>
    </xf>
    <xf numFmtId="3" fontId="0" fillId="3" borderId="82" xfId="0" applyNumberFormat="1" applyFill="1" applyBorder="1" applyAlignment="1" applyProtection="1">
      <alignment horizontal="center"/>
      <protection locked="0"/>
    </xf>
    <xf numFmtId="3" fontId="0" fillId="8" borderId="144" xfId="0" applyNumberFormat="1" applyFill="1" applyBorder="1" applyAlignment="1" applyProtection="1">
      <alignment horizontal="center"/>
      <protection locked="0"/>
    </xf>
    <xf numFmtId="3" fontId="0" fillId="2" borderId="144" xfId="0" applyNumberFormat="1" applyFill="1" applyBorder="1" applyAlignment="1" applyProtection="1">
      <alignment horizontal="center"/>
      <protection locked="0"/>
    </xf>
    <xf numFmtId="4" fontId="0" fillId="0" borderId="15" xfId="0" applyNumberFormat="1" applyBorder="1" applyAlignment="1">
      <alignment wrapText="1"/>
    </xf>
    <xf numFmtId="0" fontId="0" fillId="0" borderId="0" xfId="3" applyNumberFormat="1" applyFont="1"/>
    <xf numFmtId="0" fontId="0" fillId="20" borderId="0" xfId="0" applyFill="1"/>
    <xf numFmtId="0" fontId="39" fillId="20" borderId="0" xfId="0" applyFont="1" applyFill="1" applyAlignment="1">
      <alignment horizontal="right"/>
    </xf>
    <xf numFmtId="0" fontId="23" fillId="20" borderId="73" xfId="0" applyFont="1" applyFill="1" applyBorder="1" applyAlignment="1" applyProtection="1">
      <alignment horizontal="center"/>
      <protection locked="0"/>
    </xf>
    <xf numFmtId="0" fontId="25" fillId="0" borderId="0" xfId="0" applyFont="1"/>
    <xf numFmtId="4" fontId="0" fillId="0" borderId="0" xfId="0" applyNumberFormat="1" applyProtection="1">
      <protection locked="0"/>
    </xf>
    <xf numFmtId="0" fontId="0" fillId="0" borderId="0" xfId="0" applyAlignment="1" applyProtection="1">
      <alignment horizontal="right"/>
      <protection locked="0"/>
    </xf>
    <xf numFmtId="4" fontId="0" fillId="0" borderId="37" xfId="0" applyNumberFormat="1" applyBorder="1" applyAlignment="1">
      <alignment horizontal="left"/>
    </xf>
    <xf numFmtId="0" fontId="11" fillId="0" borderId="0" xfId="0" applyFont="1"/>
    <xf numFmtId="0" fontId="14" fillId="0" borderId="0" xfId="0" applyFont="1" applyAlignment="1">
      <alignment horizontal="right"/>
    </xf>
    <xf numFmtId="3" fontId="0" fillId="0" borderId="0" xfId="0" applyNumberFormat="1" applyAlignment="1" applyProtection="1">
      <alignment horizontal="center"/>
      <protection locked="0"/>
    </xf>
    <xf numFmtId="0" fontId="2" fillId="21" borderId="37" xfId="0" applyFont="1" applyFill="1" applyBorder="1" applyAlignment="1">
      <alignment horizontal="center"/>
    </xf>
    <xf numFmtId="4" fontId="0" fillId="21" borderId="37" xfId="0" applyNumberFormat="1" applyFill="1" applyBorder="1"/>
    <xf numFmtId="4" fontId="0" fillId="21" borderId="37" xfId="0" applyNumberFormat="1" applyFill="1" applyBorder="1" applyAlignment="1">
      <alignment horizontal="center"/>
    </xf>
    <xf numFmtId="3" fontId="0" fillId="21" borderId="37" xfId="0" applyNumberFormat="1" applyFill="1" applyBorder="1" applyAlignment="1">
      <alignment horizontal="center"/>
    </xf>
    <xf numFmtId="4" fontId="2" fillId="21" borderId="37" xfId="0" applyNumberFormat="1" applyFont="1" applyFill="1" applyBorder="1" applyAlignment="1">
      <alignment horizontal="center"/>
    </xf>
    <xf numFmtId="4" fontId="0" fillId="0" borderId="16" xfId="0" applyNumberFormat="1" applyBorder="1" applyProtection="1">
      <protection hidden="1"/>
    </xf>
    <xf numFmtId="4" fontId="0" fillId="0" borderId="18" xfId="0" applyNumberFormat="1" applyBorder="1" applyProtection="1">
      <protection hidden="1"/>
    </xf>
    <xf numFmtId="3" fontId="0" fillId="21" borderId="37" xfId="0" applyNumberFormat="1" applyFill="1" applyBorder="1" applyAlignment="1" applyProtection="1">
      <alignment horizontal="right"/>
      <protection hidden="1"/>
    </xf>
    <xf numFmtId="0" fontId="0" fillId="21" borderId="31" xfId="0" applyFill="1" applyBorder="1" applyAlignment="1" applyProtection="1">
      <alignment horizontal="center"/>
      <protection hidden="1"/>
    </xf>
    <xf numFmtId="4" fontId="0" fillId="21" borderId="37" xfId="0" applyNumberFormat="1" applyFill="1" applyBorder="1" applyAlignment="1" applyProtection="1">
      <alignment horizontal="right"/>
      <protection hidden="1"/>
    </xf>
    <xf numFmtId="4" fontId="0" fillId="21" borderId="37" xfId="0" applyNumberFormat="1" applyFill="1" applyBorder="1" applyAlignment="1" applyProtection="1">
      <alignment horizontal="center"/>
      <protection hidden="1"/>
    </xf>
    <xf numFmtId="4" fontId="1" fillId="21" borderId="37" xfId="0" applyNumberFormat="1" applyFont="1" applyFill="1" applyBorder="1" applyAlignment="1" applyProtection="1">
      <alignment horizontal="center"/>
      <protection hidden="1"/>
    </xf>
    <xf numFmtId="0" fontId="0" fillId="21" borderId="33" xfId="0" applyFill="1" applyBorder="1" applyProtection="1">
      <protection hidden="1"/>
    </xf>
    <xf numFmtId="0" fontId="0" fillId="21" borderId="32" xfId="0" applyFill="1" applyBorder="1" applyProtection="1">
      <protection hidden="1"/>
    </xf>
    <xf numFmtId="3" fontId="0" fillId="21" borderId="37" xfId="0" applyNumberFormat="1" applyFill="1" applyBorder="1"/>
    <xf numFmtId="0" fontId="2" fillId="2" borderId="15" xfId="0" applyFont="1" applyFill="1" applyBorder="1"/>
    <xf numFmtId="3" fontId="0" fillId="0" borderId="34" xfId="0" applyNumberFormat="1" applyBorder="1" applyAlignment="1">
      <alignment horizontal="center"/>
    </xf>
    <xf numFmtId="0" fontId="1" fillId="0" borderId="146" xfId="0" applyFont="1" applyBorder="1" applyAlignment="1">
      <alignment horizontal="right"/>
    </xf>
    <xf numFmtId="0" fontId="14" fillId="0" borderId="73" xfId="0" applyFont="1" applyBorder="1" applyAlignment="1" applyProtection="1">
      <alignment horizontal="center"/>
      <protection locked="0"/>
    </xf>
    <xf numFmtId="0" fontId="0" fillId="0" borderId="118" xfId="0" applyBorder="1" applyAlignment="1" applyProtection="1">
      <alignment horizontal="center"/>
      <protection locked="0"/>
    </xf>
    <xf numFmtId="0" fontId="0" fillId="3" borderId="118" xfId="0" applyFill="1" applyBorder="1" applyAlignment="1" applyProtection="1">
      <alignment horizontal="center"/>
      <protection locked="0"/>
    </xf>
    <xf numFmtId="0" fontId="0" fillId="22" borderId="73" xfId="0" applyFill="1" applyBorder="1" applyAlignment="1" applyProtection="1">
      <alignment horizontal="center"/>
      <protection locked="0"/>
    </xf>
    <xf numFmtId="0" fontId="1" fillId="0" borderId="147" xfId="0" applyFont="1" applyBorder="1" applyAlignment="1">
      <alignment vertical="top"/>
    </xf>
    <xf numFmtId="0" fontId="0" fillId="0" borderId="147" xfId="0" applyBorder="1" applyAlignment="1">
      <alignment wrapText="1"/>
    </xf>
    <xf numFmtId="4" fontId="0" fillId="0" borderId="147" xfId="0" applyNumberFormat="1" applyBorder="1"/>
    <xf numFmtId="0" fontId="1" fillId="0" borderId="20"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7" fillId="0" borderId="55" xfId="0" applyFont="1" applyBorder="1" applyAlignment="1">
      <alignment horizontal="center" shrinkToFit="1"/>
    </xf>
    <xf numFmtId="0" fontId="13" fillId="0" borderId="14" xfId="0" applyFont="1" applyBorder="1" applyAlignment="1">
      <alignment horizontal="center"/>
    </xf>
    <xf numFmtId="0" fontId="13" fillId="0" borderId="16" xfId="0" applyFont="1" applyBorder="1" applyAlignment="1">
      <alignment horizontal="center"/>
    </xf>
    <xf numFmtId="0" fontId="13" fillId="0" borderId="19" xfId="0" applyFont="1" applyBorder="1" applyAlignment="1">
      <alignment horizontal="center"/>
    </xf>
    <xf numFmtId="0" fontId="13" fillId="0" borderId="21" xfId="0" applyFont="1" applyBorder="1" applyAlignment="1">
      <alignment horizontal="center"/>
    </xf>
    <xf numFmtId="0" fontId="13" fillId="0" borderId="14" xfId="0" applyFont="1" applyBorder="1" applyAlignment="1">
      <alignment horizontal="center" shrinkToFit="1"/>
    </xf>
    <xf numFmtId="0" fontId="13" fillId="0" borderId="16" xfId="0" applyFont="1" applyBorder="1" applyAlignment="1">
      <alignment horizontal="center" shrinkToFit="1"/>
    </xf>
    <xf numFmtId="0" fontId="13" fillId="0" borderId="19" xfId="0" applyFont="1" applyBorder="1" applyAlignment="1">
      <alignment horizontal="center" shrinkToFit="1"/>
    </xf>
    <xf numFmtId="0" fontId="13" fillId="0" borderId="21" xfId="0" applyFont="1" applyBorder="1" applyAlignment="1">
      <alignment horizontal="center" shrinkToFit="1"/>
    </xf>
    <xf numFmtId="0" fontId="15" fillId="0" borderId="10" xfId="0" applyFont="1" applyBorder="1" applyAlignment="1">
      <alignment horizontal="center" vertical="center"/>
    </xf>
    <xf numFmtId="0" fontId="12" fillId="0" borderId="55" xfId="0" applyFont="1" applyBorder="1" applyAlignment="1">
      <alignment horizontal="center" vertical="center"/>
    </xf>
    <xf numFmtId="0" fontId="14" fillId="0" borderId="21" xfId="0" applyFont="1" applyBorder="1" applyAlignment="1">
      <alignment horizontal="center" shrinkToFit="1"/>
    </xf>
    <xf numFmtId="0" fontId="14" fillId="0" borderId="35" xfId="0" applyFont="1" applyBorder="1" applyAlignment="1">
      <alignment horizontal="center" shrinkToFit="1"/>
    </xf>
    <xf numFmtId="0" fontId="11" fillId="0" borderId="14" xfId="0" applyFont="1" applyBorder="1" applyAlignment="1">
      <alignment horizontal="center" vertical="center" shrinkToFit="1"/>
    </xf>
    <xf numFmtId="0" fontId="11" fillId="0" borderId="15" xfId="0" applyFont="1" applyBorder="1" applyAlignment="1">
      <alignment horizontal="center" vertical="center" shrinkToFit="1"/>
    </xf>
    <xf numFmtId="0" fontId="11" fillId="0" borderId="16" xfId="0" applyFont="1" applyBorder="1" applyAlignment="1">
      <alignment horizontal="center" vertical="center" shrinkToFit="1"/>
    </xf>
    <xf numFmtId="0" fontId="11" fillId="3" borderId="32" xfId="0" applyFont="1" applyFill="1" applyBorder="1" applyAlignment="1">
      <alignment horizontal="center" vertical="center" shrinkToFit="1"/>
    </xf>
    <xf numFmtId="0" fontId="11" fillId="3" borderId="31" xfId="0" applyFont="1" applyFill="1" applyBorder="1" applyAlignment="1">
      <alignment horizontal="center" vertical="center" shrinkToFit="1"/>
    </xf>
    <xf numFmtId="0" fontId="11" fillId="3" borderId="33" xfId="0" applyFont="1" applyFill="1" applyBorder="1" applyAlignment="1">
      <alignment horizontal="center" vertical="center" shrinkToFit="1"/>
    </xf>
    <xf numFmtId="0" fontId="11" fillId="0" borderId="32" xfId="0" applyFont="1" applyBorder="1" applyAlignment="1">
      <alignment horizontal="center" vertical="center" shrinkToFit="1"/>
    </xf>
    <xf numFmtId="0" fontId="11" fillId="0" borderId="31" xfId="0" applyFont="1" applyBorder="1" applyAlignment="1">
      <alignment horizontal="center" vertical="center" shrinkToFit="1"/>
    </xf>
    <xf numFmtId="0" fontId="11" fillId="0" borderId="33" xfId="0" applyFont="1" applyBorder="1" applyAlignment="1">
      <alignment horizontal="center" vertical="center" shrinkToFit="1"/>
    </xf>
    <xf numFmtId="0" fontId="13" fillId="0" borderId="62" xfId="0" applyFont="1" applyBorder="1" applyAlignment="1">
      <alignment horizontal="center" shrinkToFit="1"/>
    </xf>
    <xf numFmtId="0" fontId="13" fillId="0" borderId="56" xfId="0" applyFont="1" applyBorder="1" applyAlignment="1">
      <alignment horizontal="center" shrinkToFit="1"/>
    </xf>
    <xf numFmtId="0" fontId="17" fillId="3" borderId="57" xfId="0" applyFont="1" applyFill="1" applyBorder="1" applyAlignment="1">
      <alignment horizontal="center" shrinkToFit="1"/>
    </xf>
    <xf numFmtId="0" fontId="17" fillId="3" borderId="31" xfId="0" applyFont="1" applyFill="1" applyBorder="1" applyAlignment="1">
      <alignment horizontal="center" shrinkToFit="1"/>
    </xf>
    <xf numFmtId="0" fontId="17" fillId="0" borderId="57" xfId="0" applyFont="1" applyBorder="1" applyAlignment="1">
      <alignment horizontal="center" shrinkToFit="1"/>
    </xf>
    <xf numFmtId="0" fontId="17" fillId="0" borderId="31" xfId="0" applyFont="1" applyBorder="1" applyAlignment="1">
      <alignment horizontal="center" shrinkToFit="1"/>
    </xf>
    <xf numFmtId="0" fontId="8" fillId="0" borderId="33" xfId="0" applyFont="1" applyBorder="1" applyAlignment="1">
      <alignment horizontal="center" shrinkToFit="1"/>
    </xf>
    <xf numFmtId="0" fontId="8" fillId="0" borderId="37" xfId="0" applyFont="1" applyBorder="1" applyAlignment="1">
      <alignment horizontal="center" shrinkToFit="1"/>
    </xf>
    <xf numFmtId="0" fontId="8" fillId="0" borderId="43" xfId="0" applyFont="1" applyBorder="1" applyAlignment="1">
      <alignment horizontal="center" shrinkToFit="1"/>
    </xf>
    <xf numFmtId="0" fontId="15" fillId="0" borderId="55" xfId="0" applyFont="1" applyBorder="1" applyAlignment="1">
      <alignment horizontal="center" vertical="center"/>
    </xf>
    <xf numFmtId="0" fontId="15" fillId="0" borderId="38" xfId="0" applyFont="1" applyBorder="1" applyAlignment="1">
      <alignment horizontal="center" vertical="center"/>
    </xf>
    <xf numFmtId="0" fontId="11" fillId="3" borderId="58" xfId="0" applyFont="1" applyFill="1" applyBorder="1" applyAlignment="1">
      <alignment horizontal="center" vertical="center" shrinkToFit="1"/>
    </xf>
    <xf numFmtId="0" fontId="11" fillId="0" borderId="58" xfId="0" applyFont="1" applyBorder="1" applyAlignment="1">
      <alignment horizontal="center" vertical="center" shrinkToFit="1"/>
    </xf>
    <xf numFmtId="0" fontId="14" fillId="0" borderId="52" xfId="0" applyFont="1" applyBorder="1" applyAlignment="1">
      <alignment horizontal="center" shrinkToFit="1"/>
    </xf>
    <xf numFmtId="0" fontId="14" fillId="0" borderId="45" xfId="0" applyFont="1" applyBorder="1" applyAlignment="1">
      <alignment horizontal="center" shrinkToFit="1"/>
    </xf>
    <xf numFmtId="0" fontId="14" fillId="0" borderId="46" xfId="0" applyFont="1" applyBorder="1" applyAlignment="1">
      <alignment horizontal="center" shrinkToFit="1"/>
    </xf>
    <xf numFmtId="0" fontId="16" fillId="3" borderId="33" xfId="0" applyFont="1" applyFill="1" applyBorder="1" applyAlignment="1">
      <alignment horizontal="center" shrinkToFit="1"/>
    </xf>
    <xf numFmtId="0" fontId="16" fillId="3" borderId="37" xfId="0" applyFont="1" applyFill="1" applyBorder="1" applyAlignment="1">
      <alignment horizontal="center" shrinkToFit="1"/>
    </xf>
    <xf numFmtId="0" fontId="16" fillId="3" borderId="43" xfId="0" applyFont="1" applyFill="1" applyBorder="1" applyAlignment="1">
      <alignment horizontal="center" shrinkToFit="1"/>
    </xf>
    <xf numFmtId="0" fontId="11" fillId="3" borderId="57" xfId="0" applyFont="1" applyFill="1" applyBorder="1" applyAlignment="1">
      <alignment horizontal="center" vertical="center" shrinkToFit="1"/>
    </xf>
    <xf numFmtId="0" fontId="11" fillId="0" borderId="57" xfId="0" applyFont="1" applyBorder="1" applyAlignment="1">
      <alignment horizontal="center" vertical="center" shrinkToFit="1"/>
    </xf>
    <xf numFmtId="0" fontId="11" fillId="0" borderId="92" xfId="0" applyFont="1" applyBorder="1" applyAlignment="1">
      <alignment horizontal="center" vertical="center" shrinkToFit="1"/>
    </xf>
    <xf numFmtId="0" fontId="11" fillId="0" borderId="19" xfId="0" applyFont="1" applyBorder="1" applyAlignment="1">
      <alignment horizontal="center" vertical="center" shrinkToFit="1"/>
    </xf>
    <xf numFmtId="0" fontId="11" fillId="0" borderId="20" xfId="0" applyFont="1" applyBorder="1" applyAlignment="1">
      <alignment horizontal="center" vertical="center" shrinkToFit="1"/>
    </xf>
    <xf numFmtId="0" fontId="11" fillId="0" borderId="90" xfId="0" applyFont="1" applyBorder="1" applyAlignment="1">
      <alignment horizontal="center" vertical="center" shrinkToFit="1"/>
    </xf>
    <xf numFmtId="0" fontId="0" fillId="0" borderId="57" xfId="0" applyBorder="1" applyAlignment="1">
      <alignment horizontal="center" shrinkToFit="1"/>
    </xf>
    <xf numFmtId="0" fontId="0" fillId="0" borderId="31" xfId="0" applyBorder="1" applyAlignment="1">
      <alignment horizontal="center" shrinkToFit="1"/>
    </xf>
    <xf numFmtId="0" fontId="0" fillId="0" borderId="58" xfId="0" applyBorder="1" applyAlignment="1">
      <alignment horizontal="center" shrinkToFit="1"/>
    </xf>
    <xf numFmtId="0" fontId="0" fillId="3" borderId="57" xfId="0" applyFill="1" applyBorder="1" applyAlignment="1">
      <alignment horizontal="center" shrinkToFit="1"/>
    </xf>
    <xf numFmtId="0" fontId="0" fillId="3" borderId="31" xfId="0" applyFill="1" applyBorder="1" applyAlignment="1">
      <alignment horizontal="center" shrinkToFit="1"/>
    </xf>
    <xf numFmtId="0" fontId="0" fillId="3" borderId="58" xfId="0" applyFill="1" applyBorder="1" applyAlignment="1">
      <alignment horizontal="center" shrinkToFit="1"/>
    </xf>
    <xf numFmtId="0" fontId="14" fillId="0" borderId="54" xfId="0" applyFont="1" applyBorder="1" applyAlignment="1">
      <alignment horizontal="center" shrinkToFit="1"/>
    </xf>
    <xf numFmtId="0" fontId="9" fillId="0" borderId="0" xfId="0" applyFont="1" applyAlignment="1">
      <alignment horizontal="left" vertical="center"/>
    </xf>
    <xf numFmtId="0" fontId="9" fillId="0" borderId="0" xfId="0" applyFont="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shrinkToFit="1"/>
    </xf>
    <xf numFmtId="0" fontId="0" fillId="0" borderId="8" xfId="0" applyBorder="1" applyAlignment="1">
      <alignment horizontal="center"/>
    </xf>
    <xf numFmtId="0" fontId="11" fillId="3" borderId="57" xfId="0" applyFont="1" applyFill="1" applyBorder="1" applyAlignment="1">
      <alignment horizontal="center"/>
    </xf>
    <xf numFmtId="0" fontId="11" fillId="3" borderId="31" xfId="0" applyFont="1" applyFill="1" applyBorder="1" applyAlignment="1">
      <alignment horizontal="center"/>
    </xf>
    <xf numFmtId="0" fontId="11" fillId="3" borderId="58" xfId="0" applyFont="1" applyFill="1" applyBorder="1" applyAlignment="1">
      <alignment horizontal="center"/>
    </xf>
    <xf numFmtId="0" fontId="11" fillId="0" borderId="57" xfId="0" applyFont="1" applyBorder="1" applyAlignment="1">
      <alignment horizontal="center"/>
    </xf>
    <xf numFmtId="0" fontId="11" fillId="0" borderId="31" xfId="0" applyFont="1" applyBorder="1" applyAlignment="1">
      <alignment horizontal="center"/>
    </xf>
    <xf numFmtId="0" fontId="11" fillId="0" borderId="58" xfId="0" applyFont="1" applyBorder="1" applyAlignment="1">
      <alignment horizontal="center"/>
    </xf>
    <xf numFmtId="0" fontId="11" fillId="3" borderId="64" xfId="0" applyFont="1" applyFill="1" applyBorder="1" applyAlignment="1">
      <alignment horizontal="center" shrinkToFit="1"/>
    </xf>
    <xf numFmtId="0" fontId="11" fillId="3" borderId="65" xfId="0" applyFont="1" applyFill="1" applyBorder="1" applyAlignment="1">
      <alignment horizontal="center" shrinkToFit="1"/>
    </xf>
    <xf numFmtId="0" fontId="11" fillId="3" borderId="66" xfId="0" applyFont="1" applyFill="1" applyBorder="1" applyAlignment="1">
      <alignment horizontal="center" shrinkToFit="1"/>
    </xf>
    <xf numFmtId="0" fontId="11" fillId="0" borderId="57" xfId="0" applyFont="1" applyBorder="1" applyAlignment="1">
      <alignment horizontal="center" shrinkToFit="1"/>
    </xf>
    <xf numFmtId="0" fontId="11" fillId="0" borderId="31" xfId="0" applyFont="1" applyBorder="1" applyAlignment="1">
      <alignment horizontal="center" shrinkToFit="1"/>
    </xf>
    <xf numFmtId="0" fontId="11" fillId="0" borderId="58" xfId="0" applyFont="1" applyBorder="1" applyAlignment="1">
      <alignment horizontal="center" shrinkToFit="1"/>
    </xf>
    <xf numFmtId="0" fontId="11" fillId="3" borderId="57" xfId="0" applyFont="1" applyFill="1" applyBorder="1" applyAlignment="1">
      <alignment horizontal="center" shrinkToFit="1"/>
    </xf>
    <xf numFmtId="0" fontId="11" fillId="3" borderId="31" xfId="0" applyFont="1" applyFill="1" applyBorder="1" applyAlignment="1">
      <alignment horizontal="center" shrinkToFit="1"/>
    </xf>
    <xf numFmtId="0" fontId="11" fillId="3" borderId="58" xfId="0" applyFont="1" applyFill="1" applyBorder="1" applyAlignment="1">
      <alignment horizontal="center" shrinkToFit="1"/>
    </xf>
    <xf numFmtId="0" fontId="1" fillId="0" borderId="42" xfId="0" applyFont="1" applyBorder="1" applyAlignment="1">
      <alignment horizontal="center" shrinkToFit="1"/>
    </xf>
    <xf numFmtId="0" fontId="1" fillId="0" borderId="37" xfId="0" applyFont="1" applyBorder="1" applyAlignment="1">
      <alignment horizontal="center" shrinkToFit="1"/>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0" fontId="13" fillId="3" borderId="14" xfId="0" applyFont="1" applyFill="1" applyBorder="1" applyAlignment="1">
      <alignment horizontal="center" vertical="center" shrinkToFit="1"/>
    </xf>
    <xf numFmtId="0" fontId="13" fillId="3" borderId="15" xfId="0" applyFont="1" applyFill="1" applyBorder="1" applyAlignment="1">
      <alignment horizontal="center" vertical="center" shrinkToFit="1"/>
    </xf>
    <xf numFmtId="0" fontId="13" fillId="3" borderId="16" xfId="0" applyFont="1" applyFill="1" applyBorder="1" applyAlignment="1">
      <alignment horizontal="center" vertical="center" shrinkToFit="1"/>
    </xf>
    <xf numFmtId="0" fontId="13" fillId="3" borderId="19" xfId="0" applyFont="1" applyFill="1" applyBorder="1" applyAlignment="1">
      <alignment horizontal="center" vertical="center" shrinkToFit="1"/>
    </xf>
    <xf numFmtId="0" fontId="13" fillId="3" borderId="20" xfId="0" applyFont="1" applyFill="1" applyBorder="1" applyAlignment="1">
      <alignment horizontal="center" vertical="center" shrinkToFit="1"/>
    </xf>
    <xf numFmtId="0" fontId="13" fillId="3" borderId="21" xfId="0" applyFont="1" applyFill="1" applyBorder="1" applyAlignment="1">
      <alignment horizontal="center" vertical="center" shrinkToFit="1"/>
    </xf>
    <xf numFmtId="0" fontId="29" fillId="0" borderId="95" xfId="0" applyFont="1" applyBorder="1" applyAlignment="1">
      <alignment horizontal="center" vertical="center" shrinkToFit="1"/>
    </xf>
    <xf numFmtId="0" fontId="29" fillId="0" borderId="96" xfId="0" applyFont="1" applyBorder="1" applyAlignment="1">
      <alignment horizontal="center" vertical="center" shrinkToFit="1"/>
    </xf>
    <xf numFmtId="0" fontId="11" fillId="0" borderId="91" xfId="0" applyFont="1" applyBorder="1" applyAlignment="1">
      <alignment horizontal="center" shrinkToFit="1"/>
    </xf>
    <xf numFmtId="0" fontId="11" fillId="0" borderId="15" xfId="0" applyFont="1" applyBorder="1" applyAlignment="1">
      <alignment horizontal="center" shrinkToFit="1"/>
    </xf>
    <xf numFmtId="0" fontId="11" fillId="0" borderId="92" xfId="0" applyFont="1" applyBorder="1" applyAlignment="1">
      <alignment horizontal="center" shrinkToFit="1"/>
    </xf>
    <xf numFmtId="0" fontId="11" fillId="0" borderId="89" xfId="0" applyFont="1" applyBorder="1" applyAlignment="1">
      <alignment horizontal="center" shrinkToFit="1"/>
    </xf>
    <xf numFmtId="0" fontId="11" fillId="0" borderId="20" xfId="0" applyFont="1" applyBorder="1" applyAlignment="1">
      <alignment horizontal="center" shrinkToFit="1"/>
    </xf>
    <xf numFmtId="0" fontId="11" fillId="0" borderId="90" xfId="0" applyFont="1" applyBorder="1" applyAlignment="1">
      <alignment horizontal="center" shrinkToFit="1"/>
    </xf>
    <xf numFmtId="0" fontId="17" fillId="3" borderId="91" xfId="0" applyFont="1" applyFill="1" applyBorder="1" applyAlignment="1">
      <alignment horizontal="center" shrinkToFit="1"/>
    </xf>
    <xf numFmtId="0" fontId="17" fillId="3" borderId="15" xfId="0" applyFont="1" applyFill="1" applyBorder="1" applyAlignment="1">
      <alignment horizontal="center" shrinkToFit="1"/>
    </xf>
    <xf numFmtId="0" fontId="17" fillId="3" borderId="89" xfId="0" applyFont="1" applyFill="1" applyBorder="1" applyAlignment="1">
      <alignment horizontal="center" shrinkToFit="1"/>
    </xf>
    <xf numFmtId="0" fontId="17" fillId="3" borderId="20" xfId="0" applyFont="1" applyFill="1" applyBorder="1" applyAlignment="1">
      <alignment horizontal="center" shrinkToFit="1"/>
    </xf>
    <xf numFmtId="0" fontId="8" fillId="3" borderId="15" xfId="0" applyFont="1" applyFill="1" applyBorder="1" applyAlignment="1">
      <alignment horizontal="center" shrinkToFit="1"/>
    </xf>
    <xf numFmtId="0" fontId="8" fillId="3" borderId="92" xfId="0" applyFont="1" applyFill="1" applyBorder="1" applyAlignment="1">
      <alignment horizontal="center" shrinkToFit="1"/>
    </xf>
    <xf numFmtId="0" fontId="8" fillId="3" borderId="20" xfId="0" applyFont="1" applyFill="1" applyBorder="1" applyAlignment="1">
      <alignment horizontal="center" shrinkToFit="1"/>
    </xf>
    <xf numFmtId="0" fontId="8" fillId="3" borderId="90" xfId="0" applyFont="1" applyFill="1" applyBorder="1" applyAlignment="1">
      <alignment horizontal="center" shrinkToFit="1"/>
    </xf>
    <xf numFmtId="9" fontId="29" fillId="0" borderId="96" xfId="0" applyNumberFormat="1" applyFont="1" applyBorder="1" applyAlignment="1">
      <alignment horizontal="center" vertical="center" shrinkToFit="1"/>
    </xf>
    <xf numFmtId="0" fontId="17" fillId="0" borderId="91" xfId="0" applyFont="1" applyBorder="1" applyAlignment="1">
      <alignment horizontal="center" shrinkToFit="1"/>
    </xf>
    <xf numFmtId="0" fontId="17" fillId="0" borderId="15" xfId="0" applyFont="1" applyBorder="1" applyAlignment="1">
      <alignment horizontal="center" shrinkToFit="1"/>
    </xf>
    <xf numFmtId="0" fontId="17" fillId="0" borderId="89" xfId="0" applyFont="1" applyBorder="1" applyAlignment="1">
      <alignment horizontal="center" shrinkToFit="1"/>
    </xf>
    <xf numFmtId="0" fontId="17" fillId="0" borderId="20" xfId="0" applyFont="1" applyBorder="1" applyAlignment="1">
      <alignment horizontal="center" shrinkToFit="1"/>
    </xf>
    <xf numFmtId="0" fontId="16" fillId="0" borderId="15" xfId="0" applyFont="1" applyBorder="1" applyAlignment="1">
      <alignment horizontal="center" shrinkToFit="1"/>
    </xf>
    <xf numFmtId="0" fontId="16" fillId="0" borderId="92" xfId="0" applyFont="1" applyBorder="1" applyAlignment="1">
      <alignment horizontal="center" shrinkToFit="1"/>
    </xf>
    <xf numFmtId="0" fontId="16" fillId="0" borderId="20" xfId="0" applyFont="1" applyBorder="1" applyAlignment="1">
      <alignment horizontal="center" shrinkToFit="1"/>
    </xf>
    <xf numFmtId="0" fontId="16" fillId="0" borderId="90" xfId="0" applyFont="1" applyBorder="1" applyAlignment="1">
      <alignment horizontal="center" shrinkToFit="1"/>
    </xf>
    <xf numFmtId="0" fontId="11" fillId="0" borderId="91" xfId="0" applyFont="1" applyBorder="1" applyAlignment="1">
      <alignment horizontal="center" vertical="center" shrinkToFit="1"/>
    </xf>
    <xf numFmtId="0" fontId="11" fillId="0" borderId="89" xfId="0" applyFont="1" applyBorder="1" applyAlignment="1">
      <alignment horizontal="center" vertical="center" shrinkToFit="1"/>
    </xf>
    <xf numFmtId="0" fontId="11" fillId="0" borderId="21" xfId="0" applyFont="1" applyBorder="1" applyAlignment="1">
      <alignment horizontal="center" vertical="center" shrinkToFit="1"/>
    </xf>
    <xf numFmtId="0" fontId="11" fillId="0" borderId="62" xfId="0" applyFont="1" applyBorder="1" applyAlignment="1">
      <alignment horizontal="center" shrinkToFit="1"/>
    </xf>
    <xf numFmtId="0" fontId="11" fillId="0" borderId="56" xfId="0" applyFont="1" applyBorder="1" applyAlignment="1">
      <alignment horizontal="center" shrinkToFit="1"/>
    </xf>
    <xf numFmtId="0" fontId="11" fillId="0" borderId="63" xfId="0" applyFont="1" applyBorder="1" applyAlignment="1">
      <alignment horizontal="center" shrinkToFit="1"/>
    </xf>
    <xf numFmtId="0" fontId="11" fillId="3" borderId="89" xfId="0" applyFont="1" applyFill="1" applyBorder="1" applyAlignment="1">
      <alignment horizontal="center" vertical="center" shrinkToFit="1"/>
    </xf>
    <xf numFmtId="0" fontId="11" fillId="3" borderId="20" xfId="0" applyFont="1" applyFill="1" applyBorder="1" applyAlignment="1">
      <alignment horizontal="center" vertical="center" shrinkToFit="1"/>
    </xf>
    <xf numFmtId="0" fontId="11" fillId="3" borderId="21" xfId="0" applyFont="1" applyFill="1" applyBorder="1" applyAlignment="1">
      <alignment horizontal="center" vertical="center" shrinkToFit="1"/>
    </xf>
    <xf numFmtId="0" fontId="11" fillId="3" borderId="19" xfId="0" applyFont="1" applyFill="1" applyBorder="1" applyAlignment="1">
      <alignment horizontal="center" vertical="center" shrinkToFit="1"/>
    </xf>
    <xf numFmtId="0" fontId="19" fillId="0" borderId="10" xfId="0" applyFont="1" applyBorder="1" applyAlignment="1">
      <alignment horizontal="center" vertical="center"/>
    </xf>
    <xf numFmtId="0" fontId="19" fillId="0" borderId="55" xfId="0" applyFont="1" applyBorder="1" applyAlignment="1">
      <alignment horizontal="center" vertical="center"/>
    </xf>
    <xf numFmtId="0" fontId="19" fillId="0" borderId="38" xfId="0" applyFont="1" applyBorder="1" applyAlignment="1">
      <alignment horizontal="center" vertical="center"/>
    </xf>
    <xf numFmtId="0" fontId="0" fillId="0" borderId="62" xfId="0" applyBorder="1" applyAlignment="1">
      <alignment horizontal="center" shrinkToFit="1"/>
    </xf>
    <xf numFmtId="0" fontId="0" fillId="0" borderId="56" xfId="0" applyBorder="1" applyAlignment="1">
      <alignment horizontal="center" shrinkToFit="1"/>
    </xf>
    <xf numFmtId="0" fontId="0" fillId="0" borderId="63" xfId="0" applyBorder="1" applyAlignment="1">
      <alignment horizontal="center" shrinkToFit="1"/>
    </xf>
    <xf numFmtId="0" fontId="11" fillId="0" borderId="62" xfId="0" applyFont="1" applyBorder="1" applyAlignment="1">
      <alignment horizontal="center"/>
    </xf>
    <xf numFmtId="0" fontId="11" fillId="0" borderId="56" xfId="0" applyFont="1" applyBorder="1" applyAlignment="1">
      <alignment horizontal="center"/>
    </xf>
    <xf numFmtId="0" fontId="11" fillId="0" borderId="63" xfId="0" applyFont="1" applyBorder="1" applyAlignment="1">
      <alignment horizontal="center"/>
    </xf>
    <xf numFmtId="0" fontId="13" fillId="3" borderId="91" xfId="0" applyFont="1" applyFill="1" applyBorder="1" applyAlignment="1">
      <alignment horizontal="center" vertical="center" shrinkToFit="1"/>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28" fillId="0" borderId="90" xfId="0" applyFont="1" applyBorder="1" applyAlignment="1">
      <alignment horizontal="center" vertical="center" shrinkToFit="1"/>
    </xf>
    <xf numFmtId="0" fontId="0" fillId="3" borderId="14" xfId="0" applyFill="1" applyBorder="1" applyAlignment="1">
      <alignment horizontal="center" vertical="center" shrinkToFit="1"/>
    </xf>
    <xf numFmtId="0" fontId="0" fillId="3" borderId="15" xfId="0" applyFill="1" applyBorder="1" applyAlignment="1">
      <alignment horizontal="center" vertical="center" shrinkToFit="1"/>
    </xf>
    <xf numFmtId="0" fontId="0" fillId="3" borderId="16"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91" xfId="0" applyFill="1" applyBorder="1" applyAlignment="1">
      <alignment horizontal="center" shrinkToFit="1"/>
    </xf>
    <xf numFmtId="0" fontId="0" fillId="3" borderId="15" xfId="0" applyFill="1" applyBorder="1" applyAlignment="1">
      <alignment horizontal="center" shrinkToFit="1"/>
    </xf>
    <xf numFmtId="0" fontId="0" fillId="3" borderId="92" xfId="0" applyFill="1" applyBorder="1" applyAlignment="1">
      <alignment horizontal="center" shrinkToFit="1"/>
    </xf>
    <xf numFmtId="0" fontId="0" fillId="3" borderId="89" xfId="0" applyFill="1" applyBorder="1" applyAlignment="1">
      <alignment horizontal="center" shrinkToFit="1"/>
    </xf>
    <xf numFmtId="0" fontId="0" fillId="3" borderId="20" xfId="0" applyFill="1" applyBorder="1" applyAlignment="1">
      <alignment horizontal="center" shrinkToFit="1"/>
    </xf>
    <xf numFmtId="0" fontId="0" fillId="3" borderId="90" xfId="0" applyFill="1" applyBorder="1" applyAlignment="1">
      <alignment horizontal="center" shrinkToFit="1"/>
    </xf>
    <xf numFmtId="0" fontId="11" fillId="3" borderId="91" xfId="0" applyFont="1" applyFill="1" applyBorder="1" applyAlignment="1">
      <alignment horizontal="center"/>
    </xf>
    <xf numFmtId="0" fontId="11" fillId="3" borderId="15" xfId="0" applyFont="1" applyFill="1" applyBorder="1" applyAlignment="1">
      <alignment horizontal="center"/>
    </xf>
    <xf numFmtId="0" fontId="11" fillId="3" borderId="92" xfId="0" applyFont="1" applyFill="1" applyBorder="1" applyAlignment="1">
      <alignment horizontal="center"/>
    </xf>
    <xf numFmtId="0" fontId="11" fillId="3" borderId="89" xfId="0" applyFont="1" applyFill="1" applyBorder="1" applyAlignment="1">
      <alignment horizontal="center"/>
    </xf>
    <xf numFmtId="0" fontId="11" fillId="3" borderId="20" xfId="0" applyFont="1" applyFill="1" applyBorder="1" applyAlignment="1">
      <alignment horizontal="center"/>
    </xf>
    <xf numFmtId="0" fontId="11" fillId="3" borderId="90" xfId="0" applyFont="1" applyFill="1" applyBorder="1" applyAlignment="1">
      <alignment horizontal="center"/>
    </xf>
    <xf numFmtId="0" fontId="11" fillId="3" borderId="91" xfId="0" applyFont="1" applyFill="1" applyBorder="1" applyAlignment="1">
      <alignment horizontal="center" shrinkToFit="1"/>
    </xf>
    <xf numFmtId="0" fontId="11" fillId="3" borderId="15" xfId="0" applyFont="1" applyFill="1" applyBorder="1" applyAlignment="1">
      <alignment horizontal="center" shrinkToFit="1"/>
    </xf>
    <xf numFmtId="0" fontId="11" fillId="3" borderId="92" xfId="0" applyFont="1" applyFill="1" applyBorder="1" applyAlignment="1">
      <alignment horizontal="center" shrinkToFit="1"/>
    </xf>
    <xf numFmtId="0" fontId="11" fillId="3" borderId="89" xfId="0" applyFont="1" applyFill="1" applyBorder="1" applyAlignment="1">
      <alignment horizontal="center" shrinkToFit="1"/>
    </xf>
    <xf numFmtId="0" fontId="11" fillId="3" borderId="20" xfId="0" applyFont="1" applyFill="1" applyBorder="1" applyAlignment="1">
      <alignment horizontal="center" shrinkToFit="1"/>
    </xf>
    <xf numFmtId="0" fontId="11" fillId="3" borderId="90" xfId="0" applyFont="1" applyFill="1" applyBorder="1" applyAlignment="1">
      <alignment horizontal="center" shrinkToFit="1"/>
    </xf>
    <xf numFmtId="0" fontId="11" fillId="0" borderId="91" xfId="0" applyFont="1" applyBorder="1" applyAlignment="1">
      <alignment horizontal="center"/>
    </xf>
    <xf numFmtId="0" fontId="11" fillId="0" borderId="15" xfId="0" applyFont="1" applyBorder="1" applyAlignment="1">
      <alignment horizontal="center"/>
    </xf>
    <xf numFmtId="0" fontId="11" fillId="0" borderId="92" xfId="0" applyFont="1" applyBorder="1" applyAlignment="1">
      <alignment horizontal="center"/>
    </xf>
    <xf numFmtId="0" fontId="11" fillId="0" borderId="89" xfId="0" applyFont="1" applyBorder="1" applyAlignment="1">
      <alignment horizontal="center"/>
    </xf>
    <xf numFmtId="0" fontId="11" fillId="0" borderId="20" xfId="0" applyFont="1" applyBorder="1" applyAlignment="1">
      <alignment horizontal="center"/>
    </xf>
    <xf numFmtId="0" fontId="11" fillId="0" borderId="90" xfId="0" applyFont="1" applyBorder="1" applyAlignment="1">
      <alignment horizontal="center"/>
    </xf>
    <xf numFmtId="0" fontId="0" fillId="3" borderId="92" xfId="0" applyFill="1" applyBorder="1" applyAlignment="1">
      <alignment horizontal="center" vertical="center" shrinkToFit="1"/>
    </xf>
    <xf numFmtId="0" fontId="0" fillId="3" borderId="90" xfId="0" applyFill="1" applyBorder="1" applyAlignment="1">
      <alignment horizontal="center" vertical="center" shrinkToFit="1"/>
    </xf>
    <xf numFmtId="0" fontId="29" fillId="0" borderId="97" xfId="0" applyFont="1" applyBorder="1" applyAlignment="1">
      <alignment horizontal="center" vertical="center" shrinkToFit="1"/>
    </xf>
    <xf numFmtId="0" fontId="29" fillId="3" borderId="19" xfId="0" applyFont="1" applyFill="1" applyBorder="1" applyAlignment="1">
      <alignment horizontal="center" vertical="center" shrinkToFit="1"/>
    </xf>
    <xf numFmtId="0" fontId="29" fillId="3" borderId="20" xfId="0" applyFont="1" applyFill="1" applyBorder="1" applyAlignment="1">
      <alignment horizontal="center" vertical="center" shrinkToFit="1"/>
    </xf>
    <xf numFmtId="0" fontId="29" fillId="3" borderId="21" xfId="0" applyFont="1" applyFill="1" applyBorder="1" applyAlignment="1">
      <alignment horizontal="center" vertical="center" shrinkToFit="1"/>
    </xf>
    <xf numFmtId="0" fontId="0" fillId="0" borderId="91" xfId="0" applyBorder="1" applyAlignment="1">
      <alignment horizontal="center" shrinkToFit="1"/>
    </xf>
    <xf numFmtId="0" fontId="0" fillId="0" borderId="15" xfId="0" applyBorder="1" applyAlignment="1">
      <alignment horizontal="center" shrinkToFit="1"/>
    </xf>
    <xf numFmtId="0" fontId="0" fillId="0" borderId="92" xfId="0" applyBorder="1" applyAlignment="1">
      <alignment horizontal="center" shrinkToFit="1"/>
    </xf>
    <xf numFmtId="0" fontId="0" fillId="0" borderId="89" xfId="0" applyBorder="1" applyAlignment="1">
      <alignment horizontal="center" shrinkToFit="1"/>
    </xf>
    <xf numFmtId="0" fontId="0" fillId="0" borderId="20" xfId="0" applyBorder="1" applyAlignment="1">
      <alignment horizontal="center" shrinkToFit="1"/>
    </xf>
    <xf numFmtId="0" fontId="0" fillId="0" borderId="90" xfId="0" applyBorder="1" applyAlignment="1">
      <alignment horizontal="center" shrinkToFit="1"/>
    </xf>
    <xf numFmtId="0" fontId="1" fillId="0" borderId="31" xfId="0" applyFont="1" applyBorder="1" applyAlignment="1">
      <alignment horizontal="center" shrinkToFit="1"/>
    </xf>
    <xf numFmtId="0" fontId="1" fillId="0" borderId="58" xfId="0" applyFont="1" applyBorder="1" applyAlignment="1">
      <alignment horizontal="center" shrinkToFit="1"/>
    </xf>
    <xf numFmtId="0" fontId="0" fillId="0" borderId="32" xfId="0" applyBorder="1" applyAlignment="1">
      <alignment horizontal="center" vertical="center" shrinkToFit="1"/>
    </xf>
    <xf numFmtId="0" fontId="0" fillId="0" borderId="31" xfId="0" applyBorder="1" applyAlignment="1">
      <alignment horizontal="center" vertical="center" shrinkToFit="1"/>
    </xf>
    <xf numFmtId="0" fontId="0" fillId="0" borderId="58" xfId="0" applyBorder="1" applyAlignment="1">
      <alignment horizontal="center" vertical="center" shrinkToFit="1"/>
    </xf>
    <xf numFmtId="0" fontId="29" fillId="0" borderId="34" xfId="0" applyFont="1" applyBorder="1" applyAlignment="1">
      <alignment horizontal="center" vertical="center" shrinkToFit="1"/>
    </xf>
    <xf numFmtId="0" fontId="29" fillId="0" borderId="94" xfId="0" applyFont="1" applyBorder="1" applyAlignment="1">
      <alignment horizontal="center" vertical="center" shrinkToFit="1"/>
    </xf>
    <xf numFmtId="0" fontId="13" fillId="3" borderId="92" xfId="0" applyFont="1" applyFill="1" applyBorder="1" applyAlignment="1">
      <alignment horizontal="center" vertical="center" shrinkToFit="1"/>
    </xf>
    <xf numFmtId="0" fontId="28" fillId="3" borderId="19" xfId="0" applyFont="1" applyFill="1" applyBorder="1" applyAlignment="1">
      <alignment horizontal="center" vertical="center" shrinkToFit="1"/>
    </xf>
    <xf numFmtId="0" fontId="28" fillId="3" borderId="20" xfId="0" applyFont="1" applyFill="1" applyBorder="1" applyAlignment="1">
      <alignment horizontal="center" vertical="center" shrinkToFit="1"/>
    </xf>
    <xf numFmtId="0" fontId="28" fillId="3" borderId="21" xfId="0" applyFont="1" applyFill="1" applyBorder="1" applyAlignment="1">
      <alignment horizontal="center" vertical="center" shrinkToFit="1"/>
    </xf>
    <xf numFmtId="0" fontId="28" fillId="3" borderId="90" xfId="0" applyFont="1" applyFill="1" applyBorder="1" applyAlignment="1">
      <alignment horizontal="center" vertical="center" shrinkToFit="1"/>
    </xf>
    <xf numFmtId="0" fontId="18" fillId="0" borderId="57" xfId="0" applyFont="1" applyBorder="1" applyAlignment="1">
      <alignment horizontal="center" shrinkToFit="1"/>
    </xf>
    <xf numFmtId="0" fontId="18" fillId="0" borderId="31" xfId="0" applyFont="1" applyBorder="1" applyAlignment="1">
      <alignment horizontal="center" shrinkToFit="1"/>
    </xf>
    <xf numFmtId="0" fontId="0" fillId="0" borderId="33" xfId="0" applyBorder="1" applyAlignment="1">
      <alignment horizontal="center" vertical="center" shrinkToFit="1"/>
    </xf>
    <xf numFmtId="0" fontId="8" fillId="0" borderId="3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3" xfId="0" applyFont="1" applyBorder="1" applyAlignment="1">
      <alignment horizontal="center" vertical="center" shrinkToFit="1"/>
    </xf>
    <xf numFmtId="0" fontId="0" fillId="0" borderId="42" xfId="0" applyBorder="1" applyAlignment="1">
      <alignment horizontal="center" shrinkToFit="1"/>
    </xf>
    <xf numFmtId="0" fontId="0" fillId="0" borderId="37" xfId="0" applyBorder="1" applyAlignment="1">
      <alignment horizontal="center" shrinkToFit="1"/>
    </xf>
    <xf numFmtId="0" fontId="1" fillId="0" borderId="5" xfId="0" applyFont="1" applyBorder="1" applyAlignment="1">
      <alignment horizontal="center" shrinkToFit="1"/>
    </xf>
    <xf numFmtId="0" fontId="1" fillId="0" borderId="0" xfId="0" applyFont="1" applyAlignment="1">
      <alignment horizontal="center" shrinkToFit="1"/>
    </xf>
    <xf numFmtId="0" fontId="1" fillId="0" borderId="12" xfId="0" applyFont="1" applyBorder="1" applyAlignment="1">
      <alignment horizontal="center" shrinkToFit="1"/>
    </xf>
    <xf numFmtId="0" fontId="0" fillId="0" borderId="43" xfId="0" applyBorder="1" applyAlignment="1">
      <alignment horizontal="center" shrinkToFit="1"/>
    </xf>
    <xf numFmtId="0" fontId="0" fillId="0" borderId="48" xfId="0" applyBorder="1" applyAlignment="1">
      <alignment horizontal="center" shrinkToFit="1"/>
    </xf>
    <xf numFmtId="0" fontId="0" fillId="0" borderId="49" xfId="0" applyBorder="1" applyAlignment="1">
      <alignment horizontal="center" shrinkToFit="1"/>
    </xf>
    <xf numFmtId="0" fontId="0" fillId="0" borderId="35" xfId="0" applyBorder="1" applyAlignment="1">
      <alignment horizontal="center" shrinkToFit="1"/>
    </xf>
    <xf numFmtId="0" fontId="0" fillId="0" borderId="54" xfId="0" applyBorder="1" applyAlignment="1">
      <alignment horizontal="center" shrinkToFit="1"/>
    </xf>
    <xf numFmtId="0" fontId="1" fillId="0" borderId="47" xfId="0" applyFont="1" applyBorder="1" applyAlignment="1">
      <alignment horizontal="center" shrinkToFit="1"/>
    </xf>
    <xf numFmtId="0" fontId="1" fillId="0" borderId="48" xfId="0" applyFont="1" applyBorder="1" applyAlignment="1">
      <alignment horizontal="center" shrinkToFit="1"/>
    </xf>
    <xf numFmtId="0" fontId="1" fillId="0" borderId="1" xfId="0" applyFont="1" applyBorder="1" applyAlignment="1">
      <alignment horizontal="center" shrinkToFit="1"/>
    </xf>
    <xf numFmtId="0" fontId="1" fillId="0" borderId="60" xfId="0" applyFont="1" applyBorder="1" applyAlignment="1">
      <alignment horizontal="center" shrinkToFit="1"/>
    </xf>
    <xf numFmtId="0" fontId="1" fillId="0" borderId="61" xfId="0" applyFont="1" applyBorder="1" applyAlignment="1">
      <alignment horizontal="center" shrinkToFit="1"/>
    </xf>
    <xf numFmtId="0" fontId="0" fillId="0" borderId="45" xfId="0" applyBorder="1" applyAlignment="1">
      <alignment horizontal="center" shrinkToFit="1"/>
    </xf>
    <xf numFmtId="0" fontId="0" fillId="0" borderId="46" xfId="0" applyBorder="1" applyAlignment="1">
      <alignment horizontal="center" shrinkToFit="1"/>
    </xf>
    <xf numFmtId="0" fontId="29" fillId="3" borderId="89" xfId="0" applyFont="1" applyFill="1" applyBorder="1" applyAlignment="1">
      <alignment horizontal="center" vertical="center" shrinkToFit="1"/>
    </xf>
    <xf numFmtId="0" fontId="18" fillId="3" borderId="91" xfId="0" applyFont="1" applyFill="1" applyBorder="1" applyAlignment="1">
      <alignment horizontal="center" shrinkToFit="1"/>
    </xf>
    <xf numFmtId="0" fontId="18" fillId="3" borderId="15" xfId="0" applyFont="1" applyFill="1" applyBorder="1" applyAlignment="1">
      <alignment horizontal="center" shrinkToFit="1"/>
    </xf>
    <xf numFmtId="0" fontId="18" fillId="3" borderId="89" xfId="0" applyFont="1" applyFill="1" applyBorder="1" applyAlignment="1">
      <alignment horizontal="center" shrinkToFit="1"/>
    </xf>
    <xf numFmtId="0" fontId="18" fillId="3" borderId="20" xfId="0" applyFont="1" applyFill="1" applyBorder="1" applyAlignment="1">
      <alignment horizontal="center" shrinkToFit="1"/>
    </xf>
    <xf numFmtId="0" fontId="0" fillId="0" borderId="47" xfId="0" applyBorder="1" applyAlignment="1">
      <alignment horizontal="center" shrinkToFit="1"/>
    </xf>
    <xf numFmtId="0" fontId="0" fillId="0" borderId="37" xfId="0" applyBorder="1" applyAlignment="1">
      <alignment horizontal="center"/>
    </xf>
    <xf numFmtId="0" fontId="0" fillId="0" borderId="48" xfId="0" applyBorder="1" applyAlignment="1">
      <alignment horizontal="center"/>
    </xf>
    <xf numFmtId="0" fontId="0" fillId="0" borderId="57" xfId="0" applyBorder="1" applyAlignment="1">
      <alignment horizontal="center" vertical="center" shrinkToFit="1"/>
    </xf>
    <xf numFmtId="0" fontId="29" fillId="3" borderId="91" xfId="0" applyFont="1" applyFill="1" applyBorder="1" applyAlignment="1">
      <alignment horizontal="center" vertical="center" shrinkToFit="1"/>
    </xf>
    <xf numFmtId="0" fontId="29" fillId="3" borderId="15" xfId="0" applyFont="1" applyFill="1" applyBorder="1" applyAlignment="1">
      <alignment horizontal="center" vertical="center" shrinkToFit="1"/>
    </xf>
    <xf numFmtId="0" fontId="29" fillId="3" borderId="16" xfId="0" applyFont="1" applyFill="1" applyBorder="1" applyAlignment="1">
      <alignment horizontal="center" vertical="center" shrinkToFit="1"/>
    </xf>
    <xf numFmtId="0" fontId="29" fillId="0" borderId="93" xfId="0" applyFont="1" applyBorder="1" applyAlignment="1">
      <alignment horizontal="center" vertical="center" shrinkToFit="1"/>
    </xf>
    <xf numFmtId="0" fontId="1" fillId="0" borderId="55" xfId="0" applyFont="1" applyBorder="1" applyAlignment="1">
      <alignment horizontal="center" shrinkToFit="1"/>
    </xf>
    <xf numFmtId="0" fontId="1" fillId="0" borderId="59" xfId="0" applyFont="1" applyBorder="1" applyAlignment="1">
      <alignment horizontal="center" shrinkToFit="1"/>
    </xf>
    <xf numFmtId="0" fontId="0" fillId="0" borderId="44" xfId="0" applyBorder="1" applyAlignment="1">
      <alignment horizontal="center" shrinkToFit="1"/>
    </xf>
    <xf numFmtId="0" fontId="1" fillId="0" borderId="2" xfId="0" applyFont="1" applyBorder="1" applyAlignment="1">
      <alignment horizontal="center" vertical="center" shrinkToFit="1"/>
    </xf>
    <xf numFmtId="0" fontId="1" fillId="0" borderId="67" xfId="0" applyFont="1" applyBorder="1" applyAlignment="1">
      <alignment horizontal="center" shrinkToFit="1"/>
    </xf>
    <xf numFmtId="0" fontId="1" fillId="0" borderId="35" xfId="0" applyFont="1" applyBorder="1" applyAlignment="1">
      <alignment horizontal="center" shrinkToFit="1"/>
    </xf>
    <xf numFmtId="0" fontId="20" fillId="0" borderId="9" xfId="0" applyFont="1" applyBorder="1" applyAlignment="1">
      <alignment horizontal="center" shrinkToFit="1"/>
    </xf>
    <xf numFmtId="0" fontId="20" fillId="0" borderId="3" xfId="0" applyFont="1" applyBorder="1" applyAlignment="1">
      <alignment horizontal="center" shrinkToFit="1"/>
    </xf>
    <xf numFmtId="0" fontId="13" fillId="0" borderId="19" xfId="0" applyFont="1" applyBorder="1" applyAlignment="1">
      <alignment horizontal="center" vertical="center" shrinkToFit="1"/>
    </xf>
    <xf numFmtId="0" fontId="13" fillId="0" borderId="20" xfId="0" applyFont="1" applyBorder="1" applyAlignment="1">
      <alignment horizontal="center" vertical="center" shrinkToFit="1"/>
    </xf>
    <xf numFmtId="0" fontId="13" fillId="0" borderId="21" xfId="0" applyFont="1" applyBorder="1" applyAlignment="1">
      <alignment horizontal="center" vertical="center" shrinkToFit="1"/>
    </xf>
    <xf numFmtId="4" fontId="0" fillId="0" borderId="9" xfId="0" applyNumberFormat="1" applyBorder="1" applyAlignment="1">
      <alignment horizontal="center" shrinkToFit="1"/>
    </xf>
    <xf numFmtId="0" fontId="0" fillId="0" borderId="3" xfId="0" applyBorder="1" applyAlignment="1">
      <alignment horizontal="center" shrinkToFit="1"/>
    </xf>
    <xf numFmtId="0" fontId="0" fillId="0" borderId="13" xfId="0" applyBorder="1" applyAlignment="1">
      <alignment horizontal="center" shrinkToFit="1"/>
    </xf>
    <xf numFmtId="0" fontId="1" fillId="0" borderId="4"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0" fillId="0" borderId="43" xfId="0" applyBorder="1" applyAlignment="1">
      <alignment horizontal="center"/>
    </xf>
    <xf numFmtId="0" fontId="0" fillId="0" borderId="49" xfId="0" applyBorder="1" applyAlignment="1">
      <alignment horizontal="center"/>
    </xf>
    <xf numFmtId="0" fontId="29" fillId="3" borderId="14" xfId="0" applyFont="1" applyFill="1" applyBorder="1" applyAlignment="1">
      <alignment horizontal="center" vertical="center" shrinkToFit="1"/>
    </xf>
    <xf numFmtId="0" fontId="1" fillId="0" borderId="91" xfId="0" applyFont="1" applyBorder="1" applyAlignment="1">
      <alignment horizontal="center" shrinkToFit="1"/>
    </xf>
    <xf numFmtId="0" fontId="1" fillId="0" borderId="15" xfId="0" applyFont="1" applyBorder="1" applyAlignment="1">
      <alignment horizontal="center" shrinkToFit="1"/>
    </xf>
    <xf numFmtId="0" fontId="1" fillId="0" borderId="9" xfId="0" applyFont="1" applyBorder="1" applyAlignment="1">
      <alignment horizontal="center" shrinkToFit="1"/>
    </xf>
    <xf numFmtId="0" fontId="1" fillId="0" borderId="3" xfId="0" applyFont="1" applyBorder="1" applyAlignment="1">
      <alignment horizontal="center" shrinkToFit="1"/>
    </xf>
    <xf numFmtId="0" fontId="0" fillId="0" borderId="36" xfId="0" applyBorder="1" applyAlignment="1">
      <alignment horizontal="center" vertical="top" textRotation="180"/>
    </xf>
    <xf numFmtId="0" fontId="0" fillId="0" borderId="6" xfId="0" applyBorder="1" applyAlignment="1">
      <alignment horizontal="center" vertical="top" textRotation="180"/>
    </xf>
    <xf numFmtId="0" fontId="0" fillId="0" borderId="7" xfId="0" applyBorder="1" applyAlignment="1">
      <alignment horizontal="center" vertical="top" textRotation="180"/>
    </xf>
    <xf numFmtId="0" fontId="2" fillId="0" borderId="0" xfId="0" applyFont="1" applyAlignment="1">
      <alignment horizontal="center"/>
    </xf>
    <xf numFmtId="0" fontId="30" fillId="0" borderId="30" xfId="0" applyFon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8" xfId="0" applyBorder="1" applyAlignment="1">
      <alignment horizontal="center"/>
    </xf>
    <xf numFmtId="0" fontId="0" fillId="3" borderId="15" xfId="0" applyFill="1" applyBorder="1" applyAlignment="1">
      <alignment horizontal="center" vertical="top" textRotation="180"/>
    </xf>
    <xf numFmtId="0" fontId="0" fillId="3" borderId="0" xfId="0" applyFill="1" applyAlignment="1">
      <alignment horizontal="center" vertical="top" textRotation="180"/>
    </xf>
    <xf numFmtId="0" fontId="0" fillId="3" borderId="27" xfId="0" applyFill="1" applyBorder="1" applyAlignment="1">
      <alignment horizontal="center" vertical="top" textRotation="180"/>
    </xf>
    <xf numFmtId="0" fontId="0" fillId="0" borderId="15" xfId="0" applyBorder="1" applyAlignment="1">
      <alignment horizontal="center" vertical="top" textRotation="180"/>
    </xf>
    <xf numFmtId="0" fontId="0" fillId="0" borderId="0" xfId="0" applyAlignment="1">
      <alignment horizontal="center" vertical="top" textRotation="180"/>
    </xf>
    <xf numFmtId="0" fontId="0" fillId="0" borderId="27" xfId="0" applyBorder="1" applyAlignment="1">
      <alignment horizontal="center" vertical="top" textRotation="180"/>
    </xf>
    <xf numFmtId="0" fontId="1" fillId="0" borderId="0" xfId="0" applyFont="1" applyAlignment="1">
      <alignment horizontal="center"/>
    </xf>
    <xf numFmtId="4" fontId="0" fillId="0" borderId="0" xfId="0" applyNumberFormat="1" applyAlignment="1">
      <alignment horizontal="center"/>
    </xf>
    <xf numFmtId="0" fontId="1" fillId="0" borderId="10" xfId="0" applyFont="1" applyBorder="1" applyAlignment="1">
      <alignment horizontal="center"/>
    </xf>
    <xf numFmtId="0" fontId="0" fillId="0" borderId="38" xfId="0" applyBorder="1" applyAlignment="1">
      <alignment horizontal="center"/>
    </xf>
    <xf numFmtId="0" fontId="0" fillId="0" borderId="74" xfId="0" applyBorder="1" applyAlignment="1" applyProtection="1">
      <alignment horizontal="left" vertical="top" wrapText="1"/>
      <protection locked="0"/>
    </xf>
    <xf numFmtId="0" fontId="0" fillId="0" borderId="75" xfId="0" applyBorder="1" applyAlignment="1" applyProtection="1">
      <alignment horizontal="left" vertical="top" wrapText="1"/>
      <protection locked="0"/>
    </xf>
    <xf numFmtId="0" fontId="0" fillId="0" borderId="76" xfId="0" applyBorder="1" applyAlignment="1" applyProtection="1">
      <alignment horizontal="left" vertical="top" wrapText="1"/>
      <protection locked="0"/>
    </xf>
    <xf numFmtId="0" fontId="0" fillId="0" borderId="77" xfId="0" applyBorder="1" applyAlignment="1" applyProtection="1">
      <alignment horizontal="left" vertical="top" wrapText="1"/>
      <protection locked="0"/>
    </xf>
    <xf numFmtId="0" fontId="0" fillId="0" borderId="0" xfId="0" applyAlignment="1" applyProtection="1">
      <alignment horizontal="left" vertical="top" wrapText="1"/>
      <protection locked="0"/>
    </xf>
    <xf numFmtId="0" fontId="0" fillId="0" borderId="78" xfId="0" applyBorder="1" applyAlignment="1" applyProtection="1">
      <alignment horizontal="left" vertical="top" wrapText="1"/>
      <protection locked="0"/>
    </xf>
    <xf numFmtId="0" fontId="0" fillId="0" borderId="79" xfId="0" applyBorder="1" applyAlignment="1" applyProtection="1">
      <alignment horizontal="left" vertical="top" wrapText="1"/>
      <protection locked="0"/>
    </xf>
    <xf numFmtId="0" fontId="0" fillId="0" borderId="80" xfId="0" applyBorder="1" applyAlignment="1" applyProtection="1">
      <alignment horizontal="left" vertical="top" wrapText="1"/>
      <protection locked="0"/>
    </xf>
    <xf numFmtId="0" fontId="0" fillId="0" borderId="81" xfId="0" applyBorder="1" applyAlignment="1" applyProtection="1">
      <alignment horizontal="left" vertical="top" wrapText="1"/>
      <protection locked="0"/>
    </xf>
    <xf numFmtId="0" fontId="0" fillId="0" borderId="0" xfId="0" applyAlignment="1">
      <alignment horizontal="center" wrapText="1"/>
    </xf>
    <xf numFmtId="0" fontId="0" fillId="0" borderId="20" xfId="0" applyBorder="1" applyAlignment="1">
      <alignment horizontal="center" wrapText="1"/>
    </xf>
    <xf numFmtId="0" fontId="0" fillId="0" borderId="15" xfId="0" applyBorder="1" applyAlignment="1">
      <alignment horizontal="center"/>
    </xf>
    <xf numFmtId="0" fontId="1" fillId="0" borderId="62" xfId="0" applyFont="1" applyBorder="1" applyAlignment="1">
      <alignment horizontal="center"/>
    </xf>
    <xf numFmtId="0" fontId="1" fillId="0" borderId="63" xfId="0" applyFont="1" applyBorder="1" applyAlignment="1">
      <alignment horizontal="center"/>
    </xf>
    <xf numFmtId="0" fontId="1" fillId="0" borderId="44" xfId="0" applyFont="1" applyBorder="1" applyAlignment="1">
      <alignment horizontal="center"/>
    </xf>
    <xf numFmtId="0" fontId="1" fillId="0" borderId="113" xfId="0" applyFont="1" applyBorder="1" applyAlignment="1">
      <alignment horizontal="center"/>
    </xf>
    <xf numFmtId="3" fontId="0" fillId="3" borderId="42" xfId="0" applyNumberFormat="1" applyFill="1" applyBorder="1" applyAlignment="1">
      <alignment horizontal="center"/>
    </xf>
    <xf numFmtId="3" fontId="0" fillId="3" borderId="43" xfId="0" applyNumberFormat="1" applyFill="1" applyBorder="1" applyAlignment="1">
      <alignment horizontal="center"/>
    </xf>
    <xf numFmtId="3" fontId="0" fillId="3" borderId="47" xfId="0" applyNumberFormat="1" applyFill="1" applyBorder="1" applyAlignment="1">
      <alignment horizontal="center"/>
    </xf>
    <xf numFmtId="3" fontId="0" fillId="3" borderId="49" xfId="0" applyNumberFormat="1" applyFill="1" applyBorder="1" applyAlignment="1">
      <alignment horizontal="center"/>
    </xf>
    <xf numFmtId="0" fontId="1" fillId="0" borderId="46" xfId="0" applyFont="1" applyBorder="1" applyAlignment="1">
      <alignment horizontal="center"/>
    </xf>
    <xf numFmtId="0" fontId="1" fillId="0" borderId="56" xfId="0" applyFont="1" applyBorder="1" applyAlignment="1">
      <alignment horizontal="center"/>
    </xf>
    <xf numFmtId="3" fontId="0" fillId="3" borderId="40" xfId="0" applyNumberFormat="1" applyFill="1" applyBorder="1" applyAlignment="1">
      <alignment horizontal="center"/>
    </xf>
    <xf numFmtId="3" fontId="0" fillId="3" borderId="114" xfId="0" applyNumberFormat="1" applyFill="1" applyBorder="1" applyAlignment="1">
      <alignment horizontal="center"/>
    </xf>
    <xf numFmtId="0" fontId="1" fillId="0" borderId="22" xfId="0" applyFont="1" applyBorder="1" applyAlignment="1">
      <alignment horizontal="left"/>
    </xf>
    <xf numFmtId="0" fontId="1" fillId="0" borderId="23" xfId="0" applyFont="1" applyBorder="1" applyAlignment="1">
      <alignment horizontal="left"/>
    </xf>
    <xf numFmtId="0" fontId="1" fillId="0" borderId="112" xfId="0" applyFont="1" applyBorder="1" applyAlignment="1">
      <alignment horizontal="center"/>
    </xf>
    <xf numFmtId="3" fontId="0" fillId="3" borderId="116" xfId="0" applyNumberFormat="1" applyFill="1" applyBorder="1" applyAlignment="1">
      <alignment horizontal="center"/>
    </xf>
    <xf numFmtId="3" fontId="0" fillId="3" borderId="115" xfId="0" applyNumberFormat="1" applyFill="1" applyBorder="1" applyAlignment="1">
      <alignment horizontal="center"/>
    </xf>
    <xf numFmtId="3" fontId="0" fillId="3" borderId="41" xfId="0" applyNumberFormat="1" applyFill="1" applyBorder="1" applyAlignment="1">
      <alignment horizontal="center"/>
    </xf>
    <xf numFmtId="3" fontId="0" fillId="3" borderId="39" xfId="0" applyNumberFormat="1" applyFill="1" applyBorder="1" applyAlignment="1">
      <alignment horizontal="center"/>
    </xf>
    <xf numFmtId="0" fontId="1" fillId="6" borderId="14" xfId="0" applyFont="1" applyFill="1" applyBorder="1" applyAlignment="1">
      <alignment horizontal="center"/>
    </xf>
    <xf numFmtId="0" fontId="1" fillId="6" borderId="16" xfId="0" applyFont="1" applyFill="1" applyBorder="1" applyAlignment="1">
      <alignment horizontal="center"/>
    </xf>
    <xf numFmtId="3" fontId="0" fillId="0" borderId="73" xfId="0" applyNumberFormat="1" applyBorder="1" applyAlignment="1" applyProtection="1">
      <alignment horizontal="center"/>
      <protection locked="0"/>
    </xf>
    <xf numFmtId="0" fontId="0" fillId="2" borderId="0" xfId="0" applyFill="1" applyAlignment="1">
      <alignment horizontal="center"/>
    </xf>
    <xf numFmtId="0" fontId="0" fillId="0" borderId="73" xfId="0" applyBorder="1" applyAlignment="1" applyProtection="1">
      <alignment horizontal="center"/>
      <protection locked="0"/>
    </xf>
    <xf numFmtId="0" fontId="22" fillId="3" borderId="32" xfId="0" applyFont="1" applyFill="1" applyBorder="1" applyAlignment="1">
      <alignment horizontal="center" shrinkToFit="1"/>
    </xf>
    <xf numFmtId="0" fontId="22" fillId="3" borderId="33" xfId="0" applyFont="1" applyFill="1" applyBorder="1" applyAlignment="1">
      <alignment horizontal="center" shrinkToFit="1"/>
    </xf>
    <xf numFmtId="0" fontId="0" fillId="0" borderId="0" xfId="0" applyAlignment="1">
      <alignment horizontal="center" vertical="center" wrapText="1" shrinkToFit="1"/>
    </xf>
    <xf numFmtId="0" fontId="1" fillId="0" borderId="0" xfId="0" applyFont="1" applyAlignment="1">
      <alignment horizontal="center" vertical="center"/>
    </xf>
    <xf numFmtId="0" fontId="0" fillId="0" borderId="124" xfId="0" applyBorder="1" applyAlignment="1" applyProtection="1">
      <alignment horizontal="center"/>
      <protection locked="0"/>
    </xf>
    <xf numFmtId="0" fontId="0" fillId="0" borderId="125" xfId="0" applyBorder="1" applyAlignment="1" applyProtection="1">
      <alignment horizontal="center"/>
      <protection locked="0"/>
    </xf>
    <xf numFmtId="0" fontId="0" fillId="18" borderId="124" xfId="0" applyFill="1" applyBorder="1" applyAlignment="1" applyProtection="1">
      <alignment horizontal="center"/>
      <protection locked="0"/>
    </xf>
    <xf numFmtId="0" fontId="0" fillId="18" borderId="125" xfId="0" applyFill="1" applyBorder="1" applyAlignment="1" applyProtection="1">
      <alignment horizontal="center"/>
      <protection locked="0"/>
    </xf>
    <xf numFmtId="0" fontId="1" fillId="2" borderId="0" xfId="0" applyFont="1" applyFill="1" applyAlignment="1" applyProtection="1">
      <alignment horizontal="center"/>
      <protection hidden="1"/>
    </xf>
    <xf numFmtId="0" fontId="1" fillId="2" borderId="18" xfId="0" applyFont="1" applyFill="1" applyBorder="1" applyAlignment="1" applyProtection="1">
      <alignment horizontal="center"/>
      <protection hidden="1"/>
    </xf>
    <xf numFmtId="0" fontId="23" fillId="3" borderId="17" xfId="0" applyFont="1" applyFill="1" applyBorder="1" applyAlignment="1" applyProtection="1">
      <alignment horizontal="center"/>
      <protection hidden="1"/>
    </xf>
    <xf numFmtId="0" fontId="23" fillId="3" borderId="18" xfId="0" applyFont="1" applyFill="1" applyBorder="1" applyAlignment="1" applyProtection="1">
      <alignment horizontal="center"/>
      <protection hidden="1"/>
    </xf>
    <xf numFmtId="0" fontId="23" fillId="3" borderId="35" xfId="0" applyFont="1" applyFill="1" applyBorder="1" applyAlignment="1" applyProtection="1">
      <alignment horizontal="center"/>
      <protection hidden="1"/>
    </xf>
    <xf numFmtId="0" fontId="23" fillId="3" borderId="19" xfId="0" applyFont="1" applyFill="1" applyBorder="1" applyAlignment="1" applyProtection="1">
      <alignment horizontal="center"/>
      <protection hidden="1"/>
    </xf>
    <xf numFmtId="0" fontId="23" fillId="3" borderId="21" xfId="0" applyFont="1" applyFill="1" applyBorder="1" applyAlignment="1" applyProtection="1">
      <alignment horizontal="center"/>
      <protection hidden="1"/>
    </xf>
    <xf numFmtId="0" fontId="1" fillId="9" borderId="14" xfId="0" applyFont="1" applyFill="1" applyBorder="1" applyAlignment="1" applyProtection="1">
      <alignment horizontal="center" vertical="center" wrapText="1"/>
      <protection hidden="1"/>
    </xf>
    <xf numFmtId="0" fontId="1" fillId="9" borderId="16" xfId="0" applyFont="1" applyFill="1" applyBorder="1" applyAlignment="1" applyProtection="1">
      <alignment horizontal="center" vertical="center" wrapText="1"/>
      <protection hidden="1"/>
    </xf>
    <xf numFmtId="0" fontId="1" fillId="9" borderId="17" xfId="0" applyFont="1" applyFill="1" applyBorder="1" applyAlignment="1" applyProtection="1">
      <alignment horizontal="center" vertical="center" wrapText="1"/>
      <protection hidden="1"/>
    </xf>
    <xf numFmtId="0" fontId="1" fillId="9" borderId="18" xfId="0" applyFont="1" applyFill="1" applyBorder="1" applyAlignment="1" applyProtection="1">
      <alignment horizontal="center" vertical="center" wrapText="1"/>
      <protection hidden="1"/>
    </xf>
    <xf numFmtId="0" fontId="1" fillId="9" borderId="19" xfId="0" applyFont="1" applyFill="1" applyBorder="1" applyAlignment="1" applyProtection="1">
      <alignment horizontal="center" vertical="center" wrapText="1"/>
      <protection hidden="1"/>
    </xf>
    <xf numFmtId="0" fontId="1" fillId="9" borderId="21" xfId="0" applyFont="1" applyFill="1" applyBorder="1" applyAlignment="1" applyProtection="1">
      <alignment horizontal="center" vertical="center" wrapText="1"/>
      <protection hidden="1"/>
    </xf>
    <xf numFmtId="0" fontId="25" fillId="0" borderId="20" xfId="0" applyFont="1" applyBorder="1" applyAlignment="1" applyProtection="1">
      <alignment horizontal="center"/>
      <protection hidden="1"/>
    </xf>
    <xf numFmtId="0" fontId="25"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horizontal="center"/>
      <protection hidden="1"/>
    </xf>
    <xf numFmtId="0" fontId="1" fillId="0" borderId="0" xfId="0" applyFont="1" applyAlignment="1" applyProtection="1">
      <alignment horizontal="center"/>
      <protection hidden="1"/>
    </xf>
    <xf numFmtId="0" fontId="25" fillId="5" borderId="75" xfId="0" applyFont="1" applyFill="1" applyBorder="1" applyAlignment="1" applyProtection="1">
      <alignment horizontal="center"/>
      <protection hidden="1"/>
    </xf>
    <xf numFmtId="0" fontId="1" fillId="2" borderId="34" xfId="0" applyFont="1" applyFill="1" applyBorder="1" applyAlignment="1" applyProtection="1">
      <alignment horizontal="center" vertical="center" wrapText="1"/>
      <protection hidden="1"/>
    </xf>
    <xf numFmtId="0" fontId="1" fillId="2" borderId="84" xfId="0" applyFont="1" applyFill="1" applyBorder="1" applyAlignment="1" applyProtection="1">
      <alignment horizontal="center" vertical="center" wrapText="1"/>
      <protection hidden="1"/>
    </xf>
    <xf numFmtId="0" fontId="0" fillId="2" borderId="0" xfId="0" applyFill="1" applyAlignment="1" applyProtection="1">
      <alignment horizontal="center" wrapText="1"/>
      <protection hidden="1"/>
    </xf>
    <xf numFmtId="0" fontId="0" fillId="3" borderId="0" xfId="0" applyFill="1" applyAlignment="1" applyProtection="1">
      <alignment horizontal="center" wrapText="1"/>
      <protection hidden="1"/>
    </xf>
    <xf numFmtId="3" fontId="0" fillId="3" borderId="124" xfId="0" applyNumberFormat="1" applyFill="1" applyBorder="1" applyAlignment="1" applyProtection="1">
      <alignment horizontal="center"/>
      <protection locked="0"/>
    </xf>
    <xf numFmtId="3" fontId="0" fillId="3" borderId="125" xfId="0" applyNumberFormat="1" applyFill="1" applyBorder="1" applyAlignment="1" applyProtection="1">
      <alignment horizontal="center"/>
      <protection locked="0"/>
    </xf>
    <xf numFmtId="3" fontId="0" fillId="0" borderId="124" xfId="0" applyNumberFormat="1" applyBorder="1" applyAlignment="1" applyProtection="1">
      <alignment horizontal="center"/>
      <protection locked="0"/>
    </xf>
    <xf numFmtId="3" fontId="0" fillId="0" borderId="125" xfId="0" applyNumberFormat="1" applyBorder="1" applyAlignment="1" applyProtection="1">
      <alignment horizontal="center"/>
      <protection locked="0"/>
    </xf>
    <xf numFmtId="165" fontId="0" fillId="2" borderId="19" xfId="0" applyNumberFormat="1" applyFill="1" applyBorder="1" applyAlignment="1">
      <alignment horizontal="center"/>
    </xf>
    <xf numFmtId="165" fontId="0" fillId="2" borderId="20" xfId="0" applyNumberFormat="1" applyFill="1" applyBorder="1" applyAlignment="1">
      <alignment horizontal="center"/>
    </xf>
    <xf numFmtId="165" fontId="0" fillId="2" borderId="21" xfId="0" applyNumberFormat="1" applyFill="1" applyBorder="1" applyAlignment="1">
      <alignment horizontal="center"/>
    </xf>
    <xf numFmtId="0" fontId="1" fillId="0" borderId="80" xfId="0" applyFont="1" applyBorder="1" applyAlignment="1">
      <alignment horizontal="center"/>
    </xf>
    <xf numFmtId="0" fontId="0" fillId="0" borderId="124" xfId="0" applyBorder="1" applyAlignment="1" applyProtection="1">
      <alignment horizontal="right"/>
      <protection locked="0"/>
    </xf>
    <xf numFmtId="0" fontId="0" fillId="0" borderId="125" xfId="0" applyBorder="1" applyAlignment="1" applyProtection="1">
      <alignment horizontal="right"/>
      <protection locked="0"/>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horizontal="center" wrapText="1"/>
    </xf>
    <xf numFmtId="0" fontId="1" fillId="0" borderId="0" xfId="0" applyFont="1" applyAlignment="1">
      <alignment horizontal="center" wrapText="1"/>
    </xf>
    <xf numFmtId="0" fontId="1" fillId="0" borderId="18" xfId="0" applyFont="1" applyBorder="1" applyAlignment="1">
      <alignment horizontal="center" wrapText="1"/>
    </xf>
    <xf numFmtId="0" fontId="1" fillId="0" borderId="21" xfId="0" applyFont="1" applyBorder="1" applyAlignment="1">
      <alignment horizontal="center" wrapText="1"/>
    </xf>
    <xf numFmtId="0" fontId="40" fillId="5" borderId="15" xfId="0" applyFont="1" applyFill="1" applyBorder="1" applyAlignment="1">
      <alignment horizontal="center"/>
    </xf>
    <xf numFmtId="0" fontId="0" fillId="0" borderId="32" xfId="0" applyBorder="1" applyAlignment="1">
      <alignment horizontal="right"/>
    </xf>
    <xf numFmtId="0" fontId="0" fillId="0" borderId="31" xfId="0" applyBorder="1" applyAlignment="1">
      <alignment horizontal="right"/>
    </xf>
    <xf numFmtId="0" fontId="0" fillId="0" borderId="33" xfId="0" applyBorder="1" applyAlignment="1">
      <alignment horizontal="right"/>
    </xf>
    <xf numFmtId="0" fontId="32" fillId="3" borderId="9" xfId="0" applyFont="1" applyFill="1" applyBorder="1" applyAlignment="1">
      <alignment horizontal="center" vertical="center" shrinkToFit="1"/>
    </xf>
    <xf numFmtId="0" fontId="32" fillId="3" borderId="3" xfId="0" applyFont="1" applyFill="1" applyBorder="1" applyAlignment="1">
      <alignment horizontal="center" vertical="center" shrinkToFit="1"/>
    </xf>
    <xf numFmtId="0" fontId="32" fillId="3" borderId="13" xfId="0" applyFont="1" applyFill="1" applyBorder="1" applyAlignment="1">
      <alignment horizontal="center" vertical="center" shrinkToFit="1"/>
    </xf>
    <xf numFmtId="0" fontId="32" fillId="0" borderId="4" xfId="0" applyFont="1" applyBorder="1" applyAlignment="1">
      <alignment horizontal="center" vertical="center" shrinkToFit="1"/>
    </xf>
    <xf numFmtId="0" fontId="32" fillId="0" borderId="2" xfId="0" applyFont="1" applyBorder="1" applyAlignment="1">
      <alignment horizontal="center" vertical="center" shrinkToFit="1"/>
    </xf>
    <xf numFmtId="0" fontId="32" fillId="0" borderId="11" xfId="0" applyFont="1" applyBorder="1" applyAlignment="1">
      <alignment horizontal="center" vertical="center" shrinkToFit="1"/>
    </xf>
    <xf numFmtId="0" fontId="32" fillId="0" borderId="9" xfId="0" applyFont="1" applyBorder="1" applyAlignment="1">
      <alignment horizontal="center" vertical="center" shrinkToFit="1"/>
    </xf>
    <xf numFmtId="0" fontId="32" fillId="0" borderId="3" xfId="0" applyFont="1" applyBorder="1" applyAlignment="1">
      <alignment horizontal="center" vertical="center" shrinkToFit="1"/>
    </xf>
    <xf numFmtId="0" fontId="32" fillId="0" borderId="13" xfId="0" applyFont="1" applyBorder="1" applyAlignment="1">
      <alignment horizontal="center" vertical="center" shrinkToFit="1"/>
    </xf>
    <xf numFmtId="0" fontId="32" fillId="3" borderId="4" xfId="0" applyFont="1" applyFill="1" applyBorder="1" applyAlignment="1">
      <alignment horizontal="center" vertical="center" shrinkToFit="1"/>
    </xf>
    <xf numFmtId="0" fontId="32" fillId="3" borderId="2" xfId="0" applyFont="1" applyFill="1" applyBorder="1" applyAlignment="1">
      <alignment horizontal="center" vertical="center" shrinkToFit="1"/>
    </xf>
    <xf numFmtId="0" fontId="32" fillId="3" borderId="11" xfId="0" applyFont="1" applyFill="1" applyBorder="1" applyAlignment="1">
      <alignment horizontal="center" vertical="center" shrinkToFit="1"/>
    </xf>
    <xf numFmtId="0" fontId="31" fillId="0" borderId="4" xfId="0" applyFont="1" applyBorder="1" applyAlignment="1">
      <alignment horizontal="center" vertical="center" shrinkToFit="1"/>
    </xf>
    <xf numFmtId="0" fontId="31" fillId="0" borderId="2" xfId="0" applyFont="1" applyBorder="1" applyAlignment="1">
      <alignment horizontal="center" vertical="center" shrinkToFit="1"/>
    </xf>
    <xf numFmtId="0" fontId="31" fillId="0" borderId="11" xfId="0" applyFont="1" applyBorder="1" applyAlignment="1">
      <alignment horizontal="center" vertical="center" shrinkToFit="1"/>
    </xf>
    <xf numFmtId="0" fontId="31" fillId="0" borderId="9" xfId="0" applyFont="1" applyBorder="1" applyAlignment="1">
      <alignment horizontal="center" vertical="center" shrinkToFit="1"/>
    </xf>
    <xf numFmtId="0" fontId="31" fillId="0" borderId="3" xfId="0" applyFont="1" applyBorder="1" applyAlignment="1">
      <alignment horizontal="center" vertical="center" shrinkToFit="1"/>
    </xf>
    <xf numFmtId="0" fontId="31" fillId="0" borderId="13" xfId="0" applyFont="1" applyBorder="1" applyAlignment="1">
      <alignment horizontal="center" vertical="center" shrinkToFit="1"/>
    </xf>
    <xf numFmtId="0" fontId="31" fillId="3" borderId="2" xfId="0" applyFont="1" applyFill="1" applyBorder="1" applyAlignment="1">
      <alignment horizontal="center" vertical="center" shrinkToFit="1"/>
    </xf>
    <xf numFmtId="0" fontId="31" fillId="3" borderId="11" xfId="0" applyFont="1" applyFill="1" applyBorder="1" applyAlignment="1">
      <alignment horizontal="center" vertical="center" shrinkToFit="1"/>
    </xf>
    <xf numFmtId="0" fontId="31" fillId="3" borderId="3" xfId="0" applyFont="1" applyFill="1" applyBorder="1" applyAlignment="1">
      <alignment horizontal="center" vertical="center" shrinkToFit="1"/>
    </xf>
    <xf numFmtId="0" fontId="31" fillId="3" borderId="13" xfId="0" applyFont="1" applyFill="1" applyBorder="1" applyAlignment="1">
      <alignment horizontal="center" vertical="center" shrinkToFit="1"/>
    </xf>
    <xf numFmtId="0" fontId="31" fillId="3" borderId="4" xfId="0" applyFont="1" applyFill="1" applyBorder="1" applyAlignment="1">
      <alignment horizontal="center" vertical="center" wrapText="1" shrinkToFit="1"/>
    </xf>
    <xf numFmtId="0" fontId="31" fillId="3" borderId="2" xfId="0" applyFont="1" applyFill="1" applyBorder="1" applyAlignment="1">
      <alignment horizontal="center" vertical="center" wrapText="1" shrinkToFit="1"/>
    </xf>
    <xf numFmtId="0" fontId="31" fillId="3" borderId="11" xfId="0" applyFont="1" applyFill="1" applyBorder="1" applyAlignment="1">
      <alignment horizontal="center" vertical="center" wrapText="1" shrinkToFit="1"/>
    </xf>
    <xf numFmtId="0" fontId="31" fillId="3" borderId="9" xfId="0" applyFont="1" applyFill="1" applyBorder="1" applyAlignment="1">
      <alignment horizontal="center" vertical="center" wrapText="1" shrinkToFit="1"/>
    </xf>
    <xf numFmtId="0" fontId="31" fillId="3" borderId="3" xfId="0" applyFont="1" applyFill="1" applyBorder="1" applyAlignment="1">
      <alignment horizontal="center" vertical="center" wrapText="1" shrinkToFit="1"/>
    </xf>
    <xf numFmtId="0" fontId="31" fillId="3" borderId="13" xfId="0" applyFont="1" applyFill="1" applyBorder="1" applyAlignment="1">
      <alignment horizontal="center" vertical="center" wrapText="1" shrinkToFit="1"/>
    </xf>
    <xf numFmtId="0" fontId="34" fillId="0" borderId="4" xfId="0" applyFont="1" applyBorder="1" applyAlignment="1">
      <alignment horizontal="center" vertical="center" shrinkToFit="1"/>
    </xf>
    <xf numFmtId="0" fontId="34" fillId="0" borderId="2" xfId="0" applyFont="1" applyBorder="1" applyAlignment="1">
      <alignment horizontal="center" vertical="center" shrinkToFit="1"/>
    </xf>
    <xf numFmtId="0" fontId="34" fillId="0" borderId="11" xfId="0" applyFont="1" applyBorder="1" applyAlignment="1">
      <alignment horizontal="center" vertical="center" shrinkToFit="1"/>
    </xf>
    <xf numFmtId="0" fontId="34" fillId="0" borderId="9" xfId="0" applyFont="1" applyBorder="1" applyAlignment="1">
      <alignment horizontal="center" vertical="center" shrinkToFit="1"/>
    </xf>
    <xf numFmtId="0" fontId="34" fillId="0" borderId="3" xfId="0" applyFont="1" applyBorder="1" applyAlignment="1">
      <alignment horizontal="center" vertical="center" shrinkToFit="1"/>
    </xf>
    <xf numFmtId="0" fontId="34" fillId="0" borderId="13" xfId="0" applyFont="1" applyBorder="1" applyAlignment="1">
      <alignment horizontal="center" vertical="center" shrinkToFit="1"/>
    </xf>
    <xf numFmtId="0" fontId="33" fillId="3" borderId="4" xfId="0" applyFont="1" applyFill="1" applyBorder="1" applyAlignment="1">
      <alignment horizontal="center" vertical="center" shrinkToFit="1"/>
    </xf>
    <xf numFmtId="0" fontId="33" fillId="3" borderId="2" xfId="0" applyFont="1" applyFill="1" applyBorder="1" applyAlignment="1">
      <alignment horizontal="center" vertical="center" shrinkToFit="1"/>
    </xf>
    <xf numFmtId="0" fontId="33" fillId="3" borderId="11" xfId="0" applyFont="1" applyFill="1" applyBorder="1" applyAlignment="1">
      <alignment horizontal="center" vertical="center" shrinkToFit="1"/>
    </xf>
    <xf numFmtId="0" fontId="33" fillId="3" borderId="9" xfId="0" applyFont="1" applyFill="1" applyBorder="1" applyAlignment="1">
      <alignment horizontal="center" vertical="center" shrinkToFit="1"/>
    </xf>
    <xf numFmtId="0" fontId="33" fillId="3" borderId="3" xfId="0" applyFont="1" applyFill="1" applyBorder="1" applyAlignment="1">
      <alignment horizontal="center" vertical="center" shrinkToFit="1"/>
    </xf>
    <xf numFmtId="0" fontId="33" fillId="3" borderId="13" xfId="0" applyFont="1" applyFill="1" applyBorder="1" applyAlignment="1">
      <alignment horizontal="center" vertical="center" shrinkToFit="1"/>
    </xf>
    <xf numFmtId="0" fontId="35" fillId="0" borderId="111" xfId="0" applyFont="1" applyBorder="1" applyAlignment="1">
      <alignment horizontal="center" shrinkToFit="1"/>
    </xf>
    <xf numFmtId="0" fontId="35" fillId="3" borderId="111" xfId="0" applyFont="1" applyFill="1" applyBorder="1" applyAlignment="1">
      <alignment horizontal="center" shrinkToFit="1"/>
    </xf>
    <xf numFmtId="0" fontId="36" fillId="0" borderId="111" xfId="0" applyFont="1" applyBorder="1" applyAlignment="1">
      <alignment horizontal="center"/>
    </xf>
    <xf numFmtId="0" fontId="36" fillId="3" borderId="111" xfId="0" applyFont="1" applyFill="1" applyBorder="1" applyAlignment="1">
      <alignment horizontal="center"/>
    </xf>
    <xf numFmtId="0" fontId="0" fillId="0" borderId="5" xfId="0" applyBorder="1" applyAlignment="1" applyProtection="1">
      <alignment horizontal="center"/>
      <protection locked="0"/>
    </xf>
    <xf numFmtId="0" fontId="0" fillId="0" borderId="0" xfId="0" applyAlignment="1" applyProtection="1">
      <alignment horizontal="center"/>
      <protection locked="0"/>
    </xf>
    <xf numFmtId="0" fontId="0" fillId="0" borderId="12" xfId="0" applyBorder="1" applyAlignment="1" applyProtection="1">
      <alignment horizontal="center"/>
      <protection locked="0"/>
    </xf>
    <xf numFmtId="0" fontId="0" fillId="0" borderId="10" xfId="0" applyBorder="1" applyAlignment="1">
      <alignment horizontal="center"/>
    </xf>
    <xf numFmtId="0" fontId="0" fillId="0" borderId="55" xfId="0" applyBorder="1" applyAlignment="1">
      <alignment horizontal="center"/>
    </xf>
    <xf numFmtId="0" fontId="32" fillId="0" borderId="3" xfId="0" applyFont="1" applyBorder="1" applyAlignment="1">
      <alignment horizontal="center"/>
    </xf>
    <xf numFmtId="0" fontId="41" fillId="0" borderId="111" xfId="0" applyFont="1" applyBorder="1" applyAlignment="1">
      <alignment horizontal="center" shrinkToFit="1"/>
    </xf>
    <xf numFmtId="0" fontId="41" fillId="3" borderId="111" xfId="0" applyFont="1" applyFill="1" applyBorder="1" applyAlignment="1">
      <alignment horizontal="center" shrinkToFit="1"/>
    </xf>
    <xf numFmtId="0" fontId="36" fillId="3" borderId="111" xfId="0" applyFont="1" applyFill="1" applyBorder="1" applyAlignment="1">
      <alignment horizontal="center" shrinkToFit="1"/>
    </xf>
    <xf numFmtId="0" fontId="7" fillId="0" borderId="1" xfId="0" applyFont="1" applyBorder="1" applyAlignment="1">
      <alignment horizontal="center" vertical="center"/>
    </xf>
    <xf numFmtId="0" fontId="35" fillId="0" borderId="110" xfId="0" applyFont="1" applyBorder="1" applyAlignment="1">
      <alignment horizontal="center" shrinkToFit="1"/>
    </xf>
    <xf numFmtId="0" fontId="33" fillId="0" borderId="1" xfId="0" applyFont="1" applyBorder="1" applyAlignment="1">
      <alignment horizontal="center" vertical="center"/>
    </xf>
    <xf numFmtId="0" fontId="36" fillId="0" borderId="110" xfId="0" applyFont="1" applyBorder="1" applyAlignment="1">
      <alignment horizontal="center"/>
    </xf>
    <xf numFmtId="0" fontId="36" fillId="0" borderId="111" xfId="0" applyFont="1" applyBorder="1" applyAlignment="1">
      <alignment horizontal="center" shrinkToFit="1"/>
    </xf>
    <xf numFmtId="0" fontId="31" fillId="0" borderId="62" xfId="0" applyFont="1" applyBorder="1" applyAlignment="1">
      <alignment horizontal="center"/>
    </xf>
    <xf numFmtId="0" fontId="31" fillId="0" borderId="56" xfId="0" applyFont="1" applyBorder="1" applyAlignment="1">
      <alignment horizontal="center"/>
    </xf>
    <xf numFmtId="0" fontId="31" fillId="0" borderId="63" xfId="0" applyFont="1" applyBorder="1" applyAlignment="1">
      <alignment horizontal="center"/>
    </xf>
    <xf numFmtId="0" fontId="31" fillId="0" borderId="57" xfId="0" applyFont="1" applyBorder="1" applyAlignment="1">
      <alignment horizontal="center"/>
    </xf>
    <xf numFmtId="0" fontId="31" fillId="0" borderId="31" xfId="0" applyFont="1" applyBorder="1" applyAlignment="1">
      <alignment horizontal="center"/>
    </xf>
    <xf numFmtId="0" fontId="31" fillId="0" borderId="58" xfId="0" applyFont="1" applyBorder="1" applyAlignment="1">
      <alignment horizontal="center"/>
    </xf>
    <xf numFmtId="0" fontId="41" fillId="0" borderId="110" xfId="0" applyFont="1" applyBorder="1" applyAlignment="1">
      <alignment horizontal="center" shrinkToFit="1"/>
    </xf>
    <xf numFmtId="0" fontId="36" fillId="0" borderId="110" xfId="0" applyFont="1" applyBorder="1" applyAlignment="1">
      <alignment horizontal="center" shrinkToFit="1"/>
    </xf>
    <xf numFmtId="0" fontId="36" fillId="3" borderId="57" xfId="0" applyFont="1" applyFill="1" applyBorder="1" applyAlignment="1">
      <alignment horizontal="center" shrinkToFit="1"/>
    </xf>
    <xf numFmtId="0" fontId="36" fillId="3" borderId="31" xfId="0" applyFont="1" applyFill="1" applyBorder="1" applyAlignment="1">
      <alignment horizontal="center" shrinkToFit="1"/>
    </xf>
    <xf numFmtId="0" fontId="36" fillId="3" borderId="58" xfId="0" applyFont="1" applyFill="1" applyBorder="1" applyAlignment="1">
      <alignment horizontal="center" shrinkToFit="1"/>
    </xf>
    <xf numFmtId="0" fontId="32" fillId="0" borderId="57" xfId="0" applyFont="1" applyBorder="1" applyAlignment="1">
      <alignment horizontal="center" shrinkToFit="1"/>
    </xf>
    <xf numFmtId="0" fontId="32" fillId="0" borderId="31" xfId="0" applyFont="1" applyBorder="1" applyAlignment="1">
      <alignment horizontal="center" shrinkToFit="1"/>
    </xf>
    <xf numFmtId="0" fontId="32" fillId="0" borderId="58" xfId="0" applyFont="1" applyBorder="1" applyAlignment="1">
      <alignment horizontal="center" shrinkToFit="1"/>
    </xf>
    <xf numFmtId="0" fontId="32" fillId="0" borderId="107" xfId="0" applyFont="1" applyBorder="1" applyAlignment="1">
      <alignment horizontal="center" shrinkToFit="1"/>
    </xf>
    <xf numFmtId="0" fontId="32" fillId="0" borderId="108" xfId="0" applyFont="1" applyBorder="1" applyAlignment="1">
      <alignment horizontal="center" shrinkToFit="1"/>
    </xf>
    <xf numFmtId="0" fontId="32" fillId="0" borderId="109" xfId="0" applyFont="1" applyBorder="1" applyAlignment="1">
      <alignment horizontal="center" shrinkToFit="1"/>
    </xf>
    <xf numFmtId="0" fontId="32" fillId="0" borderId="62" xfId="0" applyFont="1" applyBorder="1" applyAlignment="1">
      <alignment horizontal="center" shrinkToFit="1"/>
    </xf>
    <xf numFmtId="0" fontId="32" fillId="0" borderId="56" xfId="0" applyFont="1" applyBorder="1" applyAlignment="1">
      <alignment horizontal="center" shrinkToFit="1"/>
    </xf>
    <xf numFmtId="0" fontId="32" fillId="0" borderId="63" xfId="0" applyFont="1" applyBorder="1" applyAlignment="1">
      <alignment horizontal="center" shrinkToFit="1"/>
    </xf>
    <xf numFmtId="0" fontId="32" fillId="0" borderId="57" xfId="0" applyFont="1" applyBorder="1" applyAlignment="1">
      <alignment horizontal="center"/>
    </xf>
    <xf numFmtId="0" fontId="32" fillId="0" borderId="31" xfId="0" applyFont="1" applyBorder="1" applyAlignment="1">
      <alignment horizontal="center"/>
    </xf>
    <xf numFmtId="0" fontId="32" fillId="0" borderId="58" xfId="0" applyFont="1" applyBorder="1" applyAlignment="1">
      <alignment horizontal="center"/>
    </xf>
    <xf numFmtId="0" fontId="31" fillId="0" borderId="107" xfId="0" applyFont="1" applyBorder="1" applyAlignment="1">
      <alignment horizontal="center"/>
    </xf>
    <xf numFmtId="0" fontId="31" fillId="0" borderId="108" xfId="0" applyFont="1" applyBorder="1" applyAlignment="1">
      <alignment horizontal="center"/>
    </xf>
    <xf numFmtId="0" fontId="31" fillId="0" borderId="109" xfId="0" applyFont="1" applyBorder="1" applyAlignment="1">
      <alignment horizontal="center"/>
    </xf>
    <xf numFmtId="0" fontId="35" fillId="3" borderId="106" xfId="0" applyFont="1" applyFill="1" applyBorder="1" applyAlignment="1">
      <alignment horizontal="center" shrinkToFit="1"/>
    </xf>
    <xf numFmtId="0" fontId="41" fillId="3" borderId="106" xfId="0" applyFont="1" applyFill="1" applyBorder="1" applyAlignment="1">
      <alignment horizontal="center" shrinkToFit="1"/>
    </xf>
    <xf numFmtId="0" fontId="36" fillId="3" borderId="106" xfId="0" applyFont="1" applyFill="1" applyBorder="1" applyAlignment="1">
      <alignment horizontal="center" shrinkToFit="1"/>
    </xf>
    <xf numFmtId="0" fontId="35" fillId="0" borderId="8" xfId="0" applyFont="1" applyBorder="1" applyAlignment="1">
      <alignment horizontal="center"/>
    </xf>
    <xf numFmtId="0" fontId="35" fillId="0" borderId="8" xfId="0" applyFont="1" applyBorder="1" applyAlignment="1">
      <alignment horizontal="center" shrinkToFit="1"/>
    </xf>
    <xf numFmtId="0" fontId="1" fillId="0" borderId="0" xfId="0" applyFont="1" applyAlignment="1">
      <alignment horizontal="center" vertical="center" shrinkToFit="1"/>
    </xf>
    <xf numFmtId="0" fontId="31" fillId="0" borderId="0" xfId="0" applyFont="1" applyAlignment="1">
      <alignment horizontal="center" shrinkToFit="1"/>
    </xf>
    <xf numFmtId="9" fontId="31" fillId="0" borderId="3" xfId="0" applyNumberFormat="1" applyFont="1" applyBorder="1" applyAlignment="1">
      <alignment horizontal="center"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0" borderId="11"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13" xfId="0" applyFont="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 xfId="0" applyFont="1" applyFill="1" applyBorder="1" applyAlignment="1">
      <alignment horizontal="center" vertical="center" shrinkToFit="1"/>
    </xf>
    <xf numFmtId="0" fontId="7" fillId="3" borderId="11" xfId="0" applyFont="1" applyFill="1" applyBorder="1" applyAlignment="1">
      <alignment horizontal="center" vertical="center" shrinkToFit="1"/>
    </xf>
    <xf numFmtId="0" fontId="7" fillId="3" borderId="9"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13" xfId="0" applyFont="1" applyFill="1" applyBorder="1" applyAlignment="1">
      <alignment horizontal="center" vertical="center" shrinkToFit="1"/>
    </xf>
    <xf numFmtId="0" fontId="27" fillId="3" borderId="4" xfId="0" applyFont="1" applyFill="1" applyBorder="1" applyAlignment="1">
      <alignment horizontal="center" vertical="center" shrinkToFit="1"/>
    </xf>
    <xf numFmtId="0" fontId="27" fillId="3" borderId="2" xfId="0" applyFont="1" applyFill="1" applyBorder="1" applyAlignment="1">
      <alignment horizontal="center" vertical="center" shrinkToFit="1"/>
    </xf>
    <xf numFmtId="0" fontId="27" fillId="3" borderId="11" xfId="0" applyFont="1" applyFill="1" applyBorder="1" applyAlignment="1">
      <alignment horizontal="center" vertical="center" shrinkToFit="1"/>
    </xf>
    <xf numFmtId="0" fontId="27" fillId="3" borderId="9" xfId="0" applyFont="1" applyFill="1" applyBorder="1" applyAlignment="1">
      <alignment horizontal="center" vertical="center" shrinkToFit="1"/>
    </xf>
    <xf numFmtId="0" fontId="27" fillId="3" borderId="3" xfId="0" applyFont="1" applyFill="1" applyBorder="1" applyAlignment="1">
      <alignment horizontal="center" vertical="center" shrinkToFit="1"/>
    </xf>
    <xf numFmtId="0" fontId="27" fillId="3" borderId="13" xfId="0" applyFont="1" applyFill="1" applyBorder="1" applyAlignment="1">
      <alignment horizontal="center" vertical="center" shrinkToFit="1"/>
    </xf>
    <xf numFmtId="0" fontId="27" fillId="0" borderId="4" xfId="0" applyFont="1" applyBorder="1" applyAlignment="1">
      <alignment horizontal="center" vertical="center" shrinkToFit="1"/>
    </xf>
    <xf numFmtId="0" fontId="27" fillId="0" borderId="2" xfId="0" applyFont="1" applyBorder="1" applyAlignment="1">
      <alignment horizontal="center" vertical="center" shrinkToFit="1"/>
    </xf>
    <xf numFmtId="0" fontId="27" fillId="0" borderId="11" xfId="0" applyFont="1" applyBorder="1" applyAlignment="1">
      <alignment horizontal="center" vertical="center" shrinkToFit="1"/>
    </xf>
    <xf numFmtId="0" fontId="27" fillId="0" borderId="9" xfId="0" applyFont="1" applyBorder="1" applyAlignment="1">
      <alignment horizontal="center" vertical="center" shrinkToFit="1"/>
    </xf>
    <xf numFmtId="0" fontId="27" fillId="0" borderId="3" xfId="0" applyFont="1" applyBorder="1" applyAlignment="1">
      <alignment horizontal="center" vertical="center" shrinkToFit="1"/>
    </xf>
    <xf numFmtId="0" fontId="27" fillId="0" borderId="13" xfId="0" applyFont="1" applyBorder="1" applyAlignment="1">
      <alignment horizontal="center" vertical="center" shrinkToFit="1"/>
    </xf>
    <xf numFmtId="0" fontId="34" fillId="3" borderId="4" xfId="0" applyFont="1" applyFill="1" applyBorder="1" applyAlignment="1">
      <alignment horizontal="center" vertical="center" shrinkToFit="1"/>
    </xf>
    <xf numFmtId="0" fontId="34" fillId="3" borderId="2" xfId="0" applyFont="1" applyFill="1" applyBorder="1" applyAlignment="1">
      <alignment horizontal="center" vertical="center" shrinkToFit="1"/>
    </xf>
    <xf numFmtId="0" fontId="34" fillId="3" borderId="11" xfId="0" applyFont="1" applyFill="1" applyBorder="1" applyAlignment="1">
      <alignment horizontal="center" vertical="center" shrinkToFit="1"/>
    </xf>
    <xf numFmtId="0" fontId="34" fillId="3" borderId="9" xfId="0" applyFont="1" applyFill="1" applyBorder="1" applyAlignment="1">
      <alignment horizontal="center" vertical="center" shrinkToFit="1"/>
    </xf>
    <xf numFmtId="0" fontId="34" fillId="3" borderId="3" xfId="0" applyFont="1" applyFill="1" applyBorder="1" applyAlignment="1">
      <alignment horizontal="center" vertical="center" shrinkToFit="1"/>
    </xf>
    <xf numFmtId="0" fontId="34" fillId="3" borderId="13" xfId="0" applyFont="1" applyFill="1" applyBorder="1" applyAlignment="1">
      <alignment horizontal="center" vertical="center" shrinkToFit="1"/>
    </xf>
    <xf numFmtId="0" fontId="33" fillId="0" borderId="4" xfId="0" applyFont="1" applyBorder="1" applyAlignment="1">
      <alignment horizontal="center" vertical="center" shrinkToFit="1"/>
    </xf>
    <xf numFmtId="0" fontId="33" fillId="0" borderId="2" xfId="0" applyFont="1" applyBorder="1" applyAlignment="1">
      <alignment horizontal="center" vertical="center" shrinkToFit="1"/>
    </xf>
    <xf numFmtId="0" fontId="33" fillId="0" borderId="11" xfId="0" applyFont="1" applyBorder="1" applyAlignment="1">
      <alignment horizontal="center" vertical="center" shrinkToFit="1"/>
    </xf>
    <xf numFmtId="0" fontId="33" fillId="0" borderId="9" xfId="0" applyFont="1" applyBorder="1" applyAlignment="1">
      <alignment horizontal="center" vertical="center" shrinkToFit="1"/>
    </xf>
    <xf numFmtId="0" fontId="33" fillId="0" borderId="3" xfId="0" applyFont="1" applyBorder="1" applyAlignment="1">
      <alignment horizontal="center" vertical="center" shrinkToFit="1"/>
    </xf>
    <xf numFmtId="0" fontId="33" fillId="0" borderId="13" xfId="0" applyFont="1" applyBorder="1" applyAlignment="1">
      <alignment horizontal="center" vertical="center" shrinkToFit="1"/>
    </xf>
    <xf numFmtId="0" fontId="36" fillId="3" borderId="106" xfId="0" applyFont="1" applyFill="1" applyBorder="1" applyAlignment="1">
      <alignment horizontal="center"/>
    </xf>
    <xf numFmtId="0" fontId="35" fillId="0" borderId="0" xfId="0" applyFont="1" applyAlignment="1">
      <alignment horizontal="center" shrinkToFit="1"/>
    </xf>
    <xf numFmtId="0" fontId="14" fillId="0" borderId="55" xfId="0" applyFont="1" applyBorder="1" applyAlignment="1">
      <alignment horizontal="center" shrinkToFit="1"/>
    </xf>
    <xf numFmtId="0" fontId="14" fillId="0" borderId="10" xfId="0" applyFont="1" applyBorder="1" applyAlignment="1">
      <alignment horizontal="center" vertical="center"/>
    </xf>
    <xf numFmtId="0" fontId="14" fillId="0" borderId="55" xfId="0" applyFont="1" applyBorder="1" applyAlignment="1">
      <alignment horizontal="center" vertical="center"/>
    </xf>
    <xf numFmtId="0" fontId="14" fillId="0" borderId="38"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14" fillId="0" borderId="10" xfId="0" applyFont="1" applyBorder="1" applyAlignment="1">
      <alignment horizontal="center" shrinkToFit="1"/>
    </xf>
    <xf numFmtId="0" fontId="14" fillId="0" borderId="38" xfId="0" applyFont="1" applyBorder="1" applyAlignment="1">
      <alignment horizontal="center" shrinkToFit="1"/>
    </xf>
    <xf numFmtId="0" fontId="11" fillId="0" borderId="10" xfId="0" applyFont="1" applyBorder="1" applyAlignment="1">
      <alignment horizontal="center" shrinkToFit="1"/>
    </xf>
    <xf numFmtId="0" fontId="11" fillId="0" borderId="55" xfId="0" applyFont="1" applyBorder="1" applyAlignment="1">
      <alignment horizontal="center" shrinkToFit="1"/>
    </xf>
    <xf numFmtId="0" fontId="11" fillId="0" borderId="38" xfId="0" applyFont="1" applyBorder="1" applyAlignment="1">
      <alignment horizontal="center" shrinkToFit="1"/>
    </xf>
    <xf numFmtId="0" fontId="33" fillId="3" borderId="10" xfId="0" applyFont="1" applyFill="1" applyBorder="1" applyAlignment="1">
      <alignment horizontal="center" shrinkToFit="1"/>
    </xf>
    <xf numFmtId="0" fontId="33" fillId="3" borderId="55" xfId="0" applyFont="1" applyFill="1" applyBorder="1" applyAlignment="1">
      <alignment horizontal="center" shrinkToFit="1"/>
    </xf>
    <xf numFmtId="0" fontId="33" fillId="3" borderId="38" xfId="0" applyFont="1" applyFill="1" applyBorder="1" applyAlignment="1">
      <alignment horizontal="center" shrinkToFit="1"/>
    </xf>
    <xf numFmtId="0" fontId="0" fillId="0" borderId="9"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11" xfId="0" applyBorder="1" applyAlignment="1" applyProtection="1">
      <alignment horizontal="center"/>
      <protection locked="0"/>
    </xf>
    <xf numFmtId="0" fontId="11" fillId="0" borderId="2" xfId="0" applyFont="1" applyBorder="1" applyAlignment="1">
      <alignment horizontal="center"/>
    </xf>
  </cellXfs>
  <cellStyles count="4">
    <cellStyle name="Comma" xfId="1" builtinId="3"/>
    <cellStyle name="Comma 2" xfId="3" xr:uid="{1F170453-B272-4474-A53A-B1AF5CDE7B99}"/>
    <cellStyle name="Normal" xfId="0" builtinId="0"/>
    <cellStyle name="Normal 2" xfId="2" xr:uid="{D0CB86D1-8800-4A88-AE31-6794C2F78943}"/>
  </cellStyles>
  <dxfs count="771">
    <dxf>
      <fill>
        <patternFill>
          <bgColor theme="0" tint="-0.499984740745262"/>
        </patternFill>
      </fill>
    </dxf>
    <dxf>
      <fill>
        <patternFill>
          <bgColor theme="0" tint="-0.499984740745262"/>
        </patternFill>
      </fill>
    </dxf>
    <dxf>
      <fill>
        <patternFill>
          <bgColor theme="0" tint="-0.499984740745262"/>
        </patternFill>
      </fill>
    </dxf>
    <dxf>
      <font>
        <u val="double"/>
      </font>
    </dxf>
    <dxf>
      <font>
        <u val="double"/>
      </font>
    </dxf>
    <dxf>
      <font>
        <u val="double"/>
      </font>
    </dxf>
    <dxf>
      <font>
        <u val="double"/>
      </font>
      <border>
        <vertical/>
        <horizontal/>
      </border>
    </dxf>
    <dxf>
      <font>
        <u val="double"/>
      </font>
    </dxf>
    <dxf>
      <font>
        <u val="double"/>
      </font>
    </dxf>
    <dxf>
      <font>
        <u val="double"/>
      </font>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FF00"/>
        </patternFill>
      </fill>
    </dxf>
    <dxf>
      <fill>
        <patternFill>
          <bgColor theme="0" tint="-0.499984740745262"/>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ill>
        <patternFill>
          <bgColor theme="0" tint="-0.499984740745262"/>
        </patternFill>
      </fill>
    </dxf>
    <dxf>
      <fill>
        <patternFill>
          <bgColor theme="1" tint="0.499984740745262"/>
        </patternFill>
      </fill>
    </dxf>
    <dxf>
      <font>
        <color theme="1"/>
      </font>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theme="0"/>
        </patternFill>
      </fill>
    </dxf>
    <dxf>
      <fill>
        <patternFill>
          <bgColor rgb="FFFF0000"/>
        </patternFill>
      </fill>
    </dxf>
    <dxf>
      <fill>
        <patternFill>
          <bgColor rgb="FFFF0000"/>
        </patternFill>
      </fill>
    </dxf>
    <dxf>
      <fill>
        <patternFill>
          <bgColor theme="9" tint="0.79998168889431442"/>
        </patternFill>
      </fill>
    </dxf>
    <dxf>
      <fill>
        <patternFill>
          <bgColor theme="1"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patternFill>
      </fill>
    </dxf>
    <dxf>
      <font>
        <color theme="1"/>
      </font>
      <fill>
        <patternFill>
          <bgColor theme="0"/>
        </patternFill>
      </fill>
    </dxf>
    <dxf>
      <fill>
        <patternFill>
          <bgColor theme="0"/>
        </patternFill>
      </fill>
    </dxf>
    <dxf>
      <fill>
        <patternFill>
          <bgColor theme="7"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patternType="none">
          <bgColor auto="1"/>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24994659260841701"/>
        </patternFill>
      </fill>
    </dxf>
    <dxf>
      <fill>
        <patternFill>
          <bgColor rgb="FFFFFF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FF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rgb="FFFF0000"/>
        </patternFill>
      </fill>
    </dxf>
    <dxf>
      <font>
        <b/>
        <i val="0"/>
        <color theme="4" tint="-0.24994659260841701"/>
      </font>
      <border>
        <left style="thin">
          <color auto="1"/>
        </left>
        <right style="thin">
          <color auto="1"/>
        </right>
        <top style="thin">
          <color auto="1"/>
        </top>
        <bottom style="thin">
          <color auto="1"/>
        </bottom>
        <vertical/>
        <horizontal/>
      </border>
    </dxf>
    <dxf>
      <font>
        <b/>
        <i val="0"/>
        <color theme="4" tint="-0.24994659260841701"/>
      </font>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border>
    </dxf>
    <dxf>
      <fill>
        <patternFill patternType="none">
          <bgColor auto="1"/>
        </patternFill>
      </fill>
    </dxf>
    <dxf>
      <font>
        <b/>
        <i val="0"/>
        <color theme="4" tint="-0.24994659260841701"/>
      </font>
      <border>
        <left style="thin">
          <color theme="4" tint="-0.24994659260841701"/>
        </left>
        <right style="thin">
          <color theme="4" tint="-0.24994659260841701"/>
        </right>
        <top style="thin">
          <color theme="4" tint="-0.24994659260841701"/>
        </top>
        <bottom style="thin">
          <color theme="4" tint="-0.24994659260841701"/>
        </bottom>
        <vertical/>
        <horizontal/>
      </border>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tint="-0.499984740745262"/>
        </patternFill>
      </fill>
    </dxf>
    <dxf>
      <fill>
        <patternFill>
          <bgColor rgb="FFFFFF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FF00"/>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00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0000"/>
        </patternFill>
      </fill>
    </dxf>
    <dxf>
      <fill>
        <patternFill>
          <bgColor rgb="FFFF000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bgColor theme="4" tint="0.79998168889431442"/>
        </patternFill>
      </fill>
    </dxf>
    <dxf>
      <fill>
        <patternFill>
          <bgColor rgb="FFFF0000"/>
        </patternFill>
      </fill>
    </dxf>
    <dxf>
      <fill>
        <patternFill>
          <bgColor theme="0"/>
        </patternFill>
      </fill>
    </dxf>
    <dxf>
      <fill>
        <patternFill patternType="none">
          <bgColor auto="1"/>
        </patternFill>
      </fill>
    </dxf>
    <dxf>
      <fill>
        <patternFill patternType="none">
          <bgColor auto="1"/>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8"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8" tint="0.79998168889431442"/>
        </patternFill>
      </fill>
    </dxf>
    <dxf>
      <fill>
        <patternFill>
          <bgColor rgb="FFFF0000"/>
        </patternFill>
      </fill>
    </dxf>
    <dxf>
      <fill>
        <patternFill>
          <bgColor theme="0" tint="-0.499984740745262"/>
        </patternFill>
      </fill>
    </dxf>
    <dxf>
      <fill>
        <patternFill>
          <bgColor rgb="FFFF0000"/>
        </patternFill>
      </fill>
    </dxf>
    <dxf>
      <fill>
        <patternFill>
          <bgColor theme="8" tint="0.79998168889431442"/>
        </patternFill>
      </fill>
    </dxf>
    <dxf>
      <font>
        <color auto="1"/>
      </font>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font>
      <fill>
        <patternFill>
          <bgColor rgb="FFFFFF00"/>
        </patternFill>
      </fill>
    </dxf>
    <dxf>
      <fill>
        <patternFill>
          <bgColor theme="8" tint="0.79998168889431442"/>
        </patternFill>
      </fill>
    </dxf>
    <dxf>
      <fill>
        <patternFill>
          <bgColor theme="8" tint="0.79998168889431442"/>
        </patternFill>
      </fill>
    </dxf>
    <dxf>
      <font>
        <color auto="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theme="8" tint="0.59996337778862885"/>
        </patternFill>
      </fill>
    </dxf>
    <dxf>
      <fill>
        <patternFill>
          <bgColor rgb="FFFFFF00"/>
        </patternFill>
      </fill>
    </dxf>
    <dxf>
      <fill>
        <patternFill>
          <bgColor theme="8" tint="0.79998168889431442"/>
        </patternFill>
      </fill>
    </dxf>
    <dxf>
      <font>
        <color theme="1"/>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theme="8" tint="0.79998168889431442"/>
        </patternFill>
      </fill>
    </dxf>
    <dxf>
      <fill>
        <patternFill>
          <bgColor theme="0" tint="-0.499984740745262"/>
        </patternFill>
      </fill>
    </dxf>
    <dxf>
      <fill>
        <patternFill>
          <bgColor rgb="FFFF0000"/>
        </patternFill>
      </fill>
    </dxf>
    <dxf>
      <fill>
        <patternFill>
          <bgColor theme="8" tint="0.59996337778862885"/>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theme="0" tint="-0.499984740745262"/>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ill>
        <patternFill>
          <bgColor rgb="FFFF0000"/>
        </patternFill>
      </fill>
    </dxf>
    <dxf>
      <fill>
        <patternFill>
          <bgColor theme="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1"/>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theme="0" tint="-0.499984740745262"/>
        </patternFill>
      </fill>
    </dxf>
    <dxf>
      <font>
        <color auto="1"/>
      </font>
      <fill>
        <patternFill patternType="none">
          <bgColor auto="1"/>
        </patternFill>
      </fill>
    </dxf>
    <dxf>
      <fill>
        <patternFill>
          <bgColor rgb="FFFFFF00"/>
        </patternFill>
      </fill>
    </dxf>
    <dxf>
      <font>
        <color auto="1"/>
      </font>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bgColor rgb="FFFF0000"/>
        </patternFill>
      </fill>
    </dxf>
    <dxf>
      <fill>
        <patternFill patternType="none">
          <bgColor auto="1"/>
        </patternFill>
      </fill>
    </dxf>
    <dxf>
      <fill>
        <patternFill patternType="none">
          <bgColor auto="1"/>
        </patternFill>
      </fill>
    </dxf>
    <dxf>
      <fill>
        <patternFill>
          <bgColor theme="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FF00"/>
        </patternFill>
      </fill>
    </dxf>
    <dxf>
      <fill>
        <patternFill>
          <bgColor theme="0" tint="-0.499984740745262"/>
        </patternFill>
      </fill>
    </dxf>
    <dxf>
      <font>
        <color theme="1"/>
      </font>
    </dxf>
    <dxf>
      <fill>
        <patternFill>
          <bgColor rgb="FFFFFF00"/>
        </patternFill>
      </fill>
    </dxf>
    <dxf>
      <fill>
        <patternFill>
          <bgColor theme="0" tint="-0.499984740745262"/>
        </patternFill>
      </fill>
    </dxf>
    <dxf>
      <fill>
        <patternFill>
          <bgColor theme="0"/>
        </patternFill>
      </fill>
    </dxf>
    <dxf>
      <font>
        <color auto="1"/>
      </font>
      <fill>
        <patternFill patternType="solid">
          <bgColor rgb="FFFF0000"/>
        </patternFill>
      </fill>
    </dxf>
    <dxf>
      <fill>
        <patternFill>
          <bgColor theme="4"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ont>
        <color auto="1"/>
      </font>
      <fill>
        <patternFill>
          <bgColor rgb="FFFFFF00"/>
        </patternFill>
      </fill>
    </dxf>
    <dxf>
      <font>
        <color theme="0"/>
      </font>
    </dxf>
    <dxf>
      <font>
        <color auto="1"/>
      </font>
      <fill>
        <patternFill>
          <bgColor rgb="FFFF0000"/>
        </patternFill>
      </fill>
    </dxf>
    <dxf>
      <fill>
        <patternFill>
          <bgColor rgb="FFFFFF00"/>
        </patternFill>
      </fill>
    </dxf>
    <dxf>
      <fill>
        <patternFill>
          <bgColor theme="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theme="0"/>
        </patternFill>
      </fill>
    </dxf>
    <dxf>
      <fill>
        <patternFill>
          <bgColor rgb="FFFFFF00"/>
        </patternFill>
      </fill>
    </dxf>
    <dxf>
      <fill>
        <patternFill>
          <bgColor theme="0" tint="-0.49998474074526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0000"/>
        </patternFill>
      </fill>
    </dxf>
    <dxf>
      <fill>
        <patternFill>
          <bgColor rgb="FFFF0000"/>
        </patternFill>
      </fill>
    </dxf>
    <dxf>
      <fill>
        <patternFill>
          <bgColor theme="0" tint="-0.499984740745262"/>
        </patternFill>
      </fill>
    </dxf>
    <dxf>
      <fill>
        <patternFill>
          <bgColor theme="0" tint="-0.499984740745262"/>
        </patternFill>
      </fill>
    </dxf>
    <dxf>
      <fill>
        <patternFill>
          <bgColor rgb="FFFF0000"/>
        </patternFill>
      </fill>
    </dxf>
    <dxf>
      <fill>
        <patternFill>
          <bgColor theme="0"/>
        </patternFill>
      </fill>
    </dxf>
    <dxf>
      <fill>
        <patternFill>
          <bgColor theme="0" tint="-0.499984740745262"/>
        </patternFill>
      </fill>
    </dxf>
    <dxf>
      <fill>
        <patternFill patternType="none">
          <bgColor auto="1"/>
        </patternFill>
      </fill>
    </dxf>
    <dxf>
      <fill>
        <patternFill>
          <bgColor theme="7" tint="0.59996337778862885"/>
        </patternFill>
      </fill>
      <border>
        <left style="thin">
          <color rgb="FFFF0000"/>
        </left>
        <right style="thin">
          <color rgb="FFFF0000"/>
        </right>
        <top style="thin">
          <color rgb="FFFF0000"/>
        </top>
        <bottom style="thin">
          <color rgb="FFFF0000"/>
        </bottom>
        <vertical/>
        <horizontal/>
      </border>
    </dxf>
    <dxf>
      <fill>
        <patternFill>
          <bgColor rgb="FFFFFFCC"/>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bgColor theme="0"/>
        </patternFill>
      </fill>
    </dxf>
    <dxf>
      <fill>
        <patternFill>
          <bgColor rgb="FFFF0000"/>
        </patternFill>
      </fill>
    </dxf>
    <dxf>
      <font>
        <color theme="1"/>
      </font>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C000"/>
        </patternFill>
      </fill>
    </dxf>
    <dxf>
      <fill>
        <patternFill>
          <bgColor theme="4" tint="0.79998168889431442"/>
        </patternFill>
      </fill>
    </dxf>
    <dxf>
      <fill>
        <patternFill>
          <bgColor rgb="FFFFFF00"/>
        </patternFill>
      </fill>
    </dxf>
    <dxf>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theme="4" tint="0.79998168889431442"/>
        </patternFill>
      </fill>
    </dxf>
    <dxf>
      <fill>
        <patternFill>
          <bgColor rgb="FFFFFF00"/>
        </patternFill>
      </fill>
    </dxf>
    <dxf>
      <fill>
        <patternFill>
          <bgColor rgb="FFFFFF00"/>
        </patternFill>
      </fill>
    </dxf>
    <dxf>
      <fill>
        <patternFill>
          <bgColor rgb="FFFF0000"/>
        </patternFill>
      </fill>
    </dxf>
    <dxf>
      <fill>
        <patternFill>
          <bgColor theme="0"/>
        </patternFill>
      </fill>
    </dxf>
    <dxf>
      <fill>
        <patternFill>
          <bgColor theme="0" tint="-0.499984740745262"/>
        </patternFill>
      </fill>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0" tint="-0.499984740745262"/>
        </patternFill>
      </fill>
    </dxf>
    <dxf>
      <fill>
        <patternFill>
          <bgColor rgb="FFFF0000"/>
        </patternFill>
      </fill>
    </dxf>
    <dxf>
      <fill>
        <patternFill>
          <bgColor theme="4" tint="0.79998168889431442"/>
        </patternFill>
      </fill>
    </dxf>
    <dxf>
      <fill>
        <patternFill>
          <bgColor theme="0"/>
        </patternFill>
      </fill>
    </dxf>
    <dxf>
      <fill>
        <patternFill>
          <bgColor theme="0" tint="-4.9989318521683403E-2"/>
        </patternFill>
      </fill>
    </dxf>
    <dxf>
      <fill>
        <patternFill>
          <bgColor rgb="FFFFC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FF0000"/>
        </patternFill>
      </fill>
    </dxf>
    <dxf>
      <fill>
        <patternFill>
          <bgColor theme="0" tint="-0.499984740745262"/>
        </patternFill>
      </fill>
    </dxf>
    <dxf>
      <font>
        <color theme="1"/>
      </font>
      <fill>
        <patternFill>
          <bgColor rgb="FFFFFF00"/>
        </patternFill>
      </fill>
    </dxf>
    <dxf>
      <font>
        <color theme="1"/>
      </font>
      <fill>
        <patternFill>
          <bgColor rgb="FFFFFF00"/>
        </patternFill>
      </fill>
    </dxf>
    <dxf>
      <fill>
        <patternFill>
          <bgColor rgb="FFFF0000"/>
        </patternFill>
      </fill>
    </dxf>
    <dxf>
      <fill>
        <patternFill>
          <bgColor theme="9" tint="0.79998168889431442"/>
        </patternFill>
      </fill>
    </dxf>
    <dxf>
      <fill>
        <patternFill>
          <bgColor rgb="FFFF0000"/>
        </patternFill>
      </fill>
    </dxf>
    <dxf>
      <fill>
        <patternFill>
          <bgColor rgb="FFFFFF00"/>
        </patternFill>
      </fill>
    </dxf>
    <dxf>
      <fill>
        <patternFill>
          <bgColor theme="9" tint="0.7999816888943144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theme="9" tint="0.79998168889431442"/>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rgb="FFFF0000"/>
        </patternFill>
      </fill>
    </dxf>
    <dxf>
      <font>
        <color theme="1" tint="4.9989318521683403E-2"/>
      </font>
      <fill>
        <patternFill patternType="none">
          <bgColor auto="1"/>
        </patternFill>
      </fill>
    </dxf>
    <dxf>
      <fill>
        <patternFill>
          <bgColor rgb="FFFF0000"/>
        </patternFill>
      </fill>
    </dxf>
    <dxf>
      <fill>
        <patternFill>
          <bgColor rgb="FFFFFF00"/>
        </patternFill>
      </fill>
    </dxf>
    <dxf>
      <font>
        <color theme="0" tint="-0.499984740745262"/>
      </font>
      <fill>
        <patternFill>
          <bgColor theme="0" tint="-0.499984740745262"/>
        </patternFill>
      </fill>
      <border>
        <left/>
        <right/>
        <top/>
        <bottom/>
        <vertical/>
        <horizontal/>
      </border>
    </dxf>
    <dxf>
      <fill>
        <patternFill>
          <bgColor theme="8" tint="0.79998168889431442"/>
        </patternFill>
      </fill>
    </dxf>
    <dxf>
      <fill>
        <patternFill>
          <bgColor theme="0" tint="-0.499984740745262"/>
        </patternFill>
      </fill>
    </dxf>
    <dxf>
      <fill>
        <patternFill>
          <bgColor theme="0" tint="-0.499984740745262"/>
        </patternFill>
      </fill>
    </dxf>
    <dxf>
      <font>
        <color theme="0" tint="-0.24994659260841701"/>
      </font>
      <fill>
        <patternFill>
          <bgColor theme="0" tint="-0.24994659260841701"/>
        </patternFill>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bgColor rgb="FFFF0000"/>
        </patternFill>
      </fill>
    </dxf>
    <dxf>
      <border>
        <top style="thin">
          <color auto="1"/>
        </top>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EBFF"/>
      <color rgb="FFFFFFCC"/>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Traveller/Books/Ship%20Designer%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ow r="2">
          <cell r="S2" t="str">
            <v>Buffered Planetoid</v>
          </cell>
        </row>
        <row r="3">
          <cell r="S3" t="str">
            <v>Close Structure</v>
          </cell>
        </row>
        <row r="4">
          <cell r="S4" t="str">
            <v>Cone</v>
          </cell>
        </row>
        <row r="5">
          <cell r="S5" t="str">
            <v>Cyllinder</v>
          </cell>
        </row>
        <row r="6">
          <cell r="S6" t="str">
            <v>Dispersed Structure</v>
          </cell>
        </row>
        <row r="7">
          <cell r="S7" t="str">
            <v>Needle</v>
          </cell>
        </row>
        <row r="8">
          <cell r="S8" t="str">
            <v>Planetoid</v>
          </cell>
        </row>
        <row r="9">
          <cell r="S9" t="str">
            <v>Sphere</v>
          </cell>
        </row>
        <row r="10">
          <cell r="S10" t="str">
            <v>Standard</v>
          </cell>
        </row>
        <row r="11">
          <cell r="S11" t="str">
            <v>Wedge</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478A8-A38D-4885-B973-BB308FBBB24A}" name="Table1" displayName="Table1" ref="BB1:BN23" totalsRowShown="0">
  <autoFilter ref="BB1:BN23" xr:uid="{98433963-35E7-48FA-9A58-F3D57CB478BD}"/>
  <sortState xmlns:xlrd2="http://schemas.microsoft.com/office/spreadsheetml/2017/richdata2" ref="BB2:BM23">
    <sortCondition ref="BB2:BB23"/>
  </sortState>
  <tableColumns count="13">
    <tableColumn id="1" xr3:uid="{EB087458-4553-4147-9CC1-808F5E1ED093}" name="Hardpoints"/>
    <tableColumn id="2" xr3:uid="{0E5952A5-EB56-43EE-9A09-CA0296A44C2C}" name="TL"/>
    <tableColumn id="3" xr3:uid="{A38C5C9C-24E6-4D82-AA35-8BC92A347CEA}" name="PWR"/>
    <tableColumn id="4" xr3:uid="{AA2423EC-867C-42B8-B3E7-C86399F87FD1}" name="Tons"/>
    <tableColumn id="5" xr3:uid="{0522E758-4DDD-409C-BA96-3F4B946B1B4D}" name="Cost"/>
    <tableColumn id="6" xr3:uid="{9FA3B15B-B9CD-4354-A83A-5042FE5011A1}" name="hardpoints2"/>
    <tableColumn id="7" xr3:uid="{914F0C07-581A-4CBF-80B8-527A0C9206B5}" name="crew"/>
    <tableColumn id="8" xr3:uid="{1905DBBB-F4C5-4CDB-B788-F620B2D0D240}" name="Index"/>
    <tableColumn id="9" xr3:uid="{17B51A2A-FB6D-4C71-867B-3D7F40EB796E}" name="# Weaps"/>
    <tableColumn id="10" xr3:uid="{35D0D4BF-ED8F-46C0-8B10-8DCAA157452F}" name="Dmg Add" dataDxfId="770">
      <calculatedColumnFormula>""</calculatedColumnFormula>
    </tableColumn>
    <tableColumn id="11" xr3:uid="{05E252C8-A9BD-478F-9AC4-66377F1ED30C}" name="PwrMult"/>
    <tableColumn id="12" xr3:uid="{129A3DC1-FC68-4A8E-80FE-AAFED0828AB4}" name="Text"/>
    <tableColumn id="14" xr3:uid="{6A24D953-EFBC-44B7-BE26-908CFDBAD37F}" name="MilCrew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D79D52-CABF-4917-8259-C4867E710F3C}" name="Table2" displayName="Table2" ref="Z1:AK7" totalsRowShown="0">
  <autoFilter ref="Z1:AK7" xr:uid="{167EFAEC-584F-4FA7-899A-3B53D92E4510}"/>
  <sortState xmlns:xlrd2="http://schemas.microsoft.com/office/spreadsheetml/2017/richdata2" ref="Z2:AK7">
    <sortCondition ref="Z1:Z7"/>
  </sortState>
  <tableColumns count="12">
    <tableColumn id="1" xr3:uid="{B2EE4B40-D4E3-41FB-849D-50E9D035EE05}" name="Small Craft Firmpoints"/>
    <tableColumn id="2" xr3:uid="{CB798AE7-26B9-49C4-B4C6-BA820A0C87A4}" name="TL"/>
    <tableColumn id="3" xr3:uid="{F84A5C3C-8239-4F75-A415-9A1F05597C19}" name="PWR"/>
    <tableColumn id="4" xr3:uid="{E869D761-6E45-4717-AFDA-C2E0A73491BD}" name="Tons"/>
    <tableColumn id="5" xr3:uid="{770DEA85-C5AA-4E5F-8AF0-877B51CCF8AE}" name="Cost"/>
    <tableColumn id="6" xr3:uid="{1E99AB94-FA01-47C9-AE0A-D5E2E2383DA0}" name="hardpoints"/>
    <tableColumn id="7" xr3:uid="{657EBCDB-9EB7-420A-A401-C81C145C17A1}" name="crew"/>
    <tableColumn id="8" xr3:uid="{A4A18750-579D-4DED-9648-BE1891DF6D95}" name="Index"/>
    <tableColumn id="9" xr3:uid="{38434858-3977-4E8E-AF77-1AD8FDF24ED7}" name="# Weaps"/>
    <tableColumn id="10" xr3:uid="{5F07E763-3CA3-4831-84D4-8B71AB868DF8}" name="weapon cost" dataDxfId="769"/>
    <tableColumn id="11" xr3:uid="{7229727D-4D81-42B7-8845-24250CAF6C26}" name="PwrMult"/>
    <tableColumn id="12" xr3:uid="{28026E67-DC37-4C91-973F-BA724AF899C9}" name="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FC62FA-5681-4FD4-9845-8AF31BAF5316}" name="Table4" displayName="Table4" ref="W2:X26" totalsRowShown="0" headerRowDxfId="768" dataDxfId="766" headerRowBorderDxfId="767" tableBorderDxfId="765" totalsRowBorderDxfId="764">
  <autoFilter ref="W2:X26" xr:uid="{1AB22D71-6D53-4999-80D8-DEAE85A8DA99}"/>
  <sortState xmlns:xlrd2="http://schemas.microsoft.com/office/spreadsheetml/2017/richdata2" ref="W3:X26">
    <sortCondition ref="W2:W26"/>
  </sortState>
  <tableColumns count="2">
    <tableColumn id="1" xr3:uid="{5710D457-FC98-427E-ABEB-EE63A69460FA}" name="Column1" dataDxfId="763"/>
    <tableColumn id="2" xr3:uid="{3CE29EA1-5B25-44D6-95CF-EECA6D87B3A1}" name="Column2" dataDxfId="76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100F9-F0FA-4C75-9DC5-F90EDBB145FA}" name="Table3" displayName="Table3" ref="BB27:BS121" totalsRowShown="0" headerRowDxfId="761" dataDxfId="760">
  <autoFilter ref="BB27:BS121" xr:uid="{DEA2FE57-998B-49A1-AFC0-DFA208F24788}"/>
  <sortState xmlns:xlrd2="http://schemas.microsoft.com/office/spreadsheetml/2017/richdata2" ref="BB28:BS121">
    <sortCondition ref="BB28:BB121"/>
  </sortState>
  <tableColumns count="18">
    <tableColumn id="1" xr3:uid="{E259C58A-8725-445F-9DCD-DD100A18AC0E}" name="Weapon" dataDxfId="759"/>
    <tableColumn id="2" xr3:uid="{268F303A-D6B9-4594-8DAC-7EE27FE773FF}" name="TL" dataDxfId="758"/>
    <tableColumn id="3" xr3:uid="{3F0CD468-A0E9-47EF-B11F-CBC1C6E5E384}" name="Range" dataDxfId="757"/>
    <tableColumn id="4" xr3:uid="{70785B22-DC1A-41A8-AE9E-EAF85E518566}" name="Small Range" dataDxfId="756"/>
    <tableColumn id="5" xr3:uid="{2ADCF830-FC1B-4410-8C8C-2D0CD8749F6A}" name="PWR" dataDxfId="755"/>
    <tableColumn id="6" xr3:uid="{7C5266B8-AB92-4FC7-A7D7-162953EAA114}" name="DAM" dataDxfId="754"/>
    <tableColumn id="7" xr3:uid="{3BEA295C-87C1-4A88-BDFD-D1037BF4D55B}" name="Cost" dataDxfId="753"/>
    <tableColumn id="8" xr3:uid="{B058DA95-72D9-4B79-9A62-1B5B131FB0A0}" name="Notes" dataDxfId="752"/>
    <tableColumn id="9" xr3:uid="{96C76D11-7498-48B6-96E5-567415BBE13F}" name="Column1" dataDxfId="751"/>
    <tableColumn id="10" xr3:uid="{A8A41C54-00B9-453E-BDC6-869342696C9E}" name="Missile" dataDxfId="750"/>
    <tableColumn id="11" xr3:uid="{570EE8F4-A84E-4194-B5F2-C4DB12CB26FD}" name="Index" dataDxfId="749"/>
    <tableColumn id="12" xr3:uid="{F281A17A-0734-45B5-BF43-8BECE256C55F}" name="1" dataDxfId="748"/>
    <tableColumn id="13" xr3:uid="{8CE19AFF-4F92-48DD-BACA-F4FB959153E2}" name="2" dataDxfId="747"/>
    <tableColumn id="14" xr3:uid="{E8476A3C-E5C3-4F6B-B4AF-6756108D8EC1}" name="3" dataDxfId="746"/>
    <tableColumn id="15" xr3:uid="{FEAECF50-8FB1-4B0C-AD43-D3D3E0DA0A48}" name="4" dataDxfId="745"/>
    <tableColumn id="16" xr3:uid="{37D54A7B-EE99-4D23-B486-B3219941CDE6}" name="5" dataDxfId="744"/>
    <tableColumn id="17" xr3:uid="{A70BE25E-7F17-433E-9CEB-BB4901D158DD}" name="6" dataDxfId="743"/>
    <tableColumn id="18" xr3:uid="{BB6B7334-175D-4FF1-8C79-0663F693CBBB}" name="7" dataDxfId="7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B72DCE-171E-4DAC-91D4-A48D02268F4D}" name="Table5" displayName="Table5" ref="Z50:AN76" totalsRowShown="0" tableBorderDxfId="741">
  <autoFilter ref="Z50:AN76" xr:uid="{9129DBC3-A5ED-4A88-8610-804A6675FF0B}"/>
  <sortState xmlns:xlrd2="http://schemas.microsoft.com/office/spreadsheetml/2017/richdata2" ref="Z51:AN76">
    <sortCondition ref="Z50:Z76"/>
  </sortState>
  <tableColumns count="15">
    <tableColumn id="1" xr3:uid="{085BB592-7D59-4E1E-B9D6-E008104D8E55}" name="Weapon Modifications"/>
    <tableColumn id="2" xr3:uid="{AD5F8118-162E-4BA4-A9EA-7D097542C8F9}" name="TL"/>
    <tableColumn id="3" xr3:uid="{9388C624-75F0-452B-86C5-81AECA3EFA70}" name="PWR"/>
    <tableColumn id="4" xr3:uid="{6EA68A78-746F-4534-A731-7894B4226C01}" name="Tons"/>
    <tableColumn id="5" xr3:uid="{793AC449-FEFE-4AE7-8DC3-11ADBB1C13E8}" name="Cost"/>
    <tableColumn id="6" xr3:uid="{12BA8B33-346D-4683-B896-1AAD447E5855}" name="Notes"/>
    <tableColumn id="7" xr3:uid="{57F53C81-39EC-42B8-A5F6-C4BBDAA43CB8}" name="Column1"/>
    <tableColumn id="8" xr3:uid="{5E16F2BA-C26D-4B9B-A111-F637936D8217}" name="Column2"/>
    <tableColumn id="9" xr3:uid="{BFE4D1DA-5F5B-49F4-B0B1-D96A209942CE}" name="# Mods" dataDxfId="740"/>
    <tableColumn id="10" xr3:uid="{4F2D57C2-9EB6-4607-8328-38CEC7EDFC17}" name="Mod Name"/>
    <tableColumn id="11" xr3:uid="{ECEEA19E-389B-41FF-96DA-1FFFD73C91DC}" name="Column3"/>
    <tableColumn id="12" xr3:uid="{64EF6091-5CE9-4039-82F7-FD0801B7E5FA}" name="Column4"/>
    <tableColumn id="13" xr3:uid="{40AAEBC5-9836-474C-B0B7-1F5B8F203D3F}" name="Notes5"/>
    <tableColumn id="14" xr3:uid="{93E9008F-7B0D-4C99-AA0C-56E7D8AF265B}" name="Column6"/>
    <tableColumn id="15" xr3:uid="{38203A6F-706C-432A-B479-C0E2D8C5614A}" name="Column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5EA0A8-6DC8-4A7E-B7F3-D6085547366A}" name="Table6" displayName="Table6" ref="Z124:AH151" totalsRowShown="0" dataDxfId="739" tableBorderDxfId="738">
  <autoFilter ref="Z124:AH151" xr:uid="{A85EA0A8-6DC8-4A7E-B7F3-D6085547366A}"/>
  <sortState xmlns:xlrd2="http://schemas.microsoft.com/office/spreadsheetml/2017/richdata2" ref="Z125:AH151">
    <sortCondition ref="Z124:Z151"/>
  </sortState>
  <tableColumns count="9">
    <tableColumn id="1" xr3:uid="{4A4F84DF-F621-4136-A73C-61C5E42749D0}" name="Mod" dataDxfId="737"/>
    <tableColumn id="2" xr3:uid="{1CF94512-B535-4786-8982-F3223044A7E2}" name="TL" dataDxfId="736"/>
    <tableColumn id="3" xr3:uid="{CAF95523-0B5E-4392-85F7-2D332349DBE3}" name="PWR" dataDxfId="735"/>
    <tableColumn id="4" xr3:uid="{270154A6-A49A-415C-922D-C67A3C516C1B}" name="Tons" dataDxfId="734"/>
    <tableColumn id="5" xr3:uid="{DCA0F4F2-A271-4399-A3B4-F23C0EB1FE49}" name="Cost" dataDxfId="733"/>
    <tableColumn id="6" xr3:uid="{CA115E9A-809D-4C8B-9FB6-ADFC805B72EB}" name="Notes" dataDxfId="732"/>
    <tableColumn id="7" xr3:uid="{8A07A007-7B21-43E0-AC38-8AEEF0BB9FA5}" name="#Mods" dataDxfId="731"/>
    <tableColumn id="8" xr3:uid="{E741371F-925E-4CF1-B38E-A4613D251C2D}" name="Mod Name" dataDxfId="730"/>
    <tableColumn id="9" xr3:uid="{95B4E953-CDA9-4925-BDB5-B00256809E16}" name="SSD Notes" dataDxfId="7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743068-5C85-4037-B550-5E9AC84690AB}" name="Table7" displayName="Table7" ref="AZ1:AZ23" totalsRowShown="0" tableBorderDxfId="728">
  <autoFilter ref="AZ1:AZ23" xr:uid="{CA743068-5C85-4037-B550-5E9AC84690AB}"/>
  <tableColumns count="1">
    <tableColumn id="1" xr3:uid="{4643F4B0-5CF4-4174-8548-DF576533C007}" name="HP"/>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15412-DFA6-4A0C-8CDA-ECB37A532CC9}">
  <dimension ref="A1:A31"/>
  <sheetViews>
    <sheetView workbookViewId="0">
      <selection activeCell="A2" sqref="A2"/>
    </sheetView>
  </sheetViews>
  <sheetFormatPr baseColWidth="10" defaultColWidth="8.83203125" defaultRowHeight="15"/>
  <sheetData>
    <row r="1" spans="1:1">
      <c r="A1" t="s">
        <v>2451</v>
      </c>
    </row>
    <row r="3" spans="1:1">
      <c r="A3" t="s">
        <v>754</v>
      </c>
    </row>
    <row r="5" spans="1:1">
      <c r="A5" t="s">
        <v>745</v>
      </c>
    </row>
    <row r="7" spans="1:1">
      <c r="A7" t="s">
        <v>746</v>
      </c>
    </row>
    <row r="9" spans="1:1">
      <c r="A9" t="s">
        <v>1219</v>
      </c>
    </row>
    <row r="10" spans="1:1">
      <c r="A10" t="s">
        <v>1560</v>
      </c>
    </row>
    <row r="12" spans="1:1">
      <c r="A12" t="s">
        <v>751</v>
      </c>
    </row>
    <row r="14" spans="1:1">
      <c r="A14" t="s">
        <v>2073</v>
      </c>
    </row>
    <row r="15" spans="1:1">
      <c r="A15" t="s">
        <v>1221</v>
      </c>
    </row>
    <row r="16" spans="1:1">
      <c r="A16" t="s">
        <v>1220</v>
      </c>
    </row>
    <row r="17" spans="1:1">
      <c r="A17" t="s">
        <v>1700</v>
      </c>
    </row>
    <row r="19" spans="1:1">
      <c r="A19" t="s">
        <v>747</v>
      </c>
    </row>
    <row r="21" spans="1:1">
      <c r="A21" t="s">
        <v>748</v>
      </c>
    </row>
    <row r="23" spans="1:1">
      <c r="A23" t="s">
        <v>758</v>
      </c>
    </row>
    <row r="25" spans="1:1">
      <c r="A25" t="s">
        <v>749</v>
      </c>
    </row>
    <row r="27" spans="1:1">
      <c r="A27" t="s">
        <v>750</v>
      </c>
    </row>
    <row r="28" spans="1:1">
      <c r="A28" t="s">
        <v>752</v>
      </c>
    </row>
    <row r="30" spans="1:1">
      <c r="A30" t="s">
        <v>1210</v>
      </c>
    </row>
    <row r="31" spans="1:1">
      <c r="A31" t="s">
        <v>1294</v>
      </c>
    </row>
  </sheetData>
  <sheetProtection algorithmName="SHA-512" hashValue="pl+Ay45dHc7p9KTZvAfSPRJfugnWSNnK/ztdyn+7Whbd/FWMPhBm015XGhEAPbu7S4C8wDG5PUMQXuS8h5G22g==" saltValue="s6WW5gx9OsyamN1HZMNlRQ==" spinCount="100000" sheet="1" select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1A0A5-EA10-4E68-8A10-7DE7B5AF454F}">
  <dimension ref="A1:AF299"/>
  <sheetViews>
    <sheetView topLeftCell="A26" workbookViewId="0">
      <selection activeCell="B44" sqref="B44"/>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customWidth="1"/>
    <col min="6" max="6" width="18" customWidth="1"/>
    <col min="18" max="18" width="9.1640625" customWidth="1"/>
    <col min="19" max="19" width="22.6640625" hidden="1" customWidth="1"/>
    <col min="20" max="20" width="9.1640625" hidden="1" customWidth="1"/>
    <col min="21" max="21" width="18.33203125" hidden="1" customWidth="1"/>
    <col min="22" max="32" width="9.1640625" hidden="1" customWidth="1"/>
    <col min="33" max="33" width="9.1640625" customWidth="1"/>
  </cols>
  <sheetData>
    <row r="1" spans="1:25">
      <c r="A1" s="3" t="str">
        <f>'Ship Info'!A1</f>
        <v>Ship's Class Name</v>
      </c>
      <c r="B1" t="str">
        <f>'Ship Info'!B1</f>
        <v>Zhodani Long Range Scout</v>
      </c>
      <c r="E1" s="2"/>
      <c r="F1" s="6" t="s">
        <v>1</v>
      </c>
      <c r="S1" t="str">
        <f>""</f>
        <v/>
      </c>
      <c r="T1">
        <v>0</v>
      </c>
      <c r="U1">
        <v>0</v>
      </c>
      <c r="V1">
        <v>0</v>
      </c>
    </row>
    <row r="2" spans="1:25">
      <c r="A2" s="3" t="s">
        <v>432</v>
      </c>
      <c r="B2" t="str">
        <f>'Ship Info'!B2</f>
        <v>Scout</v>
      </c>
      <c r="C2" t="s">
        <v>0</v>
      </c>
      <c r="D2" s="2">
        <f>'Ship Info'!F2</f>
        <v>14</v>
      </c>
      <c r="E2" s="2"/>
      <c r="F2" s="4">
        <f>'Ship Info'!G2</f>
        <v>621511800.00000012</v>
      </c>
      <c r="S2" t="s">
        <v>157</v>
      </c>
      <c r="T2">
        <v>7</v>
      </c>
      <c r="U2">
        <v>30000</v>
      </c>
      <c r="V2">
        <v>5</v>
      </c>
    </row>
    <row r="3" spans="1:25">
      <c r="E3" s="2"/>
      <c r="S3" t="s">
        <v>142</v>
      </c>
      <c r="T3">
        <v>9</v>
      </c>
      <c r="U3">
        <v>160000</v>
      </c>
      <c r="V3">
        <v>10</v>
      </c>
    </row>
    <row r="4" spans="1:25">
      <c r="A4" t="s">
        <v>2</v>
      </c>
      <c r="B4" s="263">
        <f>'1-Hull'!B4</f>
        <v>300</v>
      </c>
      <c r="E4" s="2"/>
      <c r="F4" s="6" t="s">
        <v>45</v>
      </c>
      <c r="H4" s="787"/>
      <c r="I4" s="787"/>
      <c r="K4" s="787"/>
      <c r="L4" s="787"/>
      <c r="S4" t="s">
        <v>143</v>
      </c>
      <c r="T4">
        <v>11</v>
      </c>
      <c r="U4">
        <v>2000000</v>
      </c>
      <c r="V4">
        <v>15</v>
      </c>
      <c r="X4" t="s">
        <v>701</v>
      </c>
    </row>
    <row r="5" spans="1:25" ht="16" thickBot="1">
      <c r="B5" s="5" t="s">
        <v>920</v>
      </c>
      <c r="F5" s="4">
        <f>IF(AND(C7="No",'Ship Info'!F7),0,SUM(F9:F44,F48:F67))</f>
        <v>209000000</v>
      </c>
      <c r="H5" s="1"/>
      <c r="I5" s="1"/>
      <c r="K5" s="1"/>
      <c r="L5" s="1"/>
      <c r="S5" t="s">
        <v>144</v>
      </c>
      <c r="T5">
        <v>12</v>
      </c>
      <c r="U5">
        <v>5000000</v>
      </c>
      <c r="V5">
        <v>20</v>
      </c>
      <c r="X5" t="s">
        <v>700</v>
      </c>
      <c r="Y5" t="str">
        <f>IF(B21=S25,IF(B24=S36,"N/A",VLOOKUP(B24,S36:T41,2)),VLOOKUP(B21,S25:T28,2))</f>
        <v>Bsc+1</v>
      </c>
    </row>
    <row r="6" spans="1:25" ht="16" thickBot="1">
      <c r="B6" s="7" t="s">
        <v>921</v>
      </c>
      <c r="C6" s="197" t="s">
        <v>99</v>
      </c>
      <c r="H6" s="2"/>
      <c r="I6" s="2"/>
      <c r="K6" s="2"/>
      <c r="L6" s="2"/>
      <c r="S6" t="s">
        <v>145</v>
      </c>
      <c r="T6">
        <v>13</v>
      </c>
      <c r="U6">
        <v>10000000</v>
      </c>
      <c r="V6">
        <v>25</v>
      </c>
      <c r="X6" t="s">
        <v>705</v>
      </c>
      <c r="Y6" t="str">
        <f>VLOOKUP(B33,S75:T78,2)</f>
        <v>N/A</v>
      </c>
    </row>
    <row r="7" spans="1:25" ht="16" thickBot="1">
      <c r="B7" s="7" t="s">
        <v>1558</v>
      </c>
      <c r="C7" s="197" t="s">
        <v>99</v>
      </c>
      <c r="H7" s="1"/>
      <c r="I7" s="2"/>
      <c r="K7" s="2"/>
      <c r="L7" s="2"/>
      <c r="S7" t="s">
        <v>146</v>
      </c>
      <c r="T7">
        <v>14</v>
      </c>
      <c r="U7">
        <v>20000000</v>
      </c>
      <c r="V7">
        <v>30</v>
      </c>
      <c r="X7" t="s">
        <v>702</v>
      </c>
      <c r="Y7" t="str">
        <f>VLOOKUP(B26,S45:T48,2)</f>
        <v>N/A</v>
      </c>
    </row>
    <row r="8" spans="1:25" ht="16" thickBot="1">
      <c r="A8" s="5" t="s">
        <v>90</v>
      </c>
      <c r="S8" t="s">
        <v>147</v>
      </c>
      <c r="T8">
        <v>15</v>
      </c>
      <c r="U8">
        <v>30000000</v>
      </c>
      <c r="V8">
        <v>35</v>
      </c>
      <c r="X8" t="s">
        <v>253</v>
      </c>
      <c r="Y8" t="str">
        <f>VLOOKUP(B30,S59:T62,2)</f>
        <v>-1</v>
      </c>
    </row>
    <row r="9" spans="1:25" ht="16" thickBot="1">
      <c r="A9" s="7" t="s">
        <v>91</v>
      </c>
      <c r="B9" s="198" t="s">
        <v>153</v>
      </c>
      <c r="D9" s="2">
        <f>VLOOKUP(B9,S1:U17,2)</f>
        <v>11</v>
      </c>
      <c r="F9" s="4">
        <f>VLOOKUP(B9,S1:V17,3)</f>
        <v>75000000</v>
      </c>
      <c r="G9" s="3" t="str">
        <f>IF(B9=S1,"Robobrain must have sufficient bandwidth to BE the ship and control any software needed for normal operations","")</f>
        <v/>
      </c>
      <c r="S9" t="s">
        <v>1445</v>
      </c>
      <c r="T9">
        <v>16</v>
      </c>
      <c r="U9">
        <v>40000000</v>
      </c>
      <c r="V9">
        <v>40</v>
      </c>
      <c r="X9" t="s">
        <v>703</v>
      </c>
      <c r="Y9" t="str">
        <f>VLOOKUP(B29,S55:T58,2)</f>
        <v>N/A</v>
      </c>
    </row>
    <row r="10" spans="1:25" ht="16" thickBot="1">
      <c r="A10" s="7" t="s">
        <v>149</v>
      </c>
      <c r="B10" s="254" t="s">
        <v>100</v>
      </c>
      <c r="F10" s="4">
        <f>VLOOKUP(B10,S21:T22,2)*F9</f>
        <v>37500000</v>
      </c>
      <c r="S10" t="s">
        <v>151</v>
      </c>
      <c r="T10">
        <v>9</v>
      </c>
      <c r="U10">
        <v>45000000</v>
      </c>
      <c r="V10">
        <v>40</v>
      </c>
      <c r="X10" t="s">
        <v>704</v>
      </c>
      <c r="Y10" t="str">
        <f>VLOOKUP(B27,S49:T50,2)</f>
        <v>N/A</v>
      </c>
    </row>
    <row r="11" spans="1:25" ht="16" thickBot="1">
      <c r="A11" s="7" t="s">
        <v>150</v>
      </c>
      <c r="B11" s="254" t="s">
        <v>100</v>
      </c>
      <c r="F11" s="4">
        <f>VLOOKUP(B11,S21:T22,2)*F9</f>
        <v>37500000</v>
      </c>
      <c r="S11" t="s">
        <v>152</v>
      </c>
      <c r="T11">
        <v>10</v>
      </c>
      <c r="U11">
        <v>60000000</v>
      </c>
      <c r="V11">
        <v>50</v>
      </c>
      <c r="X11" t="s">
        <v>706</v>
      </c>
      <c r="Y11" t="str">
        <f>VLOOKUP(B36,S79:T81,2)</f>
        <v>X</v>
      </c>
    </row>
    <row r="12" spans="1:25" ht="16" thickBot="1">
      <c r="B12" s="2"/>
      <c r="F12" s="4"/>
      <c r="S12" t="s">
        <v>153</v>
      </c>
      <c r="T12">
        <v>11</v>
      </c>
      <c r="U12">
        <v>75000000</v>
      </c>
      <c r="V12">
        <v>60</v>
      </c>
    </row>
    <row r="13" spans="1:25" ht="16" thickBot="1">
      <c r="A13" s="7" t="s">
        <v>92</v>
      </c>
      <c r="B13" s="254" t="s">
        <v>1103</v>
      </c>
      <c r="D13" s="2">
        <f>VLOOKUP(B13,S1:U17,2)</f>
        <v>0</v>
      </c>
      <c r="F13" s="4">
        <f>VLOOKUP(B13,S1:V17,3)</f>
        <v>0</v>
      </c>
      <c r="S13" t="s">
        <v>154</v>
      </c>
      <c r="T13">
        <v>12</v>
      </c>
      <c r="U13">
        <v>80000000</v>
      </c>
      <c r="V13">
        <v>70</v>
      </c>
    </row>
    <row r="14" spans="1:25" ht="16" thickBot="1">
      <c r="A14" s="7" t="s">
        <v>149</v>
      </c>
      <c r="B14" s="254" t="s">
        <v>99</v>
      </c>
      <c r="F14" s="4">
        <f>VLOOKUP(B14,S21:T22,2)*F13</f>
        <v>0</v>
      </c>
      <c r="S14" t="s">
        <v>155</v>
      </c>
      <c r="T14">
        <v>13</v>
      </c>
      <c r="U14">
        <v>95000000</v>
      </c>
      <c r="V14">
        <v>80</v>
      </c>
      <c r="X14" t="s">
        <v>637</v>
      </c>
      <c r="Y14">
        <f>IF(C6=S22,1,0)</f>
        <v>0</v>
      </c>
    </row>
    <row r="15" spans="1:25" ht="16" thickBot="1">
      <c r="A15" s="7" t="s">
        <v>150</v>
      </c>
      <c r="B15" s="254" t="s">
        <v>99</v>
      </c>
      <c r="F15" s="4">
        <f>VLOOKUP(B15,S21:T22,2)*F13</f>
        <v>0</v>
      </c>
      <c r="S15" t="s">
        <v>156</v>
      </c>
      <c r="T15">
        <v>14</v>
      </c>
      <c r="U15">
        <v>120000000</v>
      </c>
      <c r="V15">
        <v>90</v>
      </c>
    </row>
    <row r="16" spans="1:25">
      <c r="B16" s="2"/>
      <c r="F16" s="4"/>
      <c r="S16" t="s">
        <v>148</v>
      </c>
      <c r="T16">
        <v>15</v>
      </c>
      <c r="U16">
        <v>130000000</v>
      </c>
      <c r="V16">
        <v>100</v>
      </c>
    </row>
    <row r="17" spans="1:25">
      <c r="B17" s="7" t="s">
        <v>261</v>
      </c>
      <c r="C17" s="2" t="str">
        <f>VLOOKUP(B9,S1:V17,4)+IF(C6="No",0,VLOOKUP(B13,S1:V17,4))&amp;IF(B9=S9,"",IF(VLOOKUP(B9,S1:V17,4)&gt;39,"+"&amp;C32,""))</f>
        <v>60+10</v>
      </c>
      <c r="D17" s="16" t="str">
        <f>IF(B9=S9,"",IF(VLOOKUP(B9,S1:V16,4)&gt;39,C32&amp;" units of bandwidth reserved for Jump Control Only. No other programs permitted",""))</f>
        <v>10 units of bandwidth reserved for Jump Control Only. No other programs permitted</v>
      </c>
      <c r="F17" s="4"/>
      <c r="S17" t="s">
        <v>1446</v>
      </c>
      <c r="T17">
        <v>16</v>
      </c>
      <c r="U17">
        <v>150000000</v>
      </c>
      <c r="V17">
        <v>110</v>
      </c>
    </row>
    <row r="18" spans="1:25">
      <c r="B18" s="7" t="s">
        <v>753</v>
      </c>
      <c r="C18" s="2">
        <f>SUM(C21:C44,D48:D55)</f>
        <v>62</v>
      </c>
    </row>
    <row r="19" spans="1:25">
      <c r="B19" s="2"/>
      <c r="C19" s="2"/>
      <c r="X19" t="s">
        <v>1646</v>
      </c>
      <c r="Y19" s="107">
        <f>IF(B40=S90,0,B41)</f>
        <v>2</v>
      </c>
    </row>
    <row r="20" spans="1:25" ht="16" thickBot="1">
      <c r="A20" s="15" t="s">
        <v>219</v>
      </c>
      <c r="B20" s="2"/>
      <c r="C20" s="1" t="s">
        <v>220</v>
      </c>
      <c r="D20" s="1" t="s">
        <v>26</v>
      </c>
      <c r="I20" s="3" t="s">
        <v>171</v>
      </c>
      <c r="X20" t="s">
        <v>769</v>
      </c>
      <c r="Y20">
        <f>SUM(Y21:Y23)</f>
        <v>0</v>
      </c>
    </row>
    <row r="21" spans="1:25" ht="16" thickBot="1">
      <c r="A21" t="s">
        <v>247</v>
      </c>
      <c r="B21" s="254" t="s">
        <v>1103</v>
      </c>
      <c r="C21" s="2">
        <f>INDEX(S25:X28,MATCH(B21,S25:S28,0),4)</f>
        <v>0</v>
      </c>
      <c r="D21" s="2">
        <f>INDEX(S25:X28,MATCH(B21,S25:S28,0),5)</f>
        <v>0</v>
      </c>
      <c r="F21" s="4">
        <f>INDEX(S25:X28,MATCH(B21,S25:S28,0),3)</f>
        <v>0</v>
      </c>
      <c r="I21" t="str">
        <f>INDEX(S25:X28,MATCH(B21,S25:S28,0),6)</f>
        <v xml:space="preserve"> </v>
      </c>
      <c r="S21" t="s">
        <v>99</v>
      </c>
      <c r="T21">
        <v>0</v>
      </c>
      <c r="V21">
        <f>VLOOKUP(B9,S1:V17,4)</f>
        <v>60</v>
      </c>
      <c r="X21" t="s">
        <v>26</v>
      </c>
      <c r="Y21">
        <f>IF(MAX(D9:D15,D21:D42,E49:E53)&gt;D2,1,0)</f>
        <v>0</v>
      </c>
    </row>
    <row r="22" spans="1:25" ht="16" thickBot="1">
      <c r="A22" t="s">
        <v>248</v>
      </c>
      <c r="B22" s="254" t="s">
        <v>1103</v>
      </c>
      <c r="C22" s="2">
        <f>VLOOKUP(B22,S29:X32,4)</f>
        <v>0</v>
      </c>
      <c r="D22" s="2">
        <f>VLOOKUP(B22,S29:X32,5)</f>
        <v>0</v>
      </c>
      <c r="F22" s="4">
        <f>VLOOKUP(B22,S29:X32,3)</f>
        <v>0</v>
      </c>
      <c r="I22" t="str">
        <f>VLOOKUP(B22,S29:X32,6)</f>
        <v xml:space="preserve"> </v>
      </c>
      <c r="S22" t="s">
        <v>100</v>
      </c>
      <c r="T22">
        <v>0.5</v>
      </c>
      <c r="V22">
        <f>VLOOKUP(B13,S1:V17,4)</f>
        <v>0</v>
      </c>
      <c r="X22" t="s">
        <v>800</v>
      </c>
      <c r="Y22">
        <f>IF(B9&gt;B13,0,IF(AND(B9="",B13=""),0,1))</f>
        <v>0</v>
      </c>
    </row>
    <row r="23" spans="1:25" ht="16" thickBot="1">
      <c r="A23" t="s">
        <v>249</v>
      </c>
      <c r="B23" s="254" t="s">
        <v>195</v>
      </c>
      <c r="C23" s="2">
        <f>VLOOKUP(B23,S33:X35,4)</f>
        <v>10</v>
      </c>
      <c r="D23" s="2">
        <f>VLOOKUP(B23,S33:X35,5)</f>
        <v>10</v>
      </c>
      <c r="F23" s="4">
        <f>VLOOKUP(B23,S33:X35,3)</f>
        <v>5000000</v>
      </c>
      <c r="I23" t="str">
        <f>VLOOKUP(B23,S33:X35,6)</f>
        <v>DM +1 to a repair roll or 1 automated roll (Repair Drone)</v>
      </c>
      <c r="V23" s="14">
        <f>SUM(V21:V22)</f>
        <v>60</v>
      </c>
      <c r="X23" t="s">
        <v>1646</v>
      </c>
      <c r="Y23">
        <f>IF(B41&gt;'10-Crew'!X7,1,0)</f>
        <v>0</v>
      </c>
    </row>
    <row r="24" spans="1:25" ht="16" thickBot="1">
      <c r="A24" t="s">
        <v>250</v>
      </c>
      <c r="B24" s="254" t="s">
        <v>198</v>
      </c>
      <c r="C24" s="2">
        <f>VLOOKUP(B24,S36:X41,4)</f>
        <v>5</v>
      </c>
      <c r="D24" s="2">
        <f>VLOOKUP(B24,S36:X41,5)</f>
        <v>9</v>
      </c>
      <c r="F24" s="4">
        <f>VLOOKUP(B24,S36:X41,3)</f>
        <v>2000000</v>
      </c>
      <c r="I24" t="str">
        <f>VLOOKUP(B24,S36:X41,6)</f>
        <v>DM +1 to a gunner making an attack or 1 automated attack</v>
      </c>
      <c r="S24" s="1" t="s">
        <v>172</v>
      </c>
      <c r="T24" s="1"/>
      <c r="U24" s="1" t="s">
        <v>1</v>
      </c>
      <c r="V24" s="1" t="s">
        <v>170</v>
      </c>
      <c r="W24" s="1" t="s">
        <v>26</v>
      </c>
      <c r="X24" s="1" t="s">
        <v>171</v>
      </c>
      <c r="Y24" s="3"/>
    </row>
    <row r="25" spans="1:25" ht="16" thickBot="1">
      <c r="A25" t="s">
        <v>1384</v>
      </c>
      <c r="B25" s="254" t="s">
        <v>1103</v>
      </c>
      <c r="C25" s="2">
        <f>INDEX(S42:X44,MATCH(B25,S42:S44,0),4)</f>
        <v>0</v>
      </c>
      <c r="D25" s="2">
        <f>INDEX(S42:X44,MATCH(B25,S42:S44,0),5)</f>
        <v>0</v>
      </c>
      <c r="F25" s="4">
        <f>INDEX(S42:X44,MATCH(B25,S42:S44,0),3)</f>
        <v>0</v>
      </c>
      <c r="I25" t="str">
        <f>INDEX(S42:X44,MATCH(B25,S42:S44,0),6)</f>
        <v/>
      </c>
      <c r="S25" t="str">
        <f>""</f>
        <v/>
      </c>
      <c r="T25" t="s">
        <v>61</v>
      </c>
      <c r="U25">
        <v>0</v>
      </c>
      <c r="V25">
        <v>0</v>
      </c>
      <c r="W25">
        <v>0</v>
      </c>
      <c r="X25" t="s">
        <v>33</v>
      </c>
    </row>
    <row r="26" spans="1:25" ht="16" thickBot="1">
      <c r="A26" t="s">
        <v>251</v>
      </c>
      <c r="B26" s="254" t="s">
        <v>1103</v>
      </c>
      <c r="C26" s="2">
        <f>VLOOKUP(B26,S45:X48,4)</f>
        <v>0</v>
      </c>
      <c r="D26" s="2">
        <f>VLOOKUP(B26,S45:X48,5)</f>
        <v>0</v>
      </c>
      <c r="F26" s="4">
        <f>VLOOKUP(B26,S45:X48,3)</f>
        <v>0</v>
      </c>
      <c r="I26" t="str">
        <f>VLOOKUP(B26,S45:X48,6)</f>
        <v xml:space="preserve"> </v>
      </c>
      <c r="S26" t="s">
        <v>158</v>
      </c>
      <c r="T26" t="s">
        <v>715</v>
      </c>
      <c r="U26">
        <v>12000000</v>
      </c>
      <c r="V26">
        <v>15</v>
      </c>
      <c r="W26">
        <v>10</v>
      </c>
      <c r="X26" t="s">
        <v>164</v>
      </c>
    </row>
    <row r="27" spans="1:25" ht="16" thickBot="1">
      <c r="A27" t="s">
        <v>179</v>
      </c>
      <c r="B27" s="254" t="s">
        <v>1103</v>
      </c>
      <c r="C27" s="2">
        <f>VLOOKUP(B27,S49:X50,4)</f>
        <v>0</v>
      </c>
      <c r="D27" s="2">
        <f>VLOOKUP(B27,S49:X50,5)</f>
        <v>0</v>
      </c>
      <c r="F27" s="4">
        <f>VLOOKUP(B27,S49:X50,3)</f>
        <v>0</v>
      </c>
      <c r="I27" t="str">
        <f>VLOOKUP(B27,S49:X50,6)</f>
        <v xml:space="preserve"> </v>
      </c>
      <c r="S27" t="s">
        <v>160</v>
      </c>
      <c r="T27" t="s">
        <v>716</v>
      </c>
      <c r="U27">
        <v>15000000</v>
      </c>
      <c r="V27">
        <v>25</v>
      </c>
      <c r="W27">
        <v>12</v>
      </c>
      <c r="X27" t="s">
        <v>166</v>
      </c>
    </row>
    <row r="28" spans="1:25" ht="16" thickBot="1">
      <c r="A28" t="s">
        <v>181</v>
      </c>
      <c r="B28" s="254" t="s">
        <v>1103</v>
      </c>
      <c r="C28" s="2">
        <f>VLOOKUP(B28,S51:X54,4)</f>
        <v>0</v>
      </c>
      <c r="D28" s="2">
        <f>VLOOKUP(B28,S51:X54,5)</f>
        <v>0</v>
      </c>
      <c r="F28" s="4">
        <f>VLOOKUP(B28,S51:X54,3)</f>
        <v>0</v>
      </c>
      <c r="I28" t="str">
        <f>VLOOKUP(B28,S51:X54,6)</f>
        <v xml:space="preserve"> </v>
      </c>
      <c r="S28" t="s">
        <v>159</v>
      </c>
      <c r="T28" t="s">
        <v>717</v>
      </c>
      <c r="U28">
        <v>18000000</v>
      </c>
      <c r="V28">
        <v>30</v>
      </c>
      <c r="W28">
        <v>14</v>
      </c>
      <c r="X28" t="s">
        <v>165</v>
      </c>
    </row>
    <row r="29" spans="1:25" ht="16" thickBot="1">
      <c r="A29" t="s">
        <v>252</v>
      </c>
      <c r="B29" s="254" t="s">
        <v>1103</v>
      </c>
      <c r="C29" s="2">
        <f>VLOOKUP(B29,S55:X58,4)</f>
        <v>0</v>
      </c>
      <c r="D29" s="2">
        <f>VLOOKUP(B29,S55:X58,5)</f>
        <v>0</v>
      </c>
      <c r="F29" s="4">
        <f>VLOOKUP(B29,S55:X58,3)</f>
        <v>0</v>
      </c>
      <c r="I29" t="str">
        <f>VLOOKUP(B29,S55:X58,6)</f>
        <v xml:space="preserve"> </v>
      </c>
      <c r="S29" t="str">
        <f>""</f>
        <v/>
      </c>
      <c r="U29">
        <v>0</v>
      </c>
      <c r="V29">
        <v>0</v>
      </c>
      <c r="W29">
        <v>0</v>
      </c>
      <c r="X29" t="s">
        <v>33</v>
      </c>
    </row>
    <row r="30" spans="1:25" ht="16" thickBot="1">
      <c r="A30" t="s">
        <v>253</v>
      </c>
      <c r="B30" s="254" t="s">
        <v>208</v>
      </c>
      <c r="C30" s="2">
        <f>VLOOKUP(B30,S59:X62,4)</f>
        <v>10</v>
      </c>
      <c r="D30" s="2">
        <f>VLOOKUP(B30,S59:X62,5)</f>
        <v>9</v>
      </c>
      <c r="F30" s="4">
        <f>VLOOKUP(B30,S59:X62,3)</f>
        <v>1000000</v>
      </c>
      <c r="I30" t="str">
        <f>VLOOKUP(B30,S59:X62,6)</f>
        <v>DM -1 to all attacks</v>
      </c>
      <c r="S30" t="s">
        <v>161</v>
      </c>
      <c r="U30">
        <v>6000000</v>
      </c>
      <c r="V30">
        <v>2</v>
      </c>
      <c r="W30">
        <v>11</v>
      </c>
      <c r="X30" t="s">
        <v>167</v>
      </c>
    </row>
    <row r="31" spans="1:25" ht="16" thickBot="1">
      <c r="A31" t="s">
        <v>215</v>
      </c>
      <c r="B31" s="258" t="str">
        <f>IF(B9="","",IF(Tech_Level&lt;11,S63,IF(AND(C7=S21,'Ship Info'!E6="Module"),S63,S64)))</f>
        <v>Intellect</v>
      </c>
      <c r="C31" s="2">
        <f>VLOOKUP(B31,S63:X64,4)</f>
        <v>0</v>
      </c>
      <c r="D31" s="2">
        <f>VLOOKUP(B31,S63:X64,5)</f>
        <v>11</v>
      </c>
      <c r="F31" s="4">
        <f>VLOOKUP(B31,S63:X64,3)</f>
        <v>0</v>
      </c>
      <c r="I31" t="str">
        <f>VLOOKUP(B31,S63:X64,6)</f>
        <v>Allows a ship to understand and obey verbal commands</v>
      </c>
      <c r="S31" t="s">
        <v>162</v>
      </c>
      <c r="U31">
        <v>8000000</v>
      </c>
      <c r="V31">
        <v>5</v>
      </c>
      <c r="W31">
        <v>12</v>
      </c>
      <c r="X31" t="s">
        <v>169</v>
      </c>
    </row>
    <row r="32" spans="1:25" ht="16" thickBot="1">
      <c r="A32" t="str">
        <f>IF('2-Drives'!B25="Jump Drive (Hop)","Hop Control",IF('2-Drives'!B25="Jump Drive (Skip)","Skip Control","Jump Control"))</f>
        <v>Jump Control</v>
      </c>
      <c r="B32" s="254" t="s">
        <v>2457</v>
      </c>
      <c r="C32" s="2">
        <f>VLOOKUP(B32,S65:X74,4)</f>
        <v>10</v>
      </c>
      <c r="D32" s="2">
        <f>VLOOKUP(B32,S65:X74,5)+IF(SUM('2-Drives'!E28:E30)&lt;0,SUM('2-Drives'!E28:E30),0)</f>
        <v>12</v>
      </c>
      <c r="F32" s="4">
        <f>IF(F9&gt;41000000,0,VLOOKUP(B32,S65:X74,3))*IF(D32=VLOOKUP(B32,S65:X74,5),1,IF(VLOOKUP(B32,S65:X74,5)-D32=1,5,10))</f>
        <v>0</v>
      </c>
      <c r="I32" t="str">
        <f>VLOOKUP(B32,S65:X74,6)</f>
        <v>Allows jumps up to the specified number</v>
      </c>
      <c r="S32" t="s">
        <v>163</v>
      </c>
      <c r="U32">
        <v>10000000</v>
      </c>
      <c r="V32">
        <v>10</v>
      </c>
      <c r="W32">
        <v>13</v>
      </c>
      <c r="X32" t="s">
        <v>168</v>
      </c>
    </row>
    <row r="33" spans="1:24" ht="16" thickBot="1">
      <c r="A33" t="s">
        <v>254</v>
      </c>
      <c r="B33" s="254" t="s">
        <v>1103</v>
      </c>
      <c r="C33" s="2">
        <f>VLOOKUP(B33,S75:X78,4)</f>
        <v>0</v>
      </c>
      <c r="D33" s="2">
        <f>VLOOKUP(B33,S75:X78,5)</f>
        <v>0</v>
      </c>
      <c r="F33" s="4">
        <f>VLOOKUP(B33,S75:X78,3)</f>
        <v>0</v>
      </c>
      <c r="I33" t="str">
        <f>VLOOKUP(B33,S75:X78,6)</f>
        <v xml:space="preserve"> </v>
      </c>
      <c r="S33" t="str">
        <f>""</f>
        <v/>
      </c>
      <c r="U33">
        <v>0</v>
      </c>
      <c r="V33">
        <v>0</v>
      </c>
      <c r="W33">
        <v>0</v>
      </c>
      <c r="X33" t="s">
        <v>33</v>
      </c>
    </row>
    <row r="34" spans="1:24">
      <c r="A34" s="16" t="s">
        <v>218</v>
      </c>
      <c r="B34" s="259" t="str">
        <f>IF(B9="","",IF(AND(C7=S21,'Ship Info'!E6="Module"),"","Library"))</f>
        <v>Library</v>
      </c>
      <c r="C34" s="2">
        <v>0</v>
      </c>
      <c r="D34" s="2">
        <f>8+IF(D2=7,-1,0)</f>
        <v>8</v>
      </c>
      <c r="F34" s="4">
        <v>0</v>
      </c>
      <c r="I34" t="s">
        <v>221</v>
      </c>
      <c r="S34" t="s">
        <v>195</v>
      </c>
      <c r="U34">
        <v>5000000</v>
      </c>
      <c r="V34">
        <v>10</v>
      </c>
      <c r="W34">
        <v>10</v>
      </c>
      <c r="X34" t="s">
        <v>197</v>
      </c>
    </row>
    <row r="35" spans="1:24" ht="16" thickBot="1">
      <c r="A35" s="16" t="s">
        <v>222</v>
      </c>
      <c r="B35" s="259" t="str">
        <f>IF(B9="","",IF(AND(C7=S21,'Ship Info'!E6="Module"),"","Manoeuvre/0"))</f>
        <v>Manoeuvre/0</v>
      </c>
      <c r="C35" s="2">
        <v>0</v>
      </c>
      <c r="D35" s="2">
        <f>8+IF(SUM('2-Drives'!E15:E17)&lt;0,SUM('2-Drives'!E15:E17),0)</f>
        <v>8</v>
      </c>
      <c r="F35" s="4">
        <v>0</v>
      </c>
      <c r="I35" t="s">
        <v>223</v>
      </c>
      <c r="S35" t="s">
        <v>246</v>
      </c>
      <c r="U35">
        <v>10000000</v>
      </c>
      <c r="V35">
        <v>20</v>
      </c>
      <c r="W35">
        <v>12</v>
      </c>
      <c r="X35" t="s">
        <v>196</v>
      </c>
    </row>
    <row r="36" spans="1:24" ht="16" thickBot="1">
      <c r="A36" t="s">
        <v>255</v>
      </c>
      <c r="B36" s="254" t="s">
        <v>1103</v>
      </c>
      <c r="C36" s="2">
        <f>VLOOKUP(B36,S79:X81,4)</f>
        <v>0</v>
      </c>
      <c r="D36" s="2">
        <f>VLOOKUP(B36,S79:X81,5)</f>
        <v>0</v>
      </c>
      <c r="F36" s="4">
        <f>VLOOKUP(B36,S79:X81,3)</f>
        <v>0</v>
      </c>
      <c r="I36" t="str">
        <f>VLOOKUP(B36,S79:X81,6)</f>
        <v xml:space="preserve"> </v>
      </c>
      <c r="S36" t="str">
        <f>""</f>
        <v/>
      </c>
      <c r="U36">
        <v>0</v>
      </c>
      <c r="V36">
        <v>0</v>
      </c>
      <c r="W36">
        <v>0</v>
      </c>
      <c r="X36" t="s">
        <v>33</v>
      </c>
    </row>
    <row r="37" spans="1:24" ht="16" thickBot="1">
      <c r="A37" t="s">
        <v>227</v>
      </c>
      <c r="B37" s="254" t="s">
        <v>1103</v>
      </c>
      <c r="C37" s="2">
        <f>VLOOKUP(B37,S82:X83,4)</f>
        <v>0</v>
      </c>
      <c r="D37" s="2">
        <f>VLOOKUP(B37,S82:X83,5)</f>
        <v>0</v>
      </c>
      <c r="F37" s="4">
        <f>VLOOKUP(B37,S82:X83,3)</f>
        <v>0</v>
      </c>
      <c r="I37" t="str">
        <f>VLOOKUP(B37,S82:X83,6)</f>
        <v xml:space="preserve"> </v>
      </c>
      <c r="S37" t="s">
        <v>198</v>
      </c>
      <c r="T37" t="s">
        <v>719</v>
      </c>
      <c r="U37">
        <v>2000000</v>
      </c>
      <c r="V37">
        <v>5</v>
      </c>
      <c r="W37">
        <v>9</v>
      </c>
      <c r="X37" t="s">
        <v>203</v>
      </c>
    </row>
    <row r="38" spans="1:24" ht="16" thickBot="1">
      <c r="A38" t="s">
        <v>256</v>
      </c>
      <c r="B38" s="254" t="s">
        <v>1103</v>
      </c>
      <c r="C38" s="2">
        <f>VLOOKUP(B38,S84:X87,4)</f>
        <v>0</v>
      </c>
      <c r="D38" s="2">
        <f>VLOOKUP(B38,S84:X87,5)</f>
        <v>0</v>
      </c>
      <c r="F38" s="4">
        <f>VLOOKUP(B38,S84:X87,3)</f>
        <v>0</v>
      </c>
      <c r="I38" t="str">
        <f>VLOOKUP(B38,S84:X87,6)</f>
        <v xml:space="preserve"> </v>
      </c>
      <c r="S38" t="s">
        <v>199</v>
      </c>
      <c r="T38" t="s">
        <v>720</v>
      </c>
      <c r="U38">
        <v>4000000</v>
      </c>
      <c r="V38">
        <v>10</v>
      </c>
      <c r="W38">
        <v>10</v>
      </c>
      <c r="X38" t="s">
        <v>204</v>
      </c>
    </row>
    <row r="39" spans="1:24" ht="16" thickBot="1">
      <c r="A39" s="9" t="s">
        <v>258</v>
      </c>
      <c r="B39" s="255">
        <v>0</v>
      </c>
      <c r="C39" s="2">
        <f>IF(B39&gt;0,ROUNDUP(B39/5,0)-1,0)</f>
        <v>0</v>
      </c>
      <c r="F39" s="4">
        <v>0</v>
      </c>
      <c r="S39" t="s">
        <v>200</v>
      </c>
      <c r="T39" t="s">
        <v>721</v>
      </c>
      <c r="U39">
        <v>6000000</v>
      </c>
      <c r="V39">
        <v>15</v>
      </c>
      <c r="W39">
        <v>11</v>
      </c>
      <c r="X39" t="s">
        <v>205</v>
      </c>
    </row>
    <row r="40" spans="1:24" ht="16" thickBot="1">
      <c r="A40" t="s">
        <v>257</v>
      </c>
      <c r="B40" s="254" t="s">
        <v>239</v>
      </c>
      <c r="C40" s="2">
        <f>VLOOKUP(B40,S90:X93,4)</f>
        <v>10</v>
      </c>
      <c r="D40" s="2">
        <f>VLOOKUP(B40,S90:X93,5)</f>
        <v>12</v>
      </c>
      <c r="F40" s="4">
        <f>VLOOKUP(B40,S90:X93,3)</f>
        <v>5000000</v>
      </c>
      <c r="I40" t="str">
        <f>VLOOKUP(B40,S90:X93,6)</f>
        <v>Replace 10 gunners at DM +1 skill level</v>
      </c>
      <c r="S40" t="s">
        <v>201</v>
      </c>
      <c r="T40" t="s">
        <v>722</v>
      </c>
      <c r="U40">
        <v>8000000</v>
      </c>
      <c r="V40">
        <v>20</v>
      </c>
      <c r="W40">
        <v>12</v>
      </c>
      <c r="X40" t="s">
        <v>206</v>
      </c>
    </row>
    <row r="41" spans="1:24" ht="16" thickBot="1">
      <c r="A41" s="9" t="s">
        <v>259</v>
      </c>
      <c r="B41" s="255">
        <v>2</v>
      </c>
      <c r="C41" s="2">
        <f>IF(B41&gt;0,ROUNDUP(B41/10,0)-1,0)</f>
        <v>0</v>
      </c>
      <c r="F41" s="4"/>
      <c r="I41" t="str">
        <f>"Limit = "&amp;'10-Crew'!X7</f>
        <v>Limit = 2</v>
      </c>
      <c r="S41" t="s">
        <v>202</v>
      </c>
      <c r="T41" t="s">
        <v>723</v>
      </c>
      <c r="U41">
        <v>10000000</v>
      </c>
      <c r="V41">
        <v>25</v>
      </c>
      <c r="W41">
        <v>13</v>
      </c>
      <c r="X41" t="s">
        <v>207</v>
      </c>
    </row>
    <row r="42" spans="1:24" ht="16" thickBot="1">
      <c r="A42" s="16" t="s">
        <v>245</v>
      </c>
      <c r="B42" s="9" t="s">
        <v>260</v>
      </c>
      <c r="C42" s="256">
        <v>0</v>
      </c>
      <c r="D42" s="2">
        <v>7</v>
      </c>
      <c r="F42" s="4">
        <f>100*C42</f>
        <v>0</v>
      </c>
      <c r="I42" t="str">
        <f>"Generates "&amp;D2*C42&amp;" credits daily"</f>
        <v>Generates 0 credits daily</v>
      </c>
      <c r="S42" t="str">
        <f>""</f>
        <v/>
      </c>
      <c r="U42">
        <v>0</v>
      </c>
      <c r="V42">
        <v>0</v>
      </c>
      <c r="W42">
        <v>0</v>
      </c>
      <c r="X42" t="str">
        <f>""</f>
        <v/>
      </c>
    </row>
    <row r="43" spans="1:24" ht="16" thickBot="1">
      <c r="C43" s="2"/>
      <c r="F43" s="4"/>
      <c r="S43" t="s">
        <v>1385</v>
      </c>
      <c r="U43">
        <v>5000000</v>
      </c>
      <c r="V43">
        <v>5</v>
      </c>
      <c r="W43">
        <v>12</v>
      </c>
      <c r="X43" t="s">
        <v>1387</v>
      </c>
    </row>
    <row r="44" spans="1:24" ht="16" thickBot="1">
      <c r="A44" t="s">
        <v>1383</v>
      </c>
      <c r="B44" s="254" t="s">
        <v>283</v>
      </c>
      <c r="C44" s="2">
        <f>INDEX($S$96:$X$97,MATCH($B$44,$S$96:$S$97,0),4)</f>
        <v>0</v>
      </c>
      <c r="D44" s="2">
        <f>INDEX($S$96:$X$97,MATCH($B$44,$S$96:$S$97,0),5)</f>
        <v>0</v>
      </c>
      <c r="F44" s="4">
        <f>INDEX($S$96:$X$97,MATCH($B$44,$S$96:$S$97,0),3)</f>
        <v>0</v>
      </c>
      <c r="I44" t="str">
        <f>INDEX($S$96:$X$97,MATCH($B$44,$S$96:$S$97,0),6)</f>
        <v/>
      </c>
      <c r="S44" t="s">
        <v>1386</v>
      </c>
      <c r="U44">
        <v>10000000</v>
      </c>
      <c r="V44">
        <v>10</v>
      </c>
      <c r="W44">
        <v>14</v>
      </c>
      <c r="X44" t="s">
        <v>1388</v>
      </c>
    </row>
    <row r="45" spans="1:24">
      <c r="C45" s="2"/>
      <c r="F45" s="4"/>
      <c r="S45" t="str">
        <f>""</f>
        <v/>
      </c>
      <c r="T45" t="s">
        <v>61</v>
      </c>
      <c r="U45">
        <v>0</v>
      </c>
      <c r="V45">
        <v>0</v>
      </c>
      <c r="W45">
        <v>0</v>
      </c>
      <c r="X45" t="s">
        <v>33</v>
      </c>
    </row>
    <row r="46" spans="1:24">
      <c r="A46" s="9" t="s">
        <v>102</v>
      </c>
      <c r="B46" t="s">
        <v>398</v>
      </c>
      <c r="C46" s="2"/>
      <c r="F46" s="4"/>
      <c r="S46" t="s">
        <v>175</v>
      </c>
      <c r="T46" t="str">
        <f>"+1"</f>
        <v>+1</v>
      </c>
      <c r="U46">
        <v>18000000</v>
      </c>
      <c r="V46">
        <v>5</v>
      </c>
      <c r="W46">
        <v>9</v>
      </c>
      <c r="X46" t="s">
        <v>176</v>
      </c>
    </row>
    <row r="47" spans="1:24" ht="16" thickBot="1">
      <c r="A47" s="3" t="s">
        <v>1528</v>
      </c>
      <c r="C47" s="1" t="s">
        <v>1534</v>
      </c>
      <c r="D47" s="1" t="s">
        <v>220</v>
      </c>
      <c r="E47" s="3" t="s">
        <v>26</v>
      </c>
      <c r="F47" s="288" t="s">
        <v>1</v>
      </c>
      <c r="G47" s="3"/>
      <c r="H47" s="3"/>
      <c r="I47" s="3" t="s">
        <v>171</v>
      </c>
      <c r="S47" t="s">
        <v>174</v>
      </c>
      <c r="T47" t="str">
        <f>"+2"</f>
        <v>+2</v>
      </c>
      <c r="U47">
        <v>24000000</v>
      </c>
      <c r="V47">
        <v>10</v>
      </c>
      <c r="W47">
        <v>12</v>
      </c>
      <c r="X47" t="s">
        <v>177</v>
      </c>
    </row>
    <row r="48" spans="1:24" ht="16" thickBot="1">
      <c r="A48" t="s">
        <v>1536</v>
      </c>
      <c r="B48" s="254" t="s">
        <v>1536</v>
      </c>
      <c r="D48" s="2">
        <f>INDEX(S104:X105,MATCH(B48,S104:S105,0),4)</f>
        <v>9</v>
      </c>
      <c r="E48">
        <f>INDEX(S104:X105,MATCH(B48,S104:S105,0),5)</f>
        <v>12</v>
      </c>
      <c r="F48" s="4">
        <f>INDEX(S104:X105,MATCH(B48,S104:S105,0),3)</f>
        <v>25000000</v>
      </c>
      <c r="I48" t="str">
        <f>INDEX(S104:X105,MATCH(B48,S104:S105,0),6)</f>
        <v>DM +1 to any Science research checks</v>
      </c>
      <c r="S48" t="s">
        <v>173</v>
      </c>
      <c r="T48" t="str">
        <f>"+3"</f>
        <v>+3</v>
      </c>
      <c r="U48">
        <v>36000000</v>
      </c>
      <c r="V48">
        <v>15</v>
      </c>
      <c r="W48">
        <v>15</v>
      </c>
      <c r="X48" t="s">
        <v>178</v>
      </c>
    </row>
    <row r="49" spans="1:24" ht="16" thickBot="1">
      <c r="A49" t="s">
        <v>1554</v>
      </c>
      <c r="B49" s="254" t="s">
        <v>1529</v>
      </c>
      <c r="C49" s="240">
        <v>1</v>
      </c>
      <c r="D49" s="2">
        <f>INDEX(S106:X108,MATCH(B49,S106:S108,0),4)*C49</f>
        <v>6</v>
      </c>
      <c r="E49">
        <f>INDEX(S106:X108,MATCH(B49,S106:S108,0),5)</f>
        <v>11</v>
      </c>
      <c r="F49" s="4">
        <f>INDEX(S106:X108,MATCH(B49,S106:S108,0),3)*C49</f>
        <v>20000000</v>
      </c>
      <c r="I49" t="str">
        <f>INDEX(S106:X108,MATCH(B49,S106:S108,0),6)</f>
        <v>DM +2 to Purchased Science(Specific) research checks</v>
      </c>
      <c r="S49" t="str">
        <f>""</f>
        <v/>
      </c>
      <c r="T49" t="s">
        <v>61</v>
      </c>
      <c r="U49">
        <v>0</v>
      </c>
      <c r="V49">
        <v>0</v>
      </c>
      <c r="W49">
        <v>0</v>
      </c>
      <c r="X49" t="s">
        <v>33</v>
      </c>
    </row>
    <row r="50" spans="1:24" ht="16" thickBot="1">
      <c r="A50" t="s">
        <v>1530</v>
      </c>
      <c r="B50" s="254" t="s">
        <v>1103</v>
      </c>
      <c r="C50" s="240">
        <v>0</v>
      </c>
      <c r="D50" s="2">
        <f>INDEX(S109:X112,MATCH(B50,S109:S112,0),4)*C50</f>
        <v>0</v>
      </c>
      <c r="E50">
        <f>INDEX(S109:X112,MATCH(B50,S109:S112,0),5)</f>
        <v>0</v>
      </c>
      <c r="F50" s="4">
        <f>INDEX(S109:X112,MATCH(B50,S109:S112,0),3)*C50</f>
        <v>0</v>
      </c>
      <c r="I50" t="str">
        <f>INDEX(S109:X112,MATCH(B50,S109:S112,0),6)</f>
        <v/>
      </c>
      <c r="S50" t="s">
        <v>179</v>
      </c>
      <c r="T50" t="s">
        <v>100</v>
      </c>
      <c r="U50">
        <v>14000000</v>
      </c>
      <c r="V50">
        <v>12</v>
      </c>
      <c r="W50">
        <v>13</v>
      </c>
      <c r="X50" t="s">
        <v>180</v>
      </c>
    </row>
    <row r="51" spans="1:24" ht="16" thickBot="1">
      <c r="A51" t="s">
        <v>1531</v>
      </c>
      <c r="B51" s="254" t="s">
        <v>1103</v>
      </c>
      <c r="C51" s="240">
        <v>0</v>
      </c>
      <c r="D51" s="2">
        <f>INDEX(S113:X116,MATCH(B51,S113:S116,0),4)*C51</f>
        <v>0</v>
      </c>
      <c r="E51">
        <f>INDEX(S113:X116,MATCH(B51,S113:S116,0),5)</f>
        <v>0</v>
      </c>
      <c r="F51" s="4">
        <f>INDEX(S113:X116,MATCH(B51,S113:S116,0),3)*C51</f>
        <v>0</v>
      </c>
      <c r="I51" t="str">
        <f>INDEX(S113:X116,MATCH(B51,S113:S116,0),6)</f>
        <v/>
      </c>
      <c r="S51" t="str">
        <f>""</f>
        <v/>
      </c>
      <c r="U51">
        <v>0</v>
      </c>
      <c r="V51">
        <v>0</v>
      </c>
      <c r="W51">
        <v>0</v>
      </c>
      <c r="X51" t="s">
        <v>33</v>
      </c>
    </row>
    <row r="52" spans="1:24" ht="16" thickBot="1">
      <c r="A52" t="s">
        <v>1532</v>
      </c>
      <c r="B52" s="254" t="s">
        <v>1103</v>
      </c>
      <c r="C52" s="240">
        <v>0</v>
      </c>
      <c r="D52" s="2">
        <f>INDEX(S117:X120,MATCH(B52,S117:S120,0),4)*C52</f>
        <v>0</v>
      </c>
      <c r="E52">
        <f>INDEX(S117:X120,MATCH(B52,S117:S120,0),5)</f>
        <v>0</v>
      </c>
      <c r="F52" s="4">
        <f>INDEX(S117:X120,MATCH(B52,S117:S120,0),3)*C52</f>
        <v>0</v>
      </c>
      <c r="I52" t="str">
        <f>INDEX(S117:X120,MATCH(B52,S117:S120,0),6)</f>
        <v/>
      </c>
      <c r="S52" t="s">
        <v>761</v>
      </c>
      <c r="U52">
        <v>25000000</v>
      </c>
      <c r="V52">
        <v>40</v>
      </c>
      <c r="W52">
        <v>16</v>
      </c>
      <c r="X52" t="s">
        <v>185</v>
      </c>
    </row>
    <row r="53" spans="1:24" ht="16" thickBot="1">
      <c r="A53" t="s">
        <v>1533</v>
      </c>
      <c r="B53" s="254" t="s">
        <v>1547</v>
      </c>
      <c r="C53" s="2"/>
      <c r="D53" s="2">
        <f>INDEX(S121:X124,MATCH(B53,S121:S124,0),4)</f>
        <v>2</v>
      </c>
      <c r="E53">
        <f>INDEX(S121:X124,MATCH(B53,S121:S124,0),5)</f>
        <v>9</v>
      </c>
      <c r="F53" s="4">
        <f>INDEX(S121:X124,MATCH(B53,S121:S124,0),3)</f>
        <v>1000000</v>
      </c>
      <c r="I53" t="str">
        <f>INDEX(S121:X124,MATCH(B53,S121:S124,0),6)</f>
        <v>DM +1 to Planetology/Prospecting/Weather Prediction</v>
      </c>
      <c r="S53" t="s">
        <v>762</v>
      </c>
      <c r="U53">
        <v>20000000</v>
      </c>
      <c r="V53">
        <v>25</v>
      </c>
      <c r="W53">
        <v>17</v>
      </c>
      <c r="X53" t="s">
        <v>185</v>
      </c>
    </row>
    <row r="54" spans="1:24" ht="16" thickBot="1">
      <c r="A54" s="3" t="s">
        <v>1754</v>
      </c>
      <c r="C54" s="2"/>
      <c r="F54" s="4"/>
      <c r="S54" t="s">
        <v>763</v>
      </c>
      <c r="U54">
        <v>15000000</v>
      </c>
      <c r="V54">
        <v>10</v>
      </c>
      <c r="W54">
        <v>18</v>
      </c>
      <c r="X54" t="s">
        <v>185</v>
      </c>
    </row>
    <row r="55" spans="1:24" ht="16" thickBot="1">
      <c r="A55" t="s">
        <v>1768</v>
      </c>
      <c r="B55" s="254" t="s">
        <v>1103</v>
      </c>
      <c r="C55" s="2"/>
      <c r="D55" s="2">
        <f>INDEX(S125:X126,MATCH(B55,S125:S126,0),4)</f>
        <v>0</v>
      </c>
      <c r="E55">
        <f>INDEX(S125:X126,MATCH(B55,S125:S126,0),5)</f>
        <v>0</v>
      </c>
      <c r="F55" s="4">
        <f>INDEX(S125:X126,MATCH(B55,S125:S126,0),3)</f>
        <v>0</v>
      </c>
      <c r="I55" t="str">
        <f>INDEX(S125:X126,MATCH(B55,S125:S126,0),6)</f>
        <v>Allows Ship's Brain to run any of the Ship's Computer Software</v>
      </c>
      <c r="S55" t="str">
        <f>""</f>
        <v/>
      </c>
      <c r="T55" t="s">
        <v>61</v>
      </c>
      <c r="U55">
        <v>0</v>
      </c>
      <c r="V55">
        <v>0</v>
      </c>
      <c r="W55">
        <v>0</v>
      </c>
      <c r="X55" t="s">
        <v>33</v>
      </c>
    </row>
    <row r="56" spans="1:24">
      <c r="C56" s="2"/>
      <c r="F56" s="4"/>
      <c r="S56" t="s">
        <v>182</v>
      </c>
      <c r="T56" t="str">
        <f>"+1"</f>
        <v>+1</v>
      </c>
      <c r="U56">
        <v>15000000</v>
      </c>
      <c r="V56">
        <v>10</v>
      </c>
      <c r="W56">
        <v>10</v>
      </c>
      <c r="X56" t="s">
        <v>186</v>
      </c>
    </row>
    <row r="57" spans="1:24">
      <c r="C57" s="2"/>
      <c r="F57" s="4"/>
      <c r="S57" t="s">
        <v>183</v>
      </c>
      <c r="T57" t="str">
        <f>"+2"</f>
        <v>+2</v>
      </c>
      <c r="U57">
        <v>18000000</v>
      </c>
      <c r="V57">
        <v>15</v>
      </c>
      <c r="W57">
        <v>13</v>
      </c>
      <c r="X57" t="s">
        <v>187</v>
      </c>
    </row>
    <row r="58" spans="1:24">
      <c r="C58" s="2"/>
      <c r="F58" s="4"/>
      <c r="S58" t="s">
        <v>184</v>
      </c>
      <c r="T58" t="str">
        <f>"+3"</f>
        <v>+3</v>
      </c>
      <c r="U58">
        <v>24000000</v>
      </c>
      <c r="V58">
        <v>20</v>
      </c>
      <c r="W58">
        <v>15</v>
      </c>
      <c r="X58" t="s">
        <v>188</v>
      </c>
    </row>
    <row r="59" spans="1:24">
      <c r="C59" s="2"/>
      <c r="F59" s="4"/>
      <c r="S59" t="str">
        <f>""</f>
        <v/>
      </c>
      <c r="T59" t="s">
        <v>61</v>
      </c>
      <c r="U59">
        <v>0</v>
      </c>
      <c r="V59">
        <v>0</v>
      </c>
      <c r="W59">
        <v>0</v>
      </c>
      <c r="X59" t="s">
        <v>33</v>
      </c>
    </row>
    <row r="60" spans="1:24">
      <c r="C60" s="2"/>
      <c r="F60" s="4"/>
      <c r="S60" t="s">
        <v>208</v>
      </c>
      <c r="T60" t="str">
        <f>"-1"</f>
        <v>-1</v>
      </c>
      <c r="U60">
        <v>1000000</v>
      </c>
      <c r="V60">
        <v>10</v>
      </c>
      <c r="W60">
        <v>9</v>
      </c>
      <c r="X60" t="s">
        <v>211</v>
      </c>
    </row>
    <row r="61" spans="1:24">
      <c r="C61" s="2"/>
      <c r="F61" s="4"/>
      <c r="S61" t="s">
        <v>209</v>
      </c>
      <c r="T61" t="str">
        <f>"-2"</f>
        <v>-2</v>
      </c>
      <c r="U61">
        <v>2000000</v>
      </c>
      <c r="V61">
        <v>15</v>
      </c>
      <c r="W61">
        <v>11</v>
      </c>
      <c r="X61" t="s">
        <v>212</v>
      </c>
    </row>
    <row r="62" spans="1:24">
      <c r="C62" s="2"/>
      <c r="F62" s="4"/>
      <c r="S62" t="s">
        <v>210</v>
      </c>
      <c r="T62" t="str">
        <f>"-3"</f>
        <v>-3</v>
      </c>
      <c r="U62">
        <v>3000000</v>
      </c>
      <c r="V62">
        <v>25</v>
      </c>
      <c r="W62">
        <v>13</v>
      </c>
      <c r="X62" t="s">
        <v>213</v>
      </c>
    </row>
    <row r="63" spans="1:24">
      <c r="C63" s="2"/>
      <c r="F63" s="4"/>
      <c r="S63" t="str">
        <f>""</f>
        <v/>
      </c>
      <c r="U63">
        <v>0</v>
      </c>
      <c r="V63">
        <v>0</v>
      </c>
      <c r="W63">
        <v>0</v>
      </c>
      <c r="X63" t="s">
        <v>33</v>
      </c>
    </row>
    <row r="64" spans="1:24">
      <c r="C64" s="2"/>
      <c r="F64" s="4"/>
      <c r="S64" t="s">
        <v>215</v>
      </c>
      <c r="U64">
        <v>0</v>
      </c>
      <c r="V64">
        <v>0</v>
      </c>
      <c r="W64">
        <v>11</v>
      </c>
      <c r="X64" t="s">
        <v>216</v>
      </c>
    </row>
    <row r="65" spans="3:32">
      <c r="C65" s="2"/>
      <c r="F65" s="4"/>
      <c r="S65" t="str">
        <f>""</f>
        <v/>
      </c>
      <c r="U65">
        <v>0</v>
      </c>
      <c r="V65">
        <v>0</v>
      </c>
      <c r="W65">
        <v>0</v>
      </c>
      <c r="X65" t="s">
        <v>33</v>
      </c>
      <c r="AD65">
        <v>0</v>
      </c>
      <c r="AE65">
        <v>1</v>
      </c>
      <c r="AF65">
        <v>2</v>
      </c>
    </row>
    <row r="66" spans="3:32">
      <c r="C66" s="2"/>
      <c r="F66" s="4"/>
      <c r="S66" t="str">
        <f>AC66&amp;" Control/1"</f>
        <v>Jump Control/1</v>
      </c>
      <c r="U66">
        <f>IF(AC67=0,100000,1000000)</f>
        <v>100000</v>
      </c>
      <c r="V66">
        <f>IF(B10=S22,0,IF(B14=S22,0,5))+IF(AC67=0,0,35)</f>
        <v>0</v>
      </c>
      <c r="W66">
        <f>INDEX(AD66:AF74,1,MATCH(AC67,AD65:AF65,0))</f>
        <v>9</v>
      </c>
      <c r="X66" t="s">
        <v>217</v>
      </c>
      <c r="AC66" s="121" t="str">
        <f>IF('2-Drives'!B25="Jump Drive (Hop)","Hop",IF('2-Drives'!B25="Jump Drive (Skip)","Skip","Jump"))</f>
        <v>Jump</v>
      </c>
      <c r="AD66">
        <v>9</v>
      </c>
      <c r="AE66">
        <f>MIN(17,'2-Drives'!E25)</f>
        <v>13</v>
      </c>
      <c r="AF66">
        <v>20</v>
      </c>
    </row>
    <row r="67" spans="3:32">
      <c r="C67" s="2"/>
      <c r="F67" s="4"/>
      <c r="S67" t="str">
        <f>AC66&amp;" Control/2"</f>
        <v>Jump Control/2</v>
      </c>
      <c r="U67">
        <f>IF(AC67=0,200000,2000000)</f>
        <v>200000</v>
      </c>
      <c r="V67">
        <f>IF(B10=S22,0,IF(B14=S22,0,5))+IF(AC67=0,5,45)</f>
        <v>5</v>
      </c>
      <c r="W67">
        <f>INDEX(AD66:AF74,2,MATCH(AC67,AD65:AF65,0))</f>
        <v>11</v>
      </c>
      <c r="X67" t="s">
        <v>217</v>
      </c>
      <c r="AC67" s="122">
        <f>IF(AC66="Jump",0,IF(AC66="Hop",1,2))</f>
        <v>0</v>
      </c>
      <c r="AD67">
        <v>11</v>
      </c>
      <c r="AE67">
        <f>MIN(18,'2-Drives'!E25)</f>
        <v>13</v>
      </c>
      <c r="AF67">
        <v>21</v>
      </c>
    </row>
    <row r="68" spans="3:32">
      <c r="C68" s="2"/>
      <c r="F68" s="4"/>
      <c r="S68" t="str">
        <f>AC66&amp;" Control/3"</f>
        <v>Jump Control/3</v>
      </c>
      <c r="U68">
        <f>IF(AC67=0,300000,3000000)</f>
        <v>300000</v>
      </c>
      <c r="V68">
        <f>IF(B10=S22,0,IF(B14=S22,0,5))+IF(AC67=0,10,55)</f>
        <v>10</v>
      </c>
      <c r="W68">
        <f>INDEX(AD66:AF74,3,MATCH(AC67,AD65:AF65,0))</f>
        <v>12</v>
      </c>
      <c r="X68" t="s">
        <v>217</v>
      </c>
      <c r="AD68">
        <v>12</v>
      </c>
      <c r="AE68">
        <v>19</v>
      </c>
      <c r="AF68">
        <v>22</v>
      </c>
    </row>
    <row r="69" spans="3:32">
      <c r="C69" s="2"/>
      <c r="F69" s="4"/>
      <c r="S69" t="str">
        <f>AC66&amp;" Control/4"</f>
        <v>Jump Control/4</v>
      </c>
      <c r="U69">
        <f>IF(AC67=0,400000,4000000)</f>
        <v>400000</v>
      </c>
      <c r="V69">
        <f>IF(B10=S22,0,IF(B14=S22,0,5))+IF(AC67=0,15,65)</f>
        <v>15</v>
      </c>
      <c r="W69">
        <f>INDEX(AD66:AF74,4,MATCH(AC67,AD65:AF65,0))</f>
        <v>13</v>
      </c>
      <c r="X69" t="s">
        <v>217</v>
      </c>
      <c r="AD69">
        <v>13</v>
      </c>
      <c r="AE69">
        <v>20</v>
      </c>
      <c r="AF69">
        <v>23</v>
      </c>
    </row>
    <row r="70" spans="3:32">
      <c r="C70" s="2"/>
      <c r="F70" s="4"/>
      <c r="S70" t="str">
        <f>AC66&amp;" Control/5"</f>
        <v>Jump Control/5</v>
      </c>
      <c r="U70">
        <f>IF(AC67=0,500000,5000000)</f>
        <v>500000</v>
      </c>
      <c r="V70">
        <f>IF(B10=S22,0,IF(B14=S22,0,5))+IF(AC67=0,20,75)</f>
        <v>20</v>
      </c>
      <c r="W70">
        <f>INDEX(AD66:AF74,5,MATCH(AC67,AD65:AF65,0))</f>
        <v>14</v>
      </c>
      <c r="X70" t="s">
        <v>217</v>
      </c>
      <c r="AD70">
        <v>14</v>
      </c>
      <c r="AE70">
        <v>21</v>
      </c>
      <c r="AF70">
        <v>24</v>
      </c>
    </row>
    <row r="71" spans="3:32">
      <c r="C71" s="2"/>
      <c r="F71" s="4"/>
      <c r="S71" t="str">
        <f>AC66&amp;" Control/6"</f>
        <v>Jump Control/6</v>
      </c>
      <c r="U71">
        <f>IF(AC67=0,600000,6000000)</f>
        <v>600000</v>
      </c>
      <c r="V71">
        <f>IF(B10=S22,0,IF(B14=S22,0,5))+IF(AC67=0,25,85)</f>
        <v>25</v>
      </c>
      <c r="W71">
        <f>INDEX(AD66:AF74,6,MATCH(AC67,AD65:AF65,0))</f>
        <v>15</v>
      </c>
      <c r="X71" t="s">
        <v>217</v>
      </c>
      <c r="AD71">
        <v>15</v>
      </c>
      <c r="AE71">
        <v>22</v>
      </c>
      <c r="AF71">
        <v>25</v>
      </c>
    </row>
    <row r="72" spans="3:32">
      <c r="C72" s="2"/>
      <c r="F72" s="4"/>
      <c r="S72" t="str">
        <f>AC66&amp;" Control/7"</f>
        <v>Jump Control/7</v>
      </c>
      <c r="U72">
        <f>IF(AC67=0,700000,7000000)</f>
        <v>700000</v>
      </c>
      <c r="V72">
        <f>IF(B10=S22,0,IF(B14=S22,0,5))+IF(AC67=0,30,95)</f>
        <v>30</v>
      </c>
      <c r="W72">
        <f>INDEX(AD66:AF74,7,MATCH(AC67,AD65:AF65,0))</f>
        <v>16</v>
      </c>
      <c r="X72" t="s">
        <v>217</v>
      </c>
      <c r="AD72">
        <v>16</v>
      </c>
      <c r="AE72">
        <v>23</v>
      </c>
      <c r="AF72">
        <v>26</v>
      </c>
    </row>
    <row r="73" spans="3:32">
      <c r="C73" s="2"/>
      <c r="F73" s="4"/>
      <c r="S73" t="str">
        <f>AC66&amp;" Control/8"</f>
        <v>Jump Control/8</v>
      </c>
      <c r="U73">
        <f>IF(AC67=0,800000,8000000)</f>
        <v>800000</v>
      </c>
      <c r="V73">
        <f>IF(B10=S22,0,IF(B14=S22,0,5))+IF(AC67=0,35,105)</f>
        <v>35</v>
      </c>
      <c r="W73">
        <f>INDEX(AD66:AF74,8,MATCH(AC67,AD65:AF65,0))</f>
        <v>17</v>
      </c>
      <c r="X73" t="s">
        <v>217</v>
      </c>
      <c r="AD73">
        <v>17</v>
      </c>
      <c r="AE73">
        <v>24</v>
      </c>
      <c r="AF73">
        <v>27</v>
      </c>
    </row>
    <row r="74" spans="3:32">
      <c r="C74" s="2"/>
      <c r="F74" s="4"/>
      <c r="S74" t="str">
        <f>AC66&amp;" Control/9"</f>
        <v>Jump Control/9</v>
      </c>
      <c r="U74">
        <f>IF(AC67=0,900000,9000000)</f>
        <v>900000</v>
      </c>
      <c r="V74">
        <f>IF(B10=S22,0,IF(B14=S22,0,5))+IF(AC67=0,40,115)</f>
        <v>40</v>
      </c>
      <c r="W74">
        <f>INDEX(AD66:AF74,9,MATCH(AC67,AD65:AF65,0))</f>
        <v>18</v>
      </c>
      <c r="X74" t="s">
        <v>217</v>
      </c>
      <c r="AD74">
        <v>18</v>
      </c>
      <c r="AE74">
        <v>25</v>
      </c>
      <c r="AF74">
        <v>28</v>
      </c>
    </row>
    <row r="75" spans="3:32">
      <c r="C75" s="2"/>
      <c r="F75" s="4"/>
      <c r="S75" t="str">
        <f>""</f>
        <v/>
      </c>
      <c r="T75" t="s">
        <v>61</v>
      </c>
      <c r="U75">
        <v>0</v>
      </c>
      <c r="V75">
        <v>0</v>
      </c>
      <c r="W75">
        <v>0</v>
      </c>
      <c r="X75" t="s">
        <v>33</v>
      </c>
    </row>
    <row r="76" spans="3:32">
      <c r="C76" s="2"/>
      <c r="F76" s="4"/>
      <c r="S76" t="s">
        <v>189</v>
      </c>
      <c r="T76" t="str">
        <f>"+1"</f>
        <v>+1</v>
      </c>
      <c r="U76">
        <v>10000000</v>
      </c>
      <c r="V76">
        <v>5</v>
      </c>
      <c r="W76">
        <v>8</v>
      </c>
      <c r="X76" t="s">
        <v>192</v>
      </c>
    </row>
    <row r="77" spans="3:32">
      <c r="C77" s="2"/>
      <c r="F77" s="4"/>
      <c r="S77" t="s">
        <v>190</v>
      </c>
      <c r="T77" t="str">
        <f>"+2"</f>
        <v>+2</v>
      </c>
      <c r="U77">
        <v>12000000</v>
      </c>
      <c r="V77">
        <v>10</v>
      </c>
      <c r="W77">
        <v>10</v>
      </c>
      <c r="X77" t="s">
        <v>193</v>
      </c>
    </row>
    <row r="78" spans="3:32">
      <c r="C78" s="2"/>
      <c r="F78" s="4"/>
      <c r="S78" t="s">
        <v>191</v>
      </c>
      <c r="T78" t="str">
        <f>"+3"</f>
        <v>+3</v>
      </c>
      <c r="U78">
        <v>16000000</v>
      </c>
      <c r="V78">
        <v>15</v>
      </c>
      <c r="W78">
        <v>12</v>
      </c>
      <c r="X78" t="s">
        <v>194</v>
      </c>
    </row>
    <row r="79" spans="3:32">
      <c r="C79" s="2"/>
      <c r="F79" s="4"/>
      <c r="S79" t="str">
        <f>""</f>
        <v/>
      </c>
      <c r="T79" t="s">
        <v>718</v>
      </c>
      <c r="U79">
        <v>0</v>
      </c>
      <c r="V79">
        <v>0</v>
      </c>
      <c r="W79">
        <v>0</v>
      </c>
      <c r="X79" t="s">
        <v>33</v>
      </c>
    </row>
    <row r="80" spans="3:32">
      <c r="C80" s="2"/>
      <c r="F80" s="4"/>
      <c r="S80" t="s">
        <v>226</v>
      </c>
      <c r="T80" t="s">
        <v>634</v>
      </c>
      <c r="U80">
        <v>8000000</v>
      </c>
      <c r="V80">
        <v>12</v>
      </c>
      <c r="W80">
        <v>9</v>
      </c>
      <c r="X80" t="s">
        <v>224</v>
      </c>
    </row>
    <row r="81" spans="6:24">
      <c r="F81" s="4"/>
      <c r="S81" t="s">
        <v>225</v>
      </c>
      <c r="T81" t="s">
        <v>635</v>
      </c>
      <c r="U81">
        <v>12000000</v>
      </c>
      <c r="V81">
        <v>15</v>
      </c>
      <c r="W81">
        <v>12</v>
      </c>
      <c r="X81" t="s">
        <v>224</v>
      </c>
    </row>
    <row r="82" spans="6:24">
      <c r="F82" s="4"/>
      <c r="S82" t="str">
        <f>""</f>
        <v/>
      </c>
      <c r="U82">
        <v>0</v>
      </c>
      <c r="V82">
        <v>0</v>
      </c>
      <c r="W82">
        <v>0</v>
      </c>
      <c r="X82" t="s">
        <v>33</v>
      </c>
    </row>
    <row r="83" spans="6:24">
      <c r="F83" s="4"/>
      <c r="S83" t="s">
        <v>227</v>
      </c>
      <c r="U83">
        <v>5000000</v>
      </c>
      <c r="V83">
        <v>10</v>
      </c>
      <c r="W83">
        <v>10</v>
      </c>
      <c r="X83" t="s">
        <v>228</v>
      </c>
    </row>
    <row r="84" spans="6:24">
      <c r="F84" s="4"/>
      <c r="S84" t="str">
        <f>""</f>
        <v/>
      </c>
      <c r="U84">
        <v>0</v>
      </c>
      <c r="V84">
        <v>0</v>
      </c>
      <c r="W84">
        <v>0</v>
      </c>
      <c r="X84" t="s">
        <v>33</v>
      </c>
    </row>
    <row r="85" spans="6:24">
      <c r="F85" s="4"/>
      <c r="S85" t="s">
        <v>229</v>
      </c>
      <c r="U85">
        <v>1000000</v>
      </c>
      <c r="V85">
        <v>5</v>
      </c>
      <c r="W85">
        <v>10</v>
      </c>
      <c r="X85" t="s">
        <v>234</v>
      </c>
    </row>
    <row r="86" spans="6:24">
      <c r="F86" s="4"/>
      <c r="S86" t="s">
        <v>230</v>
      </c>
      <c r="U86">
        <v>5000000</v>
      </c>
      <c r="V86">
        <v>10</v>
      </c>
      <c r="W86">
        <v>13</v>
      </c>
      <c r="X86" t="s">
        <v>235</v>
      </c>
    </row>
    <row r="87" spans="6:24">
      <c r="F87" s="4"/>
      <c r="S87" t="s">
        <v>231</v>
      </c>
      <c r="U87">
        <v>10000000</v>
      </c>
      <c r="V87">
        <v>15</v>
      </c>
      <c r="W87">
        <v>15</v>
      </c>
      <c r="X87" t="s">
        <v>236</v>
      </c>
    </row>
    <row r="88" spans="6:24">
      <c r="F88" s="4"/>
      <c r="S88" t="str">
        <f>""</f>
        <v/>
      </c>
      <c r="U88">
        <v>0</v>
      </c>
      <c r="V88">
        <v>0</v>
      </c>
      <c r="W88">
        <v>0</v>
      </c>
      <c r="X88" t="s">
        <v>33</v>
      </c>
    </row>
    <row r="89" spans="6:24">
      <c r="F89" s="4"/>
      <c r="S89" t="s">
        <v>232</v>
      </c>
      <c r="U89">
        <v>0</v>
      </c>
      <c r="V89">
        <v>1</v>
      </c>
      <c r="W89">
        <v>10</v>
      </c>
      <c r="X89" t="s">
        <v>233</v>
      </c>
    </row>
    <row r="90" spans="6:24">
      <c r="F90" s="4"/>
      <c r="S90" t="str">
        <f>""</f>
        <v/>
      </c>
      <c r="U90">
        <v>0</v>
      </c>
      <c r="V90">
        <v>0</v>
      </c>
      <c r="W90">
        <v>0</v>
      </c>
      <c r="X90" t="s">
        <v>33</v>
      </c>
    </row>
    <row r="91" spans="6:24">
      <c r="F91" s="4"/>
      <c r="S91" t="s">
        <v>237</v>
      </c>
      <c r="U91">
        <v>1000000</v>
      </c>
      <c r="V91">
        <v>5</v>
      </c>
      <c r="W91">
        <v>9</v>
      </c>
      <c r="X91" t="s">
        <v>242</v>
      </c>
    </row>
    <row r="92" spans="6:24">
      <c r="F92" s="4"/>
      <c r="S92" t="s">
        <v>239</v>
      </c>
      <c r="U92">
        <v>5000000</v>
      </c>
      <c r="V92">
        <v>10</v>
      </c>
      <c r="W92">
        <v>12</v>
      </c>
      <c r="X92" t="s">
        <v>243</v>
      </c>
    </row>
    <row r="93" spans="6:24">
      <c r="F93" s="4"/>
      <c r="S93" t="s">
        <v>238</v>
      </c>
      <c r="U93">
        <v>10000000</v>
      </c>
      <c r="V93">
        <v>15</v>
      </c>
      <c r="W93">
        <v>15</v>
      </c>
      <c r="X93" t="s">
        <v>244</v>
      </c>
    </row>
    <row r="94" spans="6:24">
      <c r="F94" s="4"/>
      <c r="S94" t="str">
        <f>""</f>
        <v/>
      </c>
      <c r="U94">
        <v>0</v>
      </c>
      <c r="V94">
        <v>0</v>
      </c>
      <c r="W94">
        <v>0</v>
      </c>
      <c r="X94" t="s">
        <v>33</v>
      </c>
    </row>
    <row r="95" spans="6:24">
      <c r="F95" s="4"/>
      <c r="S95" t="s">
        <v>240</v>
      </c>
      <c r="U95">
        <v>0</v>
      </c>
      <c r="V95">
        <v>1</v>
      </c>
      <c r="W95">
        <v>9</v>
      </c>
      <c r="X95" t="s">
        <v>241</v>
      </c>
    </row>
    <row r="96" spans="6:24">
      <c r="F96" s="4"/>
      <c r="S96" t="s">
        <v>113</v>
      </c>
      <c r="U96">
        <v>5000000</v>
      </c>
      <c r="V96">
        <v>5</v>
      </c>
      <c r="W96">
        <v>14</v>
      </c>
      <c r="X96" t="s">
        <v>1715</v>
      </c>
    </row>
    <row r="97" spans="6:24">
      <c r="F97" s="4"/>
      <c r="S97" t="s">
        <v>283</v>
      </c>
      <c r="U97">
        <v>0</v>
      </c>
      <c r="V97">
        <v>0</v>
      </c>
      <c r="W97">
        <v>0</v>
      </c>
      <c r="X97" t="str">
        <f>""</f>
        <v/>
      </c>
    </row>
    <row r="98" spans="6:24">
      <c r="F98" s="4"/>
      <c r="S98" t="str">
        <f>B34&amp;", "&amp;B35&amp;""&amp;IF(B21=S25,"",", "&amp;B21)&amp;""&amp;IF(B22=S29,"",", "&amp;B22)&amp;""&amp;IF(B23=S33,"",", "&amp;B23)&amp;""&amp;IF(B24=S36,"",", "&amp;B24)&amp;""&amp;IF(B25=S42,"",", "&amp;B25)&amp;""&amp;IF(B26=S45,"",", "&amp;B26)&amp;""&amp;IF(B27=S49,"",", "&amp;B27)&amp;""&amp;IF(B28=S51,"",", "&amp;B28)&amp;""&amp;IF(B29=S55,"",", "&amp;B29)&amp;""&amp;IF(B30=S59,"",", "&amp;B30)&amp;""&amp;IF(B31=S63,"",", "&amp;B31)&amp;""&amp;IF(B32=S65,"",", "&amp;B32)&amp;""&amp;IF(B33=S75,"",", "&amp;B33)&amp;""&amp;IF(B36=S79,"",", "&amp;B36)&amp;""&amp;IF(B37=S82,"",", "&amp;B37)&amp;""&amp;IF(B38=S84,"",", "&amp;B38&amp;": "&amp;B39&amp;" additional crew replaced")&amp;""&amp;IF(B40=S90,"",", "&amp;B40&amp;": "&amp;B41&amp;" additional gunners replaced")&amp;""&amp;IF(C42=0,"",", "&amp;A42&amp;": "&amp;C42&amp;" Max bandwidth")&amp;""&amp;IF(B44=S97,"",", "&amp;A44)&amp;IF(D48=0,"",", "&amp;B48)&amp;IF(D49=0,"",", "&amp;C49&amp;"x "&amp;B49)&amp;IF(D50=0,"",", "&amp;C50&amp;"x "&amp;B50)&amp;IF(D51=0,"",", "&amp;C51&amp;"x "&amp;B51)&amp;IF(D52=0,"",", "&amp;C52&amp;"x "&amp;B52)&amp;IF(D53=0,"",", "&amp;B53)</f>
        <v>Library, Manoeuvre/0, Auto-Repair/1, Basic Fire Control/1, Evade/1, Intellect, Jump Control/3, Virtual Gunner/01: 2 additional gunners replaced, Science (General), 1x Science (Specific), Planetology/1</v>
      </c>
      <c r="U98" t="s">
        <v>1581</v>
      </c>
    </row>
    <row r="99" spans="6:24">
      <c r="F99" s="4"/>
    </row>
    <row r="100" spans="6:24">
      <c r="F100" s="4"/>
      <c r="S100" t="s">
        <v>55</v>
      </c>
    </row>
    <row r="101" spans="6:24">
      <c r="F101" s="4"/>
      <c r="S101">
        <f>IF(B44=S96,1,0)</f>
        <v>0</v>
      </c>
    </row>
    <row r="102" spans="6:24">
      <c r="F102" s="4"/>
    </row>
    <row r="103" spans="6:24">
      <c r="F103" s="4"/>
      <c r="S103" t="s">
        <v>1535</v>
      </c>
      <c r="U103" t="s">
        <v>545</v>
      </c>
      <c r="V103" t="s">
        <v>170</v>
      </c>
      <c r="W103" t="s">
        <v>26</v>
      </c>
      <c r="X103" t="s">
        <v>171</v>
      </c>
    </row>
    <row r="104" spans="6:24">
      <c r="F104" s="4"/>
      <c r="S104" t="str">
        <f>""</f>
        <v/>
      </c>
      <c r="U104">
        <v>0</v>
      </c>
      <c r="V104">
        <v>0</v>
      </c>
      <c r="W104">
        <v>0</v>
      </c>
      <c r="X104" t="str">
        <f>""</f>
        <v/>
      </c>
    </row>
    <row r="105" spans="6:24">
      <c r="F105" s="4"/>
      <c r="S105" t="s">
        <v>1536</v>
      </c>
      <c r="U105">
        <v>25000000</v>
      </c>
      <c r="V105">
        <v>9</v>
      </c>
      <c r="W105">
        <v>12</v>
      </c>
      <c r="X105" t="s">
        <v>1550</v>
      </c>
    </row>
    <row r="106" spans="6:24">
      <c r="F106" s="4"/>
      <c r="S106" t="str">
        <f>""</f>
        <v/>
      </c>
      <c r="U106">
        <v>0</v>
      </c>
      <c r="V106">
        <v>0</v>
      </c>
      <c r="W106">
        <v>0</v>
      </c>
      <c r="X106" t="str">
        <f>""</f>
        <v/>
      </c>
    </row>
    <row r="107" spans="6:24">
      <c r="F107" s="4"/>
      <c r="S107" t="s">
        <v>1529</v>
      </c>
      <c r="U107">
        <v>20000000</v>
      </c>
      <c r="V107">
        <v>6</v>
      </c>
      <c r="W107">
        <v>11</v>
      </c>
      <c r="X107" t="s">
        <v>1555</v>
      </c>
    </row>
    <row r="108" spans="6:24">
      <c r="F108" s="4"/>
      <c r="S108" t="s">
        <v>1537</v>
      </c>
      <c r="U108">
        <v>30000000</v>
      </c>
      <c r="V108">
        <v>12</v>
      </c>
      <c r="W108">
        <v>13</v>
      </c>
      <c r="X108" t="s">
        <v>1556</v>
      </c>
    </row>
    <row r="109" spans="6:24">
      <c r="F109" s="4"/>
      <c r="S109" t="str">
        <f>""</f>
        <v/>
      </c>
      <c r="U109">
        <v>0</v>
      </c>
      <c r="V109">
        <v>0</v>
      </c>
      <c r="W109">
        <v>0</v>
      </c>
      <c r="X109" t="str">
        <f>""</f>
        <v/>
      </c>
    </row>
    <row r="110" spans="6:24">
      <c r="F110" s="4"/>
      <c r="S110" t="s">
        <v>1538</v>
      </c>
      <c r="U110">
        <v>2000000</v>
      </c>
      <c r="V110">
        <v>3</v>
      </c>
      <c r="W110">
        <v>8</v>
      </c>
      <c r="X110" t="str">
        <f>"DM +2 to avoid mishap for up to "&amp;C50*12&amp;" people."</f>
        <v>DM +2 to avoid mishap for up to 0 people.</v>
      </c>
    </row>
    <row r="111" spans="6:24">
      <c r="F111" s="4"/>
      <c r="S111" t="s">
        <v>1539</v>
      </c>
      <c r="U111">
        <v>3000000</v>
      </c>
      <c r="V111">
        <v>5</v>
      </c>
      <c r="W111">
        <v>10</v>
      </c>
      <c r="X111" t="str">
        <f>"DM +3 to avoid mishap for up to "&amp;C50*12&amp;" people."</f>
        <v>DM +3 to avoid mishap for up to 0 people.</v>
      </c>
    </row>
    <row r="112" spans="6:24">
      <c r="F112" s="4"/>
      <c r="S112" t="s">
        <v>1540</v>
      </c>
      <c r="U112">
        <v>4000000</v>
      </c>
      <c r="V112">
        <v>7</v>
      </c>
      <c r="W112">
        <v>12</v>
      </c>
      <c r="X112" t="str">
        <f>"DM +4 to avoid mishap for up to "&amp;C50*12&amp;" people."</f>
        <v>DM +4 to avoid mishap for up to 0 people.</v>
      </c>
    </row>
    <row r="113" spans="6:24">
      <c r="F113" s="4"/>
      <c r="S113" t="str">
        <f>""</f>
        <v/>
      </c>
      <c r="U113">
        <v>0</v>
      </c>
      <c r="V113">
        <v>0</v>
      </c>
      <c r="W113">
        <v>0</v>
      </c>
      <c r="X113" t="str">
        <f>""</f>
        <v/>
      </c>
    </row>
    <row r="114" spans="6:24">
      <c r="F114" s="4"/>
      <c r="S114" t="s">
        <v>1541</v>
      </c>
      <c r="U114">
        <v>2000000</v>
      </c>
      <c r="V114">
        <v>4</v>
      </c>
      <c r="W114">
        <v>9</v>
      </c>
      <c r="X114" t="str">
        <f>"DM +1 to any Science research checks for up to "&amp;12*C51&amp;" researchers."</f>
        <v>DM +1 to any Science research checks for up to 0 researchers.</v>
      </c>
    </row>
    <row r="115" spans="6:24">
      <c r="F115" s="4"/>
      <c r="S115" t="s">
        <v>1542</v>
      </c>
      <c r="U115">
        <v>3000000</v>
      </c>
      <c r="V115">
        <v>6</v>
      </c>
      <c r="W115">
        <v>11</v>
      </c>
      <c r="X115" t="str">
        <f>"DM +2 to any Science research checks for up to "&amp;12*C51&amp;" researchers."</f>
        <v>DM +2 to any Science research checks for up to 0 researchers.</v>
      </c>
    </row>
    <row r="116" spans="6:24">
      <c r="F116" s="4"/>
      <c r="S116" t="s">
        <v>1543</v>
      </c>
      <c r="U116">
        <v>5000000</v>
      </c>
      <c r="V116">
        <v>8</v>
      </c>
      <c r="W116">
        <v>13</v>
      </c>
      <c r="X116" t="str">
        <f>"DM +3 to any Science research checks for up to "&amp;12*C51&amp;" researchers."</f>
        <v>DM +3 to any Science research checks for up to 0 researchers.</v>
      </c>
    </row>
    <row r="117" spans="6:24">
      <c r="F117" s="4"/>
      <c r="S117" t="str">
        <f>""</f>
        <v/>
      </c>
      <c r="U117">
        <v>0</v>
      </c>
      <c r="V117">
        <v>0</v>
      </c>
      <c r="W117">
        <v>0</v>
      </c>
      <c r="X117" t="str">
        <f>""</f>
        <v/>
      </c>
    </row>
    <row r="118" spans="6:24">
      <c r="F118" s="4"/>
      <c r="S118" t="s">
        <v>1544</v>
      </c>
      <c r="U118">
        <v>6000000</v>
      </c>
      <c r="V118">
        <v>4</v>
      </c>
      <c r="W118">
        <v>9</v>
      </c>
      <c r="X118" t="str">
        <f>"DM +1 to Hazard Avoidance/Docking for "&amp;8*C52&amp;" controlled craft."</f>
        <v>DM +1 to Hazard Avoidance/Docking for 0 controlled craft.</v>
      </c>
    </row>
    <row r="119" spans="6:24">
      <c r="F119" s="4"/>
      <c r="S119" t="s">
        <v>1545</v>
      </c>
      <c r="U119">
        <v>10000000</v>
      </c>
      <c r="V119">
        <v>8</v>
      </c>
      <c r="W119">
        <v>11</v>
      </c>
      <c r="X119" t="str">
        <f>"DM +2 to Hazard Avoidance/Docking for "&amp;16*C52&amp;" controlled craft."</f>
        <v>DM +2 to Hazard Avoidance/Docking for 0 controlled craft.</v>
      </c>
    </row>
    <row r="120" spans="6:24">
      <c r="F120" s="4"/>
      <c r="S120" t="s">
        <v>1546</v>
      </c>
      <c r="U120">
        <v>15000000</v>
      </c>
      <c r="V120">
        <v>12</v>
      </c>
      <c r="W120">
        <v>12</v>
      </c>
      <c r="X120" t="str">
        <f>"DM +3 to Hazard Avoidance/Docking for "&amp;32*C52&amp;" controlled craft."</f>
        <v>DM +3 to Hazard Avoidance/Docking for 0 controlled craft.</v>
      </c>
    </row>
    <row r="121" spans="6:24">
      <c r="F121" s="4"/>
      <c r="S121" t="str">
        <f>""</f>
        <v/>
      </c>
      <c r="U121">
        <v>0</v>
      </c>
      <c r="V121">
        <v>0</v>
      </c>
      <c r="W121">
        <v>0</v>
      </c>
      <c r="X121" t="str">
        <f>""</f>
        <v/>
      </c>
    </row>
    <row r="122" spans="6:24">
      <c r="F122" s="4"/>
      <c r="S122" t="s">
        <v>1547</v>
      </c>
      <c r="U122">
        <v>1000000</v>
      </c>
      <c r="V122">
        <v>2</v>
      </c>
      <c r="W122">
        <v>9</v>
      </c>
      <c r="X122" t="s">
        <v>1551</v>
      </c>
    </row>
    <row r="123" spans="6:24">
      <c r="F123" s="4"/>
      <c r="S123" t="s">
        <v>1548</v>
      </c>
      <c r="U123">
        <v>3000000</v>
      </c>
      <c r="V123">
        <v>3</v>
      </c>
      <c r="W123">
        <v>11</v>
      </c>
      <c r="X123" t="s">
        <v>1552</v>
      </c>
    </row>
    <row r="124" spans="6:24">
      <c r="F124" s="4"/>
      <c r="S124" t="s">
        <v>1549</v>
      </c>
      <c r="U124">
        <v>7000000</v>
      </c>
      <c r="V124">
        <v>5</v>
      </c>
      <c r="W124">
        <v>13</v>
      </c>
      <c r="X124" t="s">
        <v>1553</v>
      </c>
    </row>
    <row r="125" spans="6:24">
      <c r="F125" s="4"/>
      <c r="S125" t="str">
        <f>""</f>
        <v/>
      </c>
      <c r="X125" t="s">
        <v>1769</v>
      </c>
    </row>
    <row r="126" spans="6:24">
      <c r="F126" s="4"/>
      <c r="S126" t="s">
        <v>1768</v>
      </c>
      <c r="U126">
        <v>100000</v>
      </c>
      <c r="V126">
        <v>5</v>
      </c>
      <c r="W126">
        <v>12</v>
      </c>
      <c r="X126" t="s">
        <v>1769</v>
      </c>
    </row>
    <row r="127" spans="6:24">
      <c r="F127" s="4"/>
    </row>
    <row r="128" spans="6:24">
      <c r="F128" s="4"/>
    </row>
    <row r="129" spans="6:6">
      <c r="F129" s="4"/>
    </row>
    <row r="130" spans="6:6">
      <c r="F130" s="4"/>
    </row>
    <row r="131" spans="6:6">
      <c r="F131" s="4"/>
    </row>
    <row r="132" spans="6:6">
      <c r="F132" s="4"/>
    </row>
    <row r="133" spans="6:6">
      <c r="F133" s="4"/>
    </row>
    <row r="134" spans="6:6">
      <c r="F134" s="4"/>
    </row>
    <row r="135" spans="6:6">
      <c r="F135" s="4"/>
    </row>
    <row r="136" spans="6:6">
      <c r="F136" s="4"/>
    </row>
    <row r="137" spans="6:6">
      <c r="F137" s="4"/>
    </row>
    <row r="138" spans="6:6">
      <c r="F138" s="4"/>
    </row>
    <row r="139" spans="6:6">
      <c r="F139" s="4"/>
    </row>
    <row r="140" spans="6:6">
      <c r="F140" s="4"/>
    </row>
    <row r="141" spans="6:6">
      <c r="F141" s="4"/>
    </row>
    <row r="142" spans="6:6">
      <c r="F142" s="4"/>
    </row>
    <row r="143" spans="6:6">
      <c r="F143" s="4"/>
    </row>
    <row r="144" spans="6:6">
      <c r="F144" s="4"/>
    </row>
    <row r="145" spans="6:6">
      <c r="F145" s="4"/>
    </row>
    <row r="146" spans="6:6">
      <c r="F146" s="4"/>
    </row>
    <row r="147" spans="6:6">
      <c r="F147" s="4"/>
    </row>
    <row r="148" spans="6:6">
      <c r="F148" s="4"/>
    </row>
    <row r="149" spans="6:6">
      <c r="F149" s="4"/>
    </row>
    <row r="150" spans="6:6">
      <c r="F150" s="4"/>
    </row>
    <row r="151" spans="6:6">
      <c r="F151" s="4"/>
    </row>
    <row r="152" spans="6:6">
      <c r="F152" s="4"/>
    </row>
    <row r="153" spans="6:6">
      <c r="F153" s="4"/>
    </row>
    <row r="154" spans="6:6">
      <c r="F154" s="4"/>
    </row>
    <row r="155" spans="6:6">
      <c r="F155" s="4"/>
    </row>
    <row r="156" spans="6:6">
      <c r="F156" s="4"/>
    </row>
    <row r="157" spans="6:6">
      <c r="F157" s="4"/>
    </row>
    <row r="158" spans="6:6">
      <c r="F158" s="4"/>
    </row>
    <row r="159" spans="6:6">
      <c r="F159" s="4"/>
    </row>
    <row r="160" spans="6:6">
      <c r="F160" s="4"/>
    </row>
    <row r="161" spans="6:6">
      <c r="F161" s="4"/>
    </row>
    <row r="162" spans="6:6">
      <c r="F162" s="4"/>
    </row>
    <row r="163" spans="6:6">
      <c r="F163" s="4"/>
    </row>
    <row r="164" spans="6:6">
      <c r="F164" s="4"/>
    </row>
    <row r="165" spans="6:6">
      <c r="F165" s="4"/>
    </row>
    <row r="166" spans="6:6">
      <c r="F166" s="4"/>
    </row>
    <row r="167" spans="6:6">
      <c r="F167" s="4"/>
    </row>
    <row r="168" spans="6:6">
      <c r="F168" s="4"/>
    </row>
    <row r="169" spans="6:6">
      <c r="F169" s="4"/>
    </row>
    <row r="170" spans="6:6">
      <c r="F170" s="4"/>
    </row>
    <row r="171" spans="6:6">
      <c r="F171" s="4"/>
    </row>
    <row r="172" spans="6:6">
      <c r="F172" s="4"/>
    </row>
    <row r="173" spans="6:6">
      <c r="F173" s="4"/>
    </row>
    <row r="174" spans="6:6">
      <c r="F174" s="4"/>
    </row>
    <row r="175" spans="6:6">
      <c r="F175" s="4"/>
    </row>
    <row r="176" spans="6:6">
      <c r="F176" s="4"/>
    </row>
    <row r="177" spans="6:6">
      <c r="F177" s="4"/>
    </row>
    <row r="178" spans="6:6">
      <c r="F178" s="4"/>
    </row>
    <row r="179" spans="6:6">
      <c r="F179" s="4"/>
    </row>
    <row r="180" spans="6:6">
      <c r="F180" s="4"/>
    </row>
    <row r="181" spans="6:6">
      <c r="F181" s="4"/>
    </row>
    <row r="182" spans="6:6">
      <c r="F182" s="4"/>
    </row>
    <row r="183" spans="6:6">
      <c r="F183" s="4"/>
    </row>
    <row r="184" spans="6:6">
      <c r="F184" s="4"/>
    </row>
    <row r="185" spans="6:6">
      <c r="F185" s="4"/>
    </row>
    <row r="186" spans="6:6">
      <c r="F186" s="4"/>
    </row>
    <row r="187" spans="6:6">
      <c r="F187" s="4"/>
    </row>
    <row r="188" spans="6:6">
      <c r="F188" s="4"/>
    </row>
    <row r="189" spans="6:6">
      <c r="F189" s="4"/>
    </row>
    <row r="190" spans="6:6">
      <c r="F190" s="4"/>
    </row>
    <row r="191" spans="6:6">
      <c r="F191" s="4"/>
    </row>
    <row r="192" spans="6:6">
      <c r="F192" s="4"/>
    </row>
    <row r="193" spans="6:6">
      <c r="F193" s="4"/>
    </row>
    <row r="194" spans="6:6">
      <c r="F194" s="4"/>
    </row>
    <row r="195" spans="6:6">
      <c r="F195" s="4"/>
    </row>
    <row r="196" spans="6:6">
      <c r="F196" s="4"/>
    </row>
    <row r="197" spans="6:6">
      <c r="F197" s="4"/>
    </row>
    <row r="198" spans="6:6">
      <c r="F198" s="4"/>
    </row>
    <row r="199" spans="6:6">
      <c r="F199" s="4"/>
    </row>
    <row r="200" spans="6:6">
      <c r="F200" s="4"/>
    </row>
    <row r="201" spans="6:6">
      <c r="F201" s="4"/>
    </row>
    <row r="202" spans="6:6">
      <c r="F202" s="4"/>
    </row>
    <row r="203" spans="6:6">
      <c r="F203" s="4"/>
    </row>
    <row r="204" spans="6:6">
      <c r="F204" s="4"/>
    </row>
    <row r="205" spans="6:6">
      <c r="F205" s="4"/>
    </row>
    <row r="206" spans="6:6">
      <c r="F206" s="4"/>
    </row>
    <row r="207" spans="6:6">
      <c r="F207" s="4"/>
    </row>
    <row r="208" spans="6:6">
      <c r="F208" s="4"/>
    </row>
    <row r="209" spans="6:6">
      <c r="F209" s="4"/>
    </row>
    <row r="210" spans="6:6">
      <c r="F210" s="4"/>
    </row>
    <row r="211" spans="6:6">
      <c r="F211" s="4"/>
    </row>
    <row r="212" spans="6:6">
      <c r="F212" s="4"/>
    </row>
    <row r="213" spans="6:6">
      <c r="F213" s="4"/>
    </row>
    <row r="214" spans="6:6">
      <c r="F214" s="4"/>
    </row>
    <row r="215" spans="6:6">
      <c r="F215" s="4"/>
    </row>
    <row r="216" spans="6:6">
      <c r="F216" s="4"/>
    </row>
    <row r="217" spans="6:6">
      <c r="F217" s="4"/>
    </row>
    <row r="218" spans="6:6">
      <c r="F218" s="4"/>
    </row>
    <row r="219" spans="6:6">
      <c r="F219" s="4"/>
    </row>
    <row r="220" spans="6:6">
      <c r="F220" s="4"/>
    </row>
    <row r="221" spans="6:6">
      <c r="F221" s="4"/>
    </row>
    <row r="222" spans="6:6">
      <c r="F222" s="4"/>
    </row>
    <row r="223" spans="6:6">
      <c r="F223" s="4"/>
    </row>
    <row r="224" spans="6:6">
      <c r="F224" s="4"/>
    </row>
    <row r="225" spans="6:6">
      <c r="F225" s="4"/>
    </row>
    <row r="226" spans="6:6">
      <c r="F226" s="4"/>
    </row>
    <row r="227" spans="6:6">
      <c r="F227" s="4"/>
    </row>
    <row r="228" spans="6:6">
      <c r="F228" s="4"/>
    </row>
    <row r="229" spans="6:6">
      <c r="F229" s="4"/>
    </row>
    <row r="230" spans="6:6">
      <c r="F230" s="4"/>
    </row>
    <row r="231" spans="6:6">
      <c r="F231" s="4"/>
    </row>
    <row r="232" spans="6:6">
      <c r="F232" s="4"/>
    </row>
    <row r="233" spans="6:6">
      <c r="F233" s="4"/>
    </row>
    <row r="234" spans="6:6">
      <c r="F234" s="4"/>
    </row>
    <row r="235" spans="6:6">
      <c r="F235" s="4"/>
    </row>
    <row r="236" spans="6:6">
      <c r="F236" s="4"/>
    </row>
    <row r="237" spans="6:6">
      <c r="F237" s="4"/>
    </row>
    <row r="238" spans="6:6">
      <c r="F238" s="4"/>
    </row>
    <row r="239" spans="6:6">
      <c r="F239" s="4"/>
    </row>
    <row r="240" spans="6:6">
      <c r="F240" s="4"/>
    </row>
    <row r="241" spans="6:6">
      <c r="F241" s="4"/>
    </row>
    <row r="242" spans="6:6">
      <c r="F242" s="4"/>
    </row>
    <row r="243" spans="6:6">
      <c r="F243" s="4"/>
    </row>
    <row r="244" spans="6:6">
      <c r="F244" s="4"/>
    </row>
    <row r="245" spans="6:6">
      <c r="F245" s="4"/>
    </row>
    <row r="246" spans="6:6">
      <c r="F246" s="4"/>
    </row>
    <row r="247" spans="6:6">
      <c r="F247" s="4"/>
    </row>
    <row r="248" spans="6:6">
      <c r="F248" s="4"/>
    </row>
    <row r="249" spans="6:6">
      <c r="F249" s="4"/>
    </row>
    <row r="250" spans="6:6">
      <c r="F250" s="4"/>
    </row>
    <row r="251" spans="6:6">
      <c r="F251" s="4"/>
    </row>
    <row r="252" spans="6:6">
      <c r="F252" s="4"/>
    </row>
    <row r="253" spans="6:6">
      <c r="F253" s="4"/>
    </row>
    <row r="254" spans="6:6">
      <c r="F254" s="4"/>
    </row>
    <row r="255" spans="6:6">
      <c r="F255" s="4"/>
    </row>
    <row r="256" spans="6:6">
      <c r="F256" s="4"/>
    </row>
    <row r="257" spans="6:6">
      <c r="F257" s="4"/>
    </row>
    <row r="258" spans="6:6">
      <c r="F258" s="4"/>
    </row>
    <row r="259" spans="6:6">
      <c r="F259" s="4"/>
    </row>
    <row r="260" spans="6:6">
      <c r="F260" s="4"/>
    </row>
    <row r="261" spans="6:6">
      <c r="F261" s="4"/>
    </row>
    <row r="262" spans="6:6">
      <c r="F262" s="4"/>
    </row>
    <row r="263" spans="6:6">
      <c r="F263" s="4"/>
    </row>
    <row r="264" spans="6:6">
      <c r="F264" s="4"/>
    </row>
    <row r="265" spans="6:6">
      <c r="F265" s="4"/>
    </row>
    <row r="266" spans="6:6">
      <c r="F266" s="4"/>
    </row>
    <row r="267" spans="6:6">
      <c r="F267" s="4"/>
    </row>
    <row r="268" spans="6:6">
      <c r="F268" s="4"/>
    </row>
    <row r="269" spans="6:6">
      <c r="F269" s="4"/>
    </row>
    <row r="270" spans="6:6">
      <c r="F270" s="4"/>
    </row>
    <row r="271" spans="6:6">
      <c r="F271" s="4"/>
    </row>
    <row r="272" spans="6:6">
      <c r="F272" s="4"/>
    </row>
    <row r="273" spans="6:6">
      <c r="F273" s="4"/>
    </row>
    <row r="274" spans="6:6">
      <c r="F274" s="4"/>
    </row>
    <row r="275" spans="6:6">
      <c r="F275" s="4"/>
    </row>
    <row r="276" spans="6:6">
      <c r="F276" s="4"/>
    </row>
    <row r="277" spans="6:6">
      <c r="F277" s="4"/>
    </row>
    <row r="278" spans="6:6">
      <c r="F278" s="4"/>
    </row>
    <row r="279" spans="6:6">
      <c r="F279" s="4"/>
    </row>
    <row r="280" spans="6:6">
      <c r="F280" s="4"/>
    </row>
    <row r="281" spans="6:6">
      <c r="F281" s="4"/>
    </row>
    <row r="282" spans="6:6">
      <c r="F282" s="4"/>
    </row>
    <row r="283" spans="6:6">
      <c r="F283" s="4"/>
    </row>
    <row r="284" spans="6:6">
      <c r="F284" s="4"/>
    </row>
    <row r="285" spans="6:6">
      <c r="F285" s="4"/>
    </row>
    <row r="286" spans="6:6">
      <c r="F286" s="4"/>
    </row>
    <row r="287" spans="6:6">
      <c r="F287" s="4"/>
    </row>
    <row r="288" spans="6:6">
      <c r="F288" s="4"/>
    </row>
    <row r="289" spans="6:6">
      <c r="F289" s="4"/>
    </row>
    <row r="290" spans="6:6">
      <c r="F290" s="4"/>
    </row>
    <row r="291" spans="6:6">
      <c r="F291" s="4"/>
    </row>
    <row r="292" spans="6:6">
      <c r="F292" s="4"/>
    </row>
    <row r="293" spans="6:6">
      <c r="F293" s="4"/>
    </row>
    <row r="294" spans="6:6">
      <c r="F294" s="4"/>
    </row>
    <row r="295" spans="6:6">
      <c r="F295" s="4"/>
    </row>
    <row r="296" spans="6:6">
      <c r="F296" s="4"/>
    </row>
    <row r="297" spans="6:6">
      <c r="F297" s="4"/>
    </row>
    <row r="298" spans="6:6">
      <c r="F298" s="4"/>
    </row>
    <row r="299" spans="6:6">
      <c r="F299" s="4"/>
    </row>
  </sheetData>
  <sheetProtection algorithmName="SHA-512" hashValue="iDDnBp9lGfKzrBQiKsW3HB9z3v2fZXm+o/Vkq6AksMFCYj29ut9iz0iamCXO8l/kY+xVBT288gV/tajunLGhzQ==" saltValue="DtpVHLGxweZJm3Taytcrog==" spinCount="100000" sheet="1" selectLockedCells="1"/>
  <mergeCells count="2">
    <mergeCell ref="H4:I4"/>
    <mergeCell ref="K4:L4"/>
  </mergeCells>
  <conditionalFormatting sqref="A21:D21">
    <cfRule type="expression" dxfId="504" priority="46">
      <formula>$D$21&gt;$D$2</formula>
    </cfRule>
  </conditionalFormatting>
  <conditionalFormatting sqref="A22:D22">
    <cfRule type="expression" dxfId="503" priority="45">
      <formula>$D$22&gt;$D$2</formula>
    </cfRule>
  </conditionalFormatting>
  <conditionalFormatting sqref="A23:D23">
    <cfRule type="expression" dxfId="502" priority="44">
      <formula>$D$23&gt;$D$2</formula>
    </cfRule>
  </conditionalFormatting>
  <conditionalFormatting sqref="A24:D24">
    <cfRule type="expression" dxfId="501" priority="43">
      <formula>$D$24&gt;$D$2</formula>
    </cfRule>
  </conditionalFormatting>
  <conditionalFormatting sqref="A26:D26">
    <cfRule type="expression" dxfId="500" priority="42">
      <formula>$D$26&gt;$D$2</formula>
    </cfRule>
  </conditionalFormatting>
  <conditionalFormatting sqref="A27:D27">
    <cfRule type="expression" dxfId="499" priority="41">
      <formula>$D$27&gt;$D$2</formula>
    </cfRule>
  </conditionalFormatting>
  <conditionalFormatting sqref="A28:D28">
    <cfRule type="expression" dxfId="498" priority="40">
      <formula>$D$28&gt;$D$2</formula>
    </cfRule>
  </conditionalFormatting>
  <conditionalFormatting sqref="A29:D29">
    <cfRule type="expression" dxfId="497" priority="39">
      <formula>$D$29&gt;$D$2</formula>
    </cfRule>
  </conditionalFormatting>
  <conditionalFormatting sqref="A30:D30">
    <cfRule type="expression" dxfId="496" priority="38">
      <formula>$D$30&gt;$D$2</formula>
    </cfRule>
  </conditionalFormatting>
  <conditionalFormatting sqref="A31:D31">
    <cfRule type="expression" dxfId="495" priority="37">
      <formula>$D$31&gt;$D$2</formula>
    </cfRule>
  </conditionalFormatting>
  <conditionalFormatting sqref="A32:D32">
    <cfRule type="expression" dxfId="494" priority="36">
      <formula>$D$32&gt;$D$2</formula>
    </cfRule>
  </conditionalFormatting>
  <conditionalFormatting sqref="A33:D33">
    <cfRule type="expression" dxfId="493" priority="35">
      <formula>$D$33&gt;$D$2</formula>
    </cfRule>
  </conditionalFormatting>
  <conditionalFormatting sqref="A36:D36">
    <cfRule type="expression" dxfId="492" priority="34">
      <formula>$D$36&gt;$D$2</formula>
    </cfRule>
  </conditionalFormatting>
  <conditionalFormatting sqref="A37:D37">
    <cfRule type="expression" dxfId="491" priority="33">
      <formula>$D$37&gt;$D$2</formula>
    </cfRule>
  </conditionalFormatting>
  <conditionalFormatting sqref="A38:D38">
    <cfRule type="expression" dxfId="490" priority="32">
      <formula>$D$38&gt;$D$2</formula>
    </cfRule>
  </conditionalFormatting>
  <conditionalFormatting sqref="A40:D40">
    <cfRule type="expression" dxfId="489" priority="31">
      <formula>$D$40&gt;$D$2</formula>
    </cfRule>
  </conditionalFormatting>
  <conditionalFormatting sqref="B10">
    <cfRule type="cellIs" dxfId="487" priority="18" operator="equal">
      <formula>$S$21</formula>
    </cfRule>
  </conditionalFormatting>
  <conditionalFormatting sqref="B11 B14:B15">
    <cfRule type="cellIs" dxfId="486" priority="25" operator="equal">
      <formula>$S$21</formula>
    </cfRule>
  </conditionalFormatting>
  <conditionalFormatting sqref="B13">
    <cfRule type="cellIs" dxfId="485" priority="727" operator="equal">
      <formula>$S$1</formula>
    </cfRule>
    <cfRule type="expression" dxfId="484" priority="728">
      <formula>($V$21-1)&lt;$V$22</formula>
    </cfRule>
  </conditionalFormatting>
  <conditionalFormatting sqref="B21">
    <cfRule type="cellIs" dxfId="483" priority="19" operator="equal">
      <formula>$S$25</formula>
    </cfRule>
  </conditionalFormatting>
  <conditionalFormatting sqref="B22 B24">
    <cfRule type="cellIs" dxfId="482" priority="13" operator="equal">
      <formula>$S$29</formula>
    </cfRule>
  </conditionalFormatting>
  <conditionalFormatting sqref="B23 B27">
    <cfRule type="cellIs" dxfId="481" priority="16" operator="equal">
      <formula>$S$25</formula>
    </cfRule>
  </conditionalFormatting>
  <conditionalFormatting sqref="B25">
    <cfRule type="cellIs" dxfId="480" priority="744" operator="equal">
      <formula>$S$42</formula>
    </cfRule>
  </conditionalFormatting>
  <conditionalFormatting sqref="B26 B28">
    <cfRule type="cellIs" dxfId="479" priority="737" operator="equal">
      <formula>$S$29</formula>
    </cfRule>
  </conditionalFormatting>
  <conditionalFormatting sqref="B29:B33">
    <cfRule type="cellIs" dxfId="478" priority="740" operator="equal">
      <formula>$S$33</formula>
    </cfRule>
  </conditionalFormatting>
  <conditionalFormatting sqref="B34:B35">
    <cfRule type="expression" dxfId="477" priority="1">
      <formula>$B$34=""</formula>
    </cfRule>
  </conditionalFormatting>
  <conditionalFormatting sqref="B36:B38 B40">
    <cfRule type="cellIs" dxfId="476" priority="741" operator="equal">
      <formula>$S$36</formula>
    </cfRule>
  </conditionalFormatting>
  <conditionalFormatting sqref="B39">
    <cfRule type="cellIs" dxfId="475" priority="26" operator="equal">
      <formula>0</formula>
    </cfRule>
  </conditionalFormatting>
  <conditionalFormatting sqref="B41">
    <cfRule type="cellIs" dxfId="474" priority="27" operator="equal">
      <formula>0</formula>
    </cfRule>
    <cfRule type="expression" dxfId="473" priority="4">
      <formula>$Y$23=1</formula>
    </cfRule>
  </conditionalFormatting>
  <conditionalFormatting sqref="B44">
    <cfRule type="cellIs" dxfId="472" priority="743" operator="equal">
      <formula>$S$97</formula>
    </cfRule>
  </conditionalFormatting>
  <conditionalFormatting sqref="B48:B53">
    <cfRule type="cellIs" dxfId="471" priority="9" operator="equal">
      <formula>$S$104</formula>
    </cfRule>
  </conditionalFormatting>
  <conditionalFormatting sqref="B49:B52">
    <cfRule type="expression" dxfId="470" priority="6">
      <formula>AND($B49="",$C49&gt;0)</formula>
    </cfRule>
  </conditionalFormatting>
  <conditionalFormatting sqref="B55">
    <cfRule type="cellIs" dxfId="469" priority="3" operator="equal">
      <formula>$S$104</formula>
    </cfRule>
  </conditionalFormatting>
  <conditionalFormatting sqref="B9:Q9">
    <cfRule type="expression" dxfId="467" priority="54">
      <formula>$B$9=$S$1</formula>
    </cfRule>
  </conditionalFormatting>
  <conditionalFormatting sqref="C6:C7">
    <cfRule type="expression" dxfId="466" priority="30">
      <formula>$C$6="Yes"</formula>
    </cfRule>
  </conditionalFormatting>
  <conditionalFormatting sqref="C17">
    <cfRule type="expression" dxfId="465" priority="748">
      <formula>SUM($C$21:$C$41)&gt;(VLOOKUP(B9,S1:V16,4))</formula>
    </cfRule>
  </conditionalFormatting>
  <conditionalFormatting sqref="C42">
    <cfRule type="cellIs" dxfId="464" priority="28" operator="equal">
      <formula>0</formula>
    </cfRule>
    <cfRule type="expression" dxfId="463" priority="47">
      <formula>$C$42&gt;$C$17</formula>
    </cfRule>
  </conditionalFormatting>
  <conditionalFormatting sqref="C49:C52">
    <cfRule type="expression" dxfId="462" priority="8">
      <formula>AND($B49&lt;&gt;"",$C49=0)</formula>
    </cfRule>
  </conditionalFormatting>
  <conditionalFormatting sqref="D9 D13">
    <cfRule type="cellIs" dxfId="461" priority="29" operator="greaterThan">
      <formula>$D$2</formula>
    </cfRule>
  </conditionalFormatting>
  <conditionalFormatting sqref="E48:E53">
    <cfRule type="cellIs" dxfId="460" priority="7" operator="greaterThan">
      <formula>$D$2</formula>
    </cfRule>
  </conditionalFormatting>
  <dataValidations count="29">
    <dataValidation type="list" allowBlank="1" showInputMessage="1" showErrorMessage="1" sqref="B10:B11 C6:C7 B14:B15" xr:uid="{F6CA2F1C-3EA3-47D4-86D9-5EC64271D356}">
      <formula1>$S$21:$S$22</formula1>
    </dataValidation>
    <dataValidation type="list" allowBlank="1" showInputMessage="1" showErrorMessage="1" sqref="B21" xr:uid="{9CCE63E6-CA24-4106-8FB2-C443F2CD8AE5}">
      <formula1>$S$25:$S$28</formula1>
    </dataValidation>
    <dataValidation type="list" allowBlank="1" showInputMessage="1" showErrorMessage="1" sqref="B22" xr:uid="{E2FDE1FD-1930-4774-97BF-370E6384B365}">
      <formula1>$S$29:$S$32</formula1>
    </dataValidation>
    <dataValidation type="list" allowBlank="1" showInputMessage="1" showErrorMessage="1" sqref="B23" xr:uid="{42087024-1047-47C0-8648-003A59DBA378}">
      <formula1>$S$33:$S$35</formula1>
    </dataValidation>
    <dataValidation type="list" allowBlank="1" showInputMessage="1" showErrorMessage="1" sqref="B24" xr:uid="{0A23DB7B-F4BE-4FFB-84D6-8127CB92C830}">
      <formula1>$S$36:$S$41</formula1>
    </dataValidation>
    <dataValidation type="list" allowBlank="1" showInputMessage="1" showErrorMessage="1" sqref="B26" xr:uid="{C1050F98-A84B-45DF-9121-0FE47FA9B4AB}">
      <formula1>$S$45:$S$48</formula1>
    </dataValidation>
    <dataValidation type="list" allowBlank="1" showInputMessage="1" showErrorMessage="1" sqref="B27" xr:uid="{FE4D374E-FE0B-406F-9387-9646D1913EE5}">
      <formula1>$S$49:$S$50</formula1>
    </dataValidation>
    <dataValidation type="list" allowBlank="1" showInputMessage="1" showErrorMessage="1" sqref="B28" xr:uid="{3546A452-DADE-422D-A839-A8E7D217DC57}">
      <formula1>$S$51:$S$54</formula1>
    </dataValidation>
    <dataValidation type="list" allowBlank="1" showInputMessage="1" showErrorMessage="1" sqref="B29" xr:uid="{874376BC-2063-4734-BDEA-472E2A7802C3}">
      <formula1>$S$55:$S$58</formula1>
    </dataValidation>
    <dataValidation type="list" allowBlank="1" showInputMessage="1" showErrorMessage="1" sqref="B30" xr:uid="{B4C947A6-AFCE-4BCE-AFC5-6AE21AF1DA23}">
      <formula1>$S$59:$S$62</formula1>
    </dataValidation>
    <dataValidation type="list" allowBlank="1" showInputMessage="1" showErrorMessage="1" sqref="B32" xr:uid="{ED944866-A1CA-40D5-A628-DE71C683B0A4}">
      <formula1>$S$65:$S$74</formula1>
    </dataValidation>
    <dataValidation type="list" allowBlank="1" showInputMessage="1" showErrorMessage="1" sqref="B33" xr:uid="{7D319B1E-3767-443B-9BAC-8D298350CC06}">
      <formula1>$S$75:$S$78</formula1>
    </dataValidation>
    <dataValidation type="list" allowBlank="1" showInputMessage="1" showErrorMessage="1" sqref="B36" xr:uid="{CE20C064-163A-4101-85A8-68348B798C28}">
      <formula1>$S$79:$S$81</formula1>
    </dataValidation>
    <dataValidation type="list" allowBlank="1" showInputMessage="1" showErrorMessage="1" sqref="B37" xr:uid="{E7519125-7B76-4BB0-8A13-74752461DF60}">
      <formula1>$S$82:$S$83</formula1>
    </dataValidation>
    <dataValidation type="list" allowBlank="1" showInputMessage="1" showErrorMessage="1" sqref="B38" xr:uid="{4400F5F1-B766-4E1A-AD14-35A42E67B5D9}">
      <formula1>$S$84:$S$87</formula1>
    </dataValidation>
    <dataValidation type="list" allowBlank="1" showInputMessage="1" showErrorMessage="1" sqref="B40" xr:uid="{E76EAD45-185A-42D1-840F-3E6CBCDE732D}">
      <formula1>$S$90:$S$93</formula1>
    </dataValidation>
    <dataValidation type="list" allowBlank="1" showInputMessage="1" showErrorMessage="1" sqref="B44" xr:uid="{06252543-6718-4947-B3E6-CB4B143E6FC0}">
      <formula1>$S$96:$S$97</formula1>
    </dataValidation>
    <dataValidation type="list" allowBlank="1" showInputMessage="1" showErrorMessage="1" sqref="B25" xr:uid="{497F10F8-A4CF-4471-8C35-4DF75B3A4C3E}">
      <formula1>$S$42:$S$44</formula1>
    </dataValidation>
    <dataValidation type="list" allowBlank="1" showInputMessage="1" showErrorMessage="1" prompt="Backup must be smaller than the main computer" sqref="B13" xr:uid="{A531E571-C2B2-4FDF-B1B2-32654D1D2D02}">
      <formula1>$S$1:$S$17</formula1>
    </dataValidation>
    <dataValidation type="list" allowBlank="1" showInputMessage="1" showErrorMessage="1" sqref="B9" xr:uid="{9639ABCD-CADF-4DEB-B624-D658E8C551E9}">
      <formula1>$S$1:$S$17</formula1>
    </dataValidation>
    <dataValidation type="whole" operator="greaterThanOrEqual" allowBlank="1" showInputMessage="1" showErrorMessage="1" sqref="C49:C52" xr:uid="{4FD269E9-FF1D-4CC0-9B45-1921C462C59F}">
      <formula1>0</formula1>
    </dataValidation>
    <dataValidation type="list" allowBlank="1" showInputMessage="1" showErrorMessage="1" sqref="B50" xr:uid="{AAE9A053-3A2F-411C-A80B-1276AAF95B4C}">
      <formula1>$S$109:$S$112</formula1>
    </dataValidation>
    <dataValidation type="list" allowBlank="1" showInputMessage="1" showErrorMessage="1" sqref="B51" xr:uid="{0B1927F7-25F0-444B-8033-3C3D8ECDE49A}">
      <formula1>$S$113:$S$116</formula1>
    </dataValidation>
    <dataValidation type="list" allowBlank="1" showInputMessage="1" showErrorMessage="1" sqref="B52" xr:uid="{7DCADDBE-743D-4624-97A5-A560D54930C0}">
      <formula1>$S$117:$S$120</formula1>
    </dataValidation>
    <dataValidation type="list" allowBlank="1" showInputMessage="1" showErrorMessage="1" sqref="B53" xr:uid="{B3C21689-8596-4AF7-B79B-3CEFF032B1A2}">
      <formula1>$S$121:$S$124</formula1>
    </dataValidation>
    <dataValidation type="list" allowBlank="1" showInputMessage="1" showErrorMessage="1" sqref="B49" xr:uid="{055961A6-5253-4AB8-935D-B03248362CC5}">
      <formula1>$S$106:$S$108</formula1>
    </dataValidation>
    <dataValidation type="list" allowBlank="1" showInputMessage="1" showErrorMessage="1" sqref="B48" xr:uid="{9E773FD6-4280-4318-89F1-7525AC50C6A7}">
      <formula1>$S$104:$S$105</formula1>
    </dataValidation>
    <dataValidation type="whole" allowBlank="1" showInputMessage="1" showErrorMessage="1" sqref="C42" xr:uid="{CB19F497-BC0C-4EA6-9BA5-3D41DEB66703}">
      <formula1>0</formula1>
      <formula2>V21</formula2>
    </dataValidation>
    <dataValidation type="list" allowBlank="1" showInputMessage="1" showErrorMessage="1" sqref="B55" xr:uid="{259EAAA7-3270-4EDC-9CF1-D26068E417DD}">
      <formula1>$S$125:$S$126</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5" stopIfTrue="1" id="{8086C472-9A46-4922-9A9C-D0D01E4C93C9}">
            <xm:f>AND($C$7="No",'Ship Info'!$F$7)</xm:f>
            <x14:dxf>
              <fill>
                <patternFill>
                  <bgColor theme="0" tint="-0.499984740745262"/>
                </patternFill>
              </fill>
            </x14:dxf>
          </x14:cfRule>
          <xm:sqref>B9:B53 C42 C49:C52</xm:sqref>
        </x14:conditionalFormatting>
        <x14:conditionalFormatting xmlns:xm="http://schemas.microsoft.com/office/excel/2006/main">
          <x14:cfRule type="expression" priority="2" stopIfTrue="1" id="{95F0C0E0-0A7D-4DF6-839E-BE1332FA3D36}">
            <xm:f>AND($C$7="No",'Ship Info'!$F$7)</xm:f>
            <x14:dxf>
              <fill>
                <patternFill>
                  <bgColor theme="0" tint="-0.499984740745262"/>
                </patternFill>
              </fill>
            </x14:dxf>
          </x14:cfRule>
          <xm:sqref>B55</xm:sqref>
        </x14:conditionalFormatting>
      </x14:conditionalFormattings>
    </ext>
    <ext xmlns:x14="http://schemas.microsoft.com/office/spreadsheetml/2009/9/main" uri="{CCE6A557-97BC-4b89-ADB6-D9C93CAAB3DF}">
      <x14:dataValidations xmlns:xm="http://schemas.microsoft.com/office/excel/2006/main" count="1">
        <x14:dataValidation type="whole" allowBlank="1" showInputMessage="1" showErrorMessage="1" error="Number of Active Gunners Exceeded" xr:uid="{92E82789-7744-4A93-A290-BAA9DD43AF45}">
          <x14:formula1>
            <xm:f>0</xm:f>
          </x14:formula1>
          <x14:formula2>
            <xm:f>'10-Crew'!X7</xm:f>
          </x14:formula2>
          <xm:sqref>B41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6824-A7FF-4597-B325-B57EF0AFB45E}">
  <dimension ref="A1:Z52"/>
  <sheetViews>
    <sheetView workbookViewId="0">
      <selection activeCell="E13" sqref="E13"/>
    </sheetView>
  </sheetViews>
  <sheetFormatPr baseColWidth="10" defaultColWidth="8.83203125" defaultRowHeight="15"/>
  <cols>
    <col min="1" max="1" width="25.1640625" customWidth="1"/>
    <col min="2" max="2" width="46.33203125" customWidth="1"/>
    <col min="3" max="3" width="19" customWidth="1"/>
    <col min="4" max="4" width="5.6640625" customWidth="1"/>
    <col min="5" max="5" width="15.6640625" customWidth="1"/>
    <col min="6" max="6" width="18" customWidth="1"/>
    <col min="8" max="8" width="11.33203125" customWidth="1"/>
    <col min="9" max="9" width="10.33203125" customWidth="1"/>
    <col min="11" max="11" width="10.6640625" customWidth="1"/>
    <col min="12" max="12" width="11.33203125" customWidth="1"/>
    <col min="13" max="14" width="2.33203125" customWidth="1"/>
    <col min="15" max="15" width="2.6640625" customWidth="1"/>
    <col min="16" max="16" width="1.83203125" customWidth="1"/>
    <col min="17" max="17" width="1.6640625" customWidth="1"/>
    <col min="18" max="18" width="2.83203125" customWidth="1"/>
    <col min="19" max="19" width="23.6640625" hidden="1" customWidth="1"/>
    <col min="20" max="20" width="9.1640625" hidden="1" customWidth="1"/>
    <col min="21" max="21" width="9.33203125" hidden="1" customWidth="1"/>
    <col min="22" max="26" width="9.1640625" hidden="1" customWidth="1"/>
    <col min="27" max="33" width="9.1640625" customWidth="1"/>
  </cols>
  <sheetData>
    <row r="1" spans="1:26">
      <c r="A1" s="3" t="str">
        <f>'Ship Info'!A1</f>
        <v>Ship's Class Name</v>
      </c>
      <c r="B1" t="str">
        <f>'Ship Info'!B1</f>
        <v>Zhodani Long Range Scout</v>
      </c>
      <c r="F1" s="1" t="s">
        <v>1</v>
      </c>
      <c r="S1" s="3" t="s">
        <v>267</v>
      </c>
      <c r="T1" s="3" t="s">
        <v>26</v>
      </c>
      <c r="U1" s="3" t="s">
        <v>1</v>
      </c>
      <c r="V1" s="3" t="s">
        <v>262</v>
      </c>
      <c r="W1" s="3" t="s">
        <v>117</v>
      </c>
      <c r="X1" s="3"/>
      <c r="Y1" s="3" t="s">
        <v>171</v>
      </c>
    </row>
    <row r="2" spans="1:26">
      <c r="A2" s="3" t="s">
        <v>432</v>
      </c>
      <c r="B2" t="str">
        <f>'Ship Info'!B2</f>
        <v>Scout</v>
      </c>
      <c r="C2" s="3" t="s">
        <v>0</v>
      </c>
      <c r="D2" s="2">
        <f>'Ship Info'!F2</f>
        <v>14</v>
      </c>
      <c r="F2" s="10">
        <f>'Ship Info'!G2</f>
        <v>621511800.00000012</v>
      </c>
      <c r="S2" t="s">
        <v>576</v>
      </c>
      <c r="T2">
        <v>0</v>
      </c>
      <c r="U2">
        <v>0</v>
      </c>
      <c r="V2">
        <v>0</v>
      </c>
      <c r="W2">
        <v>0</v>
      </c>
      <c r="X2">
        <v>0</v>
      </c>
      <c r="Y2" t="str">
        <f>""</f>
        <v/>
      </c>
    </row>
    <row r="3" spans="1:26">
      <c r="F3" s="10"/>
      <c r="H3" s="506">
        <f>S14</f>
        <v>32</v>
      </c>
      <c r="K3" s="507">
        <f>S17</f>
        <v>21</v>
      </c>
      <c r="S3" t="s">
        <v>292</v>
      </c>
      <c r="T3">
        <f>IF(D2=7,7,8)</f>
        <v>8</v>
      </c>
      <c r="U3">
        <f>IF(T3=8,0,U4)</f>
        <v>0</v>
      </c>
      <c r="V3">
        <f>IF($T$3=8,0,V4)</f>
        <v>0</v>
      </c>
      <c r="W3">
        <f>IF($T$3=8,0,W4)</f>
        <v>0</v>
      </c>
      <c r="X3" t="str">
        <f>"-4"</f>
        <v>-4</v>
      </c>
      <c r="Y3" t="s">
        <v>293</v>
      </c>
    </row>
    <row r="4" spans="1:26">
      <c r="F4" s="508" t="s">
        <v>45</v>
      </c>
      <c r="H4" s="787" t="s">
        <v>46</v>
      </c>
      <c r="I4" s="787"/>
      <c r="K4" s="787" t="s">
        <v>47</v>
      </c>
      <c r="L4" s="787"/>
      <c r="S4" t="s">
        <v>295</v>
      </c>
      <c r="T4">
        <v>9</v>
      </c>
      <c r="U4">
        <v>3000000</v>
      </c>
      <c r="V4">
        <v>1</v>
      </c>
      <c r="W4">
        <v>1</v>
      </c>
      <c r="X4" t="str">
        <f>"-2"</f>
        <v>-2</v>
      </c>
      <c r="Y4" t="s">
        <v>294</v>
      </c>
    </row>
    <row r="5" spans="1:26">
      <c r="F5" s="506">
        <f>SUM(F8:F35)</f>
        <v>49500000</v>
      </c>
      <c r="H5" s="1" t="s">
        <v>403</v>
      </c>
      <c r="I5" s="1" t="s">
        <v>27</v>
      </c>
      <c r="K5" s="1" t="s">
        <v>403</v>
      </c>
      <c r="L5" s="1" t="s">
        <v>27</v>
      </c>
      <c r="S5" t="s">
        <v>299</v>
      </c>
      <c r="T5">
        <v>10</v>
      </c>
      <c r="U5">
        <v>4100000</v>
      </c>
      <c r="V5">
        <v>2</v>
      </c>
      <c r="W5">
        <v>2</v>
      </c>
      <c r="X5" t="str">
        <f>"0"</f>
        <v>0</v>
      </c>
      <c r="Y5" t="s">
        <v>296</v>
      </c>
    </row>
    <row r="6" spans="1:26">
      <c r="B6" s="497" t="s">
        <v>2181</v>
      </c>
      <c r="F6" s="4"/>
      <c r="H6" s="10">
        <f>'Ship Info'!I3</f>
        <v>2.6000000000000227</v>
      </c>
      <c r="I6" s="270">
        <f>'1-Hull'!B4</f>
        <v>300</v>
      </c>
      <c r="J6" s="2"/>
      <c r="K6" s="270">
        <f>'Ship Info'!L3</f>
        <v>7</v>
      </c>
      <c r="L6" s="270">
        <f>'3-Pwr Plant'!L6</f>
        <v>250</v>
      </c>
      <c r="S6" t="s">
        <v>300</v>
      </c>
      <c r="T6">
        <v>12</v>
      </c>
      <c r="U6">
        <v>4300000</v>
      </c>
      <c r="V6">
        <v>4</v>
      </c>
      <c r="W6">
        <v>3</v>
      </c>
      <c r="X6" t="str">
        <f>"+1"</f>
        <v>+1</v>
      </c>
      <c r="Y6" t="s">
        <v>297</v>
      </c>
    </row>
    <row r="7" spans="1:26" ht="16" thickBot="1">
      <c r="C7" s="2" t="s">
        <v>308</v>
      </c>
      <c r="F7" s="4"/>
      <c r="S7" t="s">
        <v>301</v>
      </c>
      <c r="T7">
        <v>15</v>
      </c>
      <c r="U7">
        <v>5300000</v>
      </c>
      <c r="V7">
        <v>6</v>
      </c>
      <c r="W7">
        <v>5</v>
      </c>
      <c r="X7" t="str">
        <f>"+2"</f>
        <v>+2</v>
      </c>
      <c r="Y7" t="s">
        <v>298</v>
      </c>
    </row>
    <row r="8" spans="1:26" ht="16" thickBot="1">
      <c r="A8" s="3" t="s">
        <v>263</v>
      </c>
      <c r="B8" s="197" t="s">
        <v>300</v>
      </c>
      <c r="C8" s="198">
        <v>1</v>
      </c>
      <c r="D8" s="18">
        <f>VLOOKUP(B8,S3:Y8,2)</f>
        <v>12</v>
      </c>
      <c r="F8" s="4">
        <f>VLOOKUP(B8,S3:Y8,3)*C8</f>
        <v>4300000</v>
      </c>
      <c r="H8" s="4">
        <f>VLOOKUP(B8,S3:Y8,5)*C8</f>
        <v>3</v>
      </c>
      <c r="K8">
        <f>VLOOKUP(B8,S3:Y8,4)*C8</f>
        <v>4</v>
      </c>
      <c r="S8" t="s">
        <v>1449</v>
      </c>
      <c r="T8">
        <v>16</v>
      </c>
      <c r="U8">
        <v>8400000</v>
      </c>
      <c r="V8">
        <v>8</v>
      </c>
      <c r="W8">
        <v>8</v>
      </c>
      <c r="X8" t="str">
        <f>"+3"</f>
        <v>+3</v>
      </c>
      <c r="Y8" t="s">
        <v>1450</v>
      </c>
    </row>
    <row r="9" spans="1:26">
      <c r="A9" s="17" t="s">
        <v>264</v>
      </c>
      <c r="C9" s="2"/>
      <c r="D9" s="18"/>
      <c r="F9" s="4"/>
      <c r="H9" s="4"/>
      <c r="X9">
        <v>0</v>
      </c>
    </row>
    <row r="10" spans="1:26" ht="16" thickBot="1">
      <c r="A10" t="str">
        <f>VLOOKUP(B8,S3:Y8,7)</f>
        <v>Densitometer, Jammers, Lidar, Radar; DM +1 to all Sensor Checks</v>
      </c>
      <c r="C10" s="2" t="s">
        <v>308</v>
      </c>
      <c r="D10" s="18"/>
      <c r="F10" s="4"/>
      <c r="H10" s="4"/>
      <c r="S10" t="s">
        <v>113</v>
      </c>
      <c r="U10" t="s">
        <v>1701</v>
      </c>
    </row>
    <row r="11" spans="1:26" ht="16" thickBot="1">
      <c r="A11" s="3" t="s">
        <v>997</v>
      </c>
      <c r="B11" s="197" t="s">
        <v>299</v>
      </c>
      <c r="C11" s="200">
        <v>1</v>
      </c>
      <c r="D11" s="18">
        <f>VLOOKUP(B11,S2:Y7,2)</f>
        <v>10</v>
      </c>
      <c r="F11" s="4">
        <f>VLOOKUP(B11,S2:Y7,3)*C11</f>
        <v>4100000</v>
      </c>
      <c r="H11" s="4">
        <f>VLOOKUP(B11,S2:Y7,5)*C11</f>
        <v>2</v>
      </c>
      <c r="K11">
        <f>VLOOKUP(B11,S2:Y7,4)*C11</f>
        <v>2</v>
      </c>
      <c r="S11" t="s">
        <v>283</v>
      </c>
    </row>
    <row r="12" spans="1:26" ht="16" thickBot="1">
      <c r="A12" s="22"/>
      <c r="B12" s="102" t="s">
        <v>265</v>
      </c>
      <c r="C12" s="226">
        <v>1</v>
      </c>
      <c r="D12" s="227"/>
      <c r="E12" s="103" t="s">
        <v>1238</v>
      </c>
      <c r="F12" s="23">
        <f>500000*ROUNDDOWN(C12,0)+(200000*IF(E13=U13,0,0.1*C12))</f>
        <v>500000</v>
      </c>
      <c r="G12" s="22"/>
      <c r="H12" s="23">
        <f>1*ROUNDDOWN(C12,0)*IF(E13=U13,1,1.1)</f>
        <v>1</v>
      </c>
      <c r="I12" s="22"/>
      <c r="J12" s="22"/>
      <c r="K12" s="22"/>
      <c r="L12" s="22"/>
    </row>
    <row r="13" spans="1:26" ht="16" thickBot="1">
      <c r="A13" s="22"/>
      <c r="B13" s="102" t="s">
        <v>266</v>
      </c>
      <c r="C13" s="324">
        <f>MAX(MIN(1+('10-Crew'!F17*'10-Crew'!R17),C12+1+'5-Bridge'!C17),MIN(ROUNDUP(Tonnage/7500,0)+C12,'10-Crew'!F17/'10-Crew'!R17))</f>
        <v>2</v>
      </c>
      <c r="D13" s="227"/>
      <c r="E13" s="205" t="s">
        <v>99</v>
      </c>
      <c r="F13" s="23"/>
      <c r="G13" s="22"/>
      <c r="H13" s="23"/>
      <c r="I13" s="22"/>
      <c r="J13" s="22"/>
      <c r="K13" s="22"/>
      <c r="L13" s="22"/>
      <c r="S13" t="s">
        <v>399</v>
      </c>
      <c r="U13" t="s">
        <v>99</v>
      </c>
      <c r="V13">
        <v>1</v>
      </c>
    </row>
    <row r="14" spans="1:26">
      <c r="A14" s="3" t="s">
        <v>268</v>
      </c>
      <c r="B14" s="119"/>
      <c r="C14" s="75" t="s">
        <v>1704</v>
      </c>
      <c r="D14" s="384"/>
      <c r="E14" s="119"/>
      <c r="F14" s="385"/>
      <c r="H14" s="4"/>
      <c r="S14">
        <f>SUM(H8:H33)</f>
        <v>32</v>
      </c>
      <c r="U14" t="s">
        <v>100</v>
      </c>
      <c r="V14">
        <v>1.5</v>
      </c>
      <c r="X14" t="s">
        <v>794</v>
      </c>
      <c r="Y14">
        <f>SUM(W15,Z15)</f>
        <v>0</v>
      </c>
    </row>
    <row r="15" spans="1:26" ht="16" thickBot="1">
      <c r="B15" s="1" t="s">
        <v>476</v>
      </c>
      <c r="C15" s="5" t="s">
        <v>171</v>
      </c>
      <c r="D15" s="18"/>
      <c r="E15" s="1"/>
      <c r="F15" s="4"/>
      <c r="H15" s="4"/>
      <c r="V15" t="s">
        <v>914</v>
      </c>
      <c r="W15">
        <f>SUM(W16:W32)</f>
        <v>0</v>
      </c>
      <c r="Y15" s="9" t="s">
        <v>915</v>
      </c>
      <c r="Z15">
        <f>SUM(Z16:Z30)</f>
        <v>0</v>
      </c>
    </row>
    <row r="16" spans="1:26" ht="16" thickBot="1">
      <c r="A16" t="s">
        <v>269</v>
      </c>
      <c r="B16" s="337">
        <v>0</v>
      </c>
      <c r="C16" t="s">
        <v>285</v>
      </c>
      <c r="D16" s="18">
        <v>13</v>
      </c>
      <c r="E16" s="18"/>
      <c r="F16" s="20">
        <f>B16*4000000</f>
        <v>0</v>
      </c>
      <c r="G16" s="19"/>
      <c r="H16" s="419">
        <f>IF(B16&gt;0,2,0)*B16</f>
        <v>0</v>
      </c>
      <c r="I16" s="19"/>
      <c r="J16" s="19"/>
      <c r="K16" s="336">
        <f>IF(B16&gt;0,1,0)*B16</f>
        <v>0</v>
      </c>
      <c r="L16" s="19"/>
      <c r="S16" t="s">
        <v>400</v>
      </c>
      <c r="V16" t="s">
        <v>913</v>
      </c>
      <c r="W16">
        <f>IF(D8&gt;D2,1,0)</f>
        <v>0</v>
      </c>
      <c r="Y16" t="s">
        <v>916</v>
      </c>
      <c r="Z16">
        <f>IF(AND(B8&lt;S38,B20&gt;0),1,0)</f>
        <v>0</v>
      </c>
    </row>
    <row r="17" spans="1:26" ht="16" thickBot="1">
      <c r="A17" t="s">
        <v>270</v>
      </c>
      <c r="B17" s="337">
        <v>1</v>
      </c>
      <c r="C17" t="str">
        <f>+"Scan "&amp;H17*20&amp;" T/Hr"</f>
        <v>Scan 20 T/Hr</v>
      </c>
      <c r="D17" s="18">
        <v>13</v>
      </c>
      <c r="E17" s="18"/>
      <c r="F17" s="20">
        <f>H17*1000000</f>
        <v>1000000</v>
      </c>
      <c r="G17" s="19"/>
      <c r="H17" s="419">
        <f>B17</f>
        <v>1</v>
      </c>
      <c r="I17" s="19"/>
      <c r="J17" s="19"/>
      <c r="K17" s="336">
        <f>IF(F17&gt;0,1,0)*B17</f>
        <v>1</v>
      </c>
      <c r="L17" s="19"/>
      <c r="S17">
        <f>SUM(K8:K31)</f>
        <v>21</v>
      </c>
      <c r="V17">
        <v>16</v>
      </c>
      <c r="W17">
        <f>IF(AND(B16&gt;0,D16&gt;D2),1,0)</f>
        <v>0</v>
      </c>
      <c r="Y17" t="s">
        <v>917</v>
      </c>
      <c r="Z17">
        <f>IF(AND(OR('1-Hull'!B4&lt;5000,'7-Sensors'!B8&lt;'7-Sensors'!S38),'7-Sensors'!B18&gt;0),1,0)</f>
        <v>0</v>
      </c>
    </row>
    <row r="18" spans="1:26" ht="16" thickBot="1">
      <c r="A18" t="s">
        <v>271</v>
      </c>
      <c r="B18" s="337">
        <v>0</v>
      </c>
      <c r="C18" t="s">
        <v>284</v>
      </c>
      <c r="D18" s="18">
        <v>11</v>
      </c>
      <c r="E18" s="18"/>
      <c r="F18" s="20">
        <f>IF(B18&gt;0,2*F8,0)*B18</f>
        <v>0</v>
      </c>
      <c r="G18" s="19"/>
      <c r="H18" s="419">
        <f>IF(F18&gt;0,2*H8,0)*B18</f>
        <v>0</v>
      </c>
      <c r="I18" s="19"/>
      <c r="J18" s="19"/>
      <c r="K18" s="336">
        <f>IF(F18&gt;0,K8,0)*B18</f>
        <v>0</v>
      </c>
      <c r="L18" s="19"/>
      <c r="V18">
        <v>17</v>
      </c>
      <c r="W18">
        <f>IF(AND(B17&gt;0,D17&gt;D2),1,0)</f>
        <v>0</v>
      </c>
      <c r="Y18" t="s">
        <v>918</v>
      </c>
      <c r="Z18">
        <f>IF(AND(B8&lt;S38,B29&gt;0),1,0)</f>
        <v>0</v>
      </c>
    </row>
    <row r="19" spans="1:26" ht="16" thickBot="1">
      <c r="A19" t="s">
        <v>272</v>
      </c>
      <c r="B19" s="337">
        <v>1</v>
      </c>
      <c r="C19" t="s">
        <v>286</v>
      </c>
      <c r="D19" s="18">
        <v>13</v>
      </c>
      <c r="E19" s="18"/>
      <c r="F19" s="20">
        <f>IF(B19&gt;0,8000000,0)*B19</f>
        <v>8000000</v>
      </c>
      <c r="G19" s="19"/>
      <c r="H19" s="419">
        <f>IF(F19&gt;0,2,0)*B19</f>
        <v>2</v>
      </c>
      <c r="I19" s="19"/>
      <c r="J19" s="19"/>
      <c r="K19" s="336">
        <f>IF(F19&gt;0,2,0)*B19</f>
        <v>2</v>
      </c>
      <c r="L19" s="19"/>
      <c r="V19">
        <v>18</v>
      </c>
      <c r="W19">
        <f>IF(AND(B18&gt;0,D18&gt;D2),1,0)</f>
        <v>0</v>
      </c>
      <c r="Y19" t="s">
        <v>919</v>
      </c>
      <c r="Z19">
        <f>IF(AND(B8&lt;S38,B30&gt;0),1,0)</f>
        <v>0</v>
      </c>
    </row>
    <row r="20" spans="1:26" ht="16" thickBot="1">
      <c r="A20" t="s">
        <v>273</v>
      </c>
      <c r="B20" s="337">
        <v>1</v>
      </c>
      <c r="C20" t="s">
        <v>284</v>
      </c>
      <c r="D20" s="18">
        <v>11</v>
      </c>
      <c r="E20" s="18"/>
      <c r="F20" s="20">
        <f>IF(B20&gt;0,2*F8,0)*B20</f>
        <v>8600000</v>
      </c>
      <c r="G20" s="19"/>
      <c r="H20" s="419">
        <f>IF(F20&gt;0,2*H8,0)*B20</f>
        <v>6</v>
      </c>
      <c r="I20" s="19"/>
      <c r="J20" s="19"/>
      <c r="K20" s="336">
        <f>IF(F20&gt;0,2*K8,0)*B20</f>
        <v>8</v>
      </c>
      <c r="L20" s="19"/>
      <c r="S20" t="s">
        <v>431</v>
      </c>
      <c r="V20">
        <v>19</v>
      </c>
      <c r="W20">
        <f>IF(AND(B19&gt;0,D19&gt;D2),1,0)</f>
        <v>0</v>
      </c>
      <c r="Y20" t="s">
        <v>998</v>
      </c>
      <c r="Z20">
        <f>IF(B11&gt;B8,1,0)</f>
        <v>0</v>
      </c>
    </row>
    <row r="21" spans="1:26" ht="16" thickBot="1">
      <c r="A21" t="s">
        <v>274</v>
      </c>
      <c r="B21" s="337">
        <v>1</v>
      </c>
      <c r="C21" t="s">
        <v>287</v>
      </c>
      <c r="D21" s="18">
        <v>10</v>
      </c>
      <c r="E21" s="18"/>
      <c r="F21" s="20">
        <f>IF(H21&gt;0,1000000*H21,0)*B21</f>
        <v>3000000</v>
      </c>
      <c r="G21" s="19"/>
      <c r="H21" s="419">
        <f>IF(B21&gt;0,ROUNDUP(0.01*'1-Hull'!B4,0),0)*B21</f>
        <v>3</v>
      </c>
      <c r="I21" s="19"/>
      <c r="J21" s="19"/>
      <c r="K21" s="336">
        <v>0</v>
      </c>
      <c r="L21" s="19"/>
      <c r="S21">
        <f>0.1*SUM(H14:H31,H8:H11)</f>
        <v>3.1</v>
      </c>
      <c r="V21">
        <v>20</v>
      </c>
      <c r="W21">
        <f>IF(AND(B20&gt;0,D20&gt;D2),1,0)</f>
        <v>0</v>
      </c>
      <c r="Y21" t="s">
        <v>999</v>
      </c>
      <c r="Z21">
        <f>IF(AND(B8=S3,B11=S3),1,0)</f>
        <v>0</v>
      </c>
    </row>
    <row r="22" spans="1:26" ht="16" thickBot="1">
      <c r="A22" t="s">
        <v>275</v>
      </c>
      <c r="B22" s="337">
        <v>1</v>
      </c>
      <c r="C22" t="s">
        <v>288</v>
      </c>
      <c r="D22" s="18">
        <v>11</v>
      </c>
      <c r="E22" s="18"/>
      <c r="F22" s="20">
        <f>IF(B22&gt;0,4000000,0)*B22</f>
        <v>4000000</v>
      </c>
      <c r="G22" s="19"/>
      <c r="H22" s="419">
        <f>IF(F22&gt;0,1,0)*B22</f>
        <v>1</v>
      </c>
      <c r="I22" s="19"/>
      <c r="J22" s="19"/>
      <c r="K22" s="336">
        <f>IF(F22&gt;0,1,0)*B22</f>
        <v>1</v>
      </c>
      <c r="L22" s="19"/>
      <c r="S22">
        <f>200000*S21</f>
        <v>620000</v>
      </c>
      <c r="V22">
        <v>21</v>
      </c>
      <c r="W22">
        <f>IF(AND(B21&gt;0,D21&gt;D2),1,0)</f>
        <v>0</v>
      </c>
      <c r="Y22" t="s">
        <v>1224</v>
      </c>
      <c r="Z22">
        <f>IF(AND(B8=S3,C8&gt;1),1,0)</f>
        <v>0</v>
      </c>
    </row>
    <row r="23" spans="1:26" ht="16" thickBot="1">
      <c r="A23" t="s">
        <v>276</v>
      </c>
      <c r="B23" s="337">
        <v>1</v>
      </c>
      <c r="C23" t="s">
        <v>290</v>
      </c>
      <c r="D23" s="18">
        <v>12</v>
      </c>
      <c r="E23" s="18"/>
      <c r="F23" s="20">
        <f>IF(B23&gt;0,2000000,0)*B23</f>
        <v>2000000</v>
      </c>
      <c r="G23" s="19"/>
      <c r="H23" s="419">
        <f>IF(F23&gt;0,1,0)*B23</f>
        <v>1</v>
      </c>
      <c r="I23" s="19"/>
      <c r="J23" s="19"/>
      <c r="K23" s="336">
        <f>IF(F23&gt;0,1,0)*B23</f>
        <v>1</v>
      </c>
      <c r="L23" s="19"/>
      <c r="S23" t="s">
        <v>701</v>
      </c>
      <c r="V23">
        <v>22</v>
      </c>
      <c r="W23">
        <f>IF(AND(B22&gt;0,D22&gt;D2),1,0)</f>
        <v>0</v>
      </c>
      <c r="Y23" t="s">
        <v>1225</v>
      </c>
      <c r="Z23">
        <f>IF(AND(B11=S3,C11&gt;1),1,0)</f>
        <v>0</v>
      </c>
    </row>
    <row r="24" spans="1:26" ht="16" thickBot="1">
      <c r="A24" t="s">
        <v>277</v>
      </c>
      <c r="B24" s="337">
        <v>1</v>
      </c>
      <c r="C24" t="s">
        <v>291</v>
      </c>
      <c r="D24" s="18">
        <v>14</v>
      </c>
      <c r="E24" s="18"/>
      <c r="F24" s="20">
        <f>IF(B24&gt;0,4000000,0)*B24</f>
        <v>4000000</v>
      </c>
      <c r="G24" s="19"/>
      <c r="H24" s="419">
        <f>IF(F24&gt;0,1,0)*B24</f>
        <v>1</v>
      </c>
      <c r="I24" s="19"/>
      <c r="J24" s="19"/>
      <c r="K24" s="336">
        <f>IF(F24&gt;0,1,0)*B24</f>
        <v>1</v>
      </c>
      <c r="L24" s="19"/>
      <c r="S24" t="s">
        <v>724</v>
      </c>
      <c r="T24" t="str">
        <f>VLOOKUP(B8,S3:X8,6)</f>
        <v>+1</v>
      </c>
      <c r="V24">
        <v>23</v>
      </c>
      <c r="W24">
        <f>IF(AND(B23&gt;0,D23&gt;D2),1,0)</f>
        <v>0</v>
      </c>
      <c r="Y24" s="9" t="s">
        <v>2176</v>
      </c>
      <c r="Z24">
        <f>IF(C8=0,IF('Ship Info'!E6="Module",0,1),0)</f>
        <v>0</v>
      </c>
    </row>
    <row r="25" spans="1:26" ht="16" thickBot="1">
      <c r="A25" t="s">
        <v>278</v>
      </c>
      <c r="B25" s="337">
        <v>0</v>
      </c>
      <c r="C25" t="s">
        <v>289</v>
      </c>
      <c r="D25" s="18">
        <v>10</v>
      </c>
      <c r="E25" s="18"/>
      <c r="F25" s="20">
        <f>IF(B25&gt;0,20000000,0)*B25</f>
        <v>0</v>
      </c>
      <c r="G25" s="19"/>
      <c r="H25" s="419">
        <f>IF(F25&gt;0,10,0)*B25</f>
        <v>0</v>
      </c>
      <c r="I25" s="19"/>
      <c r="J25" s="19"/>
      <c r="K25" s="336">
        <v>0</v>
      </c>
      <c r="L25" s="19"/>
      <c r="S25" t="s">
        <v>710</v>
      </c>
      <c r="T25" t="str">
        <f>IF(B27&gt;0,"+6",IF(B16&gt;0,"+4","0"))</f>
        <v>0</v>
      </c>
      <c r="V25">
        <v>24</v>
      </c>
      <c r="W25">
        <f>IF(AND(B24&gt;0,D24&gt;D2),1,0)</f>
        <v>0</v>
      </c>
    </row>
    <row r="26" spans="1:26" ht="16" thickBot="1">
      <c r="A26" t="s">
        <v>302</v>
      </c>
      <c r="B26" s="235">
        <v>0</v>
      </c>
      <c r="C26" t="s">
        <v>289</v>
      </c>
      <c r="D26" s="2">
        <v>13</v>
      </c>
      <c r="E26" s="18"/>
      <c r="F26" s="20">
        <f>IF(B26&gt;0,10000000,0)*B26</f>
        <v>0</v>
      </c>
      <c r="G26" s="19"/>
      <c r="H26" s="419">
        <f>IF(F26&gt;0,20,0)*B26</f>
        <v>0</v>
      </c>
      <c r="I26" s="19"/>
      <c r="J26" s="19"/>
      <c r="K26" s="336">
        <v>0</v>
      </c>
      <c r="L26" s="19"/>
      <c r="S26" t="s">
        <v>711</v>
      </c>
      <c r="T26" t="str">
        <f>IF(B19&gt;0,"+4",IF(B22&gt;0,"+2","0"))</f>
        <v>+4</v>
      </c>
      <c r="V26">
        <v>25</v>
      </c>
      <c r="W26">
        <f>IF(AND(B25&gt;0,D25&gt;D2),1,0)</f>
        <v>0</v>
      </c>
    </row>
    <row r="27" spans="1:26" ht="17" thickBot="1">
      <c r="A27" s="12" t="s">
        <v>279</v>
      </c>
      <c r="B27" s="337">
        <v>0</v>
      </c>
      <c r="C27" s="19" t="s">
        <v>303</v>
      </c>
      <c r="D27" s="18">
        <v>15</v>
      </c>
      <c r="E27" s="18"/>
      <c r="F27" s="20">
        <f>IF(B27&gt;0,28000000,0)*B27</f>
        <v>0</v>
      </c>
      <c r="G27" s="19"/>
      <c r="H27" s="419">
        <f>IF(F27&gt;0,15,0)*B27</f>
        <v>0</v>
      </c>
      <c r="I27" s="19"/>
      <c r="J27" s="19"/>
      <c r="K27" s="336">
        <f>IF(F27&gt;0,2,0)*B27</f>
        <v>0</v>
      </c>
      <c r="L27" s="19"/>
      <c r="S27" t="s">
        <v>725</v>
      </c>
      <c r="T27" t="str">
        <f>IF(OR(B18&gt;0,B20&gt;0,B21&gt;0,B30&gt;0),"+Rng","N/A")</f>
        <v>+Rng</v>
      </c>
      <c r="V27">
        <v>26</v>
      </c>
      <c r="W27">
        <f>IF(AND(B26&gt;0,D26&gt;D2),1,0)</f>
        <v>0</v>
      </c>
    </row>
    <row r="28" spans="1:26" ht="33" thickBot="1">
      <c r="A28" s="12" t="s">
        <v>1447</v>
      </c>
      <c r="B28" s="337">
        <v>0</v>
      </c>
      <c r="C28" s="19" t="s">
        <v>1448</v>
      </c>
      <c r="D28" s="18">
        <v>16</v>
      </c>
      <c r="E28" s="18"/>
      <c r="F28" s="20">
        <f>IF(B28&gt;0,40000000,0)*B28</f>
        <v>0</v>
      </c>
      <c r="G28" s="19"/>
      <c r="H28" s="419">
        <f>IF(F28&gt;0,20,0)*B28</f>
        <v>0</v>
      </c>
      <c r="I28" s="19"/>
      <c r="J28" s="19"/>
      <c r="K28" s="336">
        <f>IF(F28&gt;0,5,0)*B28</f>
        <v>0</v>
      </c>
      <c r="L28" s="19"/>
      <c r="V28">
        <v>27</v>
      </c>
      <c r="W28">
        <f>IF(AND(B27&gt;0,D27&gt;D2),1,0)</f>
        <v>0</v>
      </c>
    </row>
    <row r="29" spans="1:26" ht="16" thickBot="1">
      <c r="A29" t="s">
        <v>280</v>
      </c>
      <c r="B29" s="337">
        <v>1</v>
      </c>
      <c r="C29" t="s">
        <v>304</v>
      </c>
      <c r="D29" s="18">
        <v>12</v>
      </c>
      <c r="E29" s="18"/>
      <c r="F29" s="20">
        <f>IF(B29&gt;0,5000000,0)*B29</f>
        <v>5000000</v>
      </c>
      <c r="G29" s="19"/>
      <c r="H29" s="419">
        <f>IF(F29&gt;0,1,0)*B29</f>
        <v>1</v>
      </c>
      <c r="I29" s="19"/>
      <c r="J29" s="19"/>
      <c r="K29" s="336">
        <v>0</v>
      </c>
      <c r="L29" s="19"/>
      <c r="V29">
        <v>28</v>
      </c>
      <c r="W29">
        <f>IF(AND(B28&gt;0,D28&gt;D2),1,0)</f>
        <v>0</v>
      </c>
    </row>
    <row r="30" spans="1:26" ht="33" thickBot="1">
      <c r="A30" s="12" t="s">
        <v>281</v>
      </c>
      <c r="B30" s="337">
        <v>0</v>
      </c>
      <c r="C30" s="12" t="s">
        <v>305</v>
      </c>
      <c r="D30" s="18">
        <v>11</v>
      </c>
      <c r="E30" s="18"/>
      <c r="F30" s="20">
        <f>IF(B30&gt;0,4*F8,0)*B30</f>
        <v>0</v>
      </c>
      <c r="G30" s="19"/>
      <c r="H30" s="419">
        <f>IF(F30&gt;0,2*H8,0)*B30</f>
        <v>0</v>
      </c>
      <c r="I30" s="19"/>
      <c r="J30" s="19"/>
      <c r="K30" s="336">
        <f>IF(F30&gt;0,2*K8,0)</f>
        <v>0</v>
      </c>
      <c r="V30">
        <v>29</v>
      </c>
      <c r="W30">
        <f>IF(AND(B29&gt;0,D29&gt;D2),1,0)</f>
        <v>0</v>
      </c>
    </row>
    <row r="31" spans="1:26" ht="16" thickBot="1">
      <c r="A31" t="s">
        <v>282</v>
      </c>
      <c r="B31" s="337">
        <v>1</v>
      </c>
      <c r="C31" t="s">
        <v>306</v>
      </c>
      <c r="D31" s="18">
        <v>10</v>
      </c>
      <c r="E31" s="18"/>
      <c r="F31" s="4">
        <f>IF(B31&gt;0,5000000,0)*B31</f>
        <v>5000000</v>
      </c>
      <c r="H31" s="4">
        <f>IF(F31&gt;0,10,0)*B31</f>
        <v>10</v>
      </c>
      <c r="K31" s="263">
        <f>IF(F31&gt;0,1,0)</f>
        <v>1</v>
      </c>
      <c r="V31">
        <v>30</v>
      </c>
      <c r="W31">
        <f>IF(AND(B30&gt;0,D30&gt;D2),1,0)</f>
        <v>0</v>
      </c>
    </row>
    <row r="32" spans="1:26" ht="16" thickBot="1">
      <c r="F32" s="4"/>
      <c r="H32" s="4"/>
      <c r="V32">
        <v>31</v>
      </c>
      <c r="W32">
        <f>IF(AND(B31&gt;0,D31&gt;D2),1,0)</f>
        <v>0</v>
      </c>
    </row>
    <row r="33" spans="1:23" ht="16" thickBot="1">
      <c r="A33" s="3" t="s">
        <v>431</v>
      </c>
      <c r="B33" s="254" t="s">
        <v>283</v>
      </c>
      <c r="C33" t="s">
        <v>379</v>
      </c>
      <c r="F33" s="4">
        <f>IF(B33=S10,S22,0)</f>
        <v>0</v>
      </c>
      <c r="H33" s="4">
        <f>IF(B33=S10,S21,0)</f>
        <v>0</v>
      </c>
      <c r="S33" t="str">
        <f>C8&amp;"x "&amp;VLOOKUP(B8,S35:T40,2)&amp;": "&amp;C13&amp;" Stations"&amp;IF(B11=S2,"",", "&amp;C11&amp;"x Aux Array: "&amp;B11)&amp;IF(B16=0,"",", "&amp;B16&amp;"x "&amp;A16)&amp;""&amp;IF(B17=0,"",", "&amp;B17&amp;" tons "&amp;A17&amp;"- "&amp;C17)&amp;""&amp;IF(B18=0,"",", "&amp;B18&amp;"x "&amp;A18)&amp;""&amp;IF(B19=0,"",", "&amp;B19&amp;"x "&amp;A19)&amp;""&amp;IF(B20=0,"",", "&amp;B20&amp;"x "&amp;A20)&amp;""&amp;IF(B21=0,"",", "&amp;B21&amp;"x "&amp;A21)&amp;""&amp;IF(B22=0,"",", "&amp;B22&amp;"x "&amp;A22)&amp;""&amp;IF(B23=0,"",", "&amp;B23&amp;"x "&amp;A23)&amp;""&amp;IF(B24=0,"",", "&amp;B24&amp;"x "&amp;A24)&amp;""&amp;IF(B25=0,"",", "&amp;B25&amp;"x "&amp;A25)&amp;""&amp;IF(B26=0,"",", "&amp;B26&amp;"x "&amp;A26)&amp;""&amp;IF(B27=0,"",", "&amp;B27&amp;"x "&amp;A27)&amp;""&amp;IF(B28=0,"",", "&amp;B28&amp;"x "&amp;A28)&amp;""&amp;IF(B29=0,"",", "&amp;B29&amp;"x "&amp;A29)&amp;""&amp;IF(B30=0,"",", "&amp;B30&amp;"x "&amp;A30)&amp;""&amp;IF(B31=0,"",", "&amp;B31&amp;"x "&amp;A31)&amp;""&amp;IF(B33=S11,"",", "&amp;A33)&amp;""&amp;IF(B34=S11,"",", "&amp;A34)</f>
        <v>1x Improved  Sensor Array: 2 Stations, 1x Aux Array: Class III - Military Grade, 1 tons Deep Penetration Scanners- Scan 20 T/Hr, 1x Enhanced Signal Processing, 1x Extended Arrays, 1x Extension Net, 1x Improved Signal Processing, 1x Life Scanner, 1x Life Scanner Analysis Suite, 1x Mineral Detection Suite, 1x Shallow Penetration Suite</v>
      </c>
    </row>
    <row r="34" spans="1:23" ht="16" thickBot="1">
      <c r="A34" s="3" t="s">
        <v>580</v>
      </c>
      <c r="B34" s="254" t="s">
        <v>283</v>
      </c>
      <c r="C34" t="s">
        <v>581</v>
      </c>
      <c r="F34" s="4">
        <f>IF(B34=S11,0,0.5*SUM(F8,F16:F31))</f>
        <v>0</v>
      </c>
      <c r="H34" s="4"/>
      <c r="S34" t="s">
        <v>89</v>
      </c>
      <c r="W34">
        <v>0</v>
      </c>
    </row>
    <row r="35" spans="1:23">
      <c r="F35" s="4"/>
      <c r="H35" s="4"/>
      <c r="S35" t="s">
        <v>292</v>
      </c>
      <c r="T35" t="s">
        <v>604</v>
      </c>
      <c r="W35">
        <v>2</v>
      </c>
    </row>
    <row r="36" spans="1:23">
      <c r="A36" s="7" t="s">
        <v>102</v>
      </c>
      <c r="B36" t="s">
        <v>1001</v>
      </c>
      <c r="F36" s="4"/>
      <c r="H36" s="4"/>
      <c r="S36" t="s">
        <v>295</v>
      </c>
      <c r="T36" t="s">
        <v>605</v>
      </c>
      <c r="W36">
        <v>4</v>
      </c>
    </row>
    <row r="37" spans="1:23">
      <c r="F37" s="4"/>
      <c r="S37" t="s">
        <v>299</v>
      </c>
      <c r="T37" t="s">
        <v>606</v>
      </c>
      <c r="W37">
        <v>4</v>
      </c>
    </row>
    <row r="38" spans="1:23">
      <c r="F38" s="4"/>
      <c r="S38" t="s">
        <v>300</v>
      </c>
      <c r="T38" t="s">
        <v>607</v>
      </c>
      <c r="W38">
        <v>5</v>
      </c>
    </row>
    <row r="39" spans="1:23">
      <c r="F39" s="4"/>
      <c r="S39" t="s">
        <v>301</v>
      </c>
      <c r="T39" t="s">
        <v>608</v>
      </c>
      <c r="W39">
        <v>5</v>
      </c>
    </row>
    <row r="40" spans="1:23">
      <c r="F40" s="4"/>
      <c r="S40" t="s">
        <v>1449</v>
      </c>
      <c r="T40" t="s">
        <v>1451</v>
      </c>
      <c r="W40">
        <v>5</v>
      </c>
    </row>
    <row r="41" spans="1:23">
      <c r="F41" s="4"/>
      <c r="W41" s="3">
        <f>INDEX(S34:W40,MATCH(B8,S34:S40,0),5)</f>
        <v>5</v>
      </c>
    </row>
    <row r="42" spans="1:23">
      <c r="F42" s="4"/>
    </row>
    <row r="43" spans="1:23">
      <c r="F43" s="4"/>
    </row>
    <row r="44" spans="1:23">
      <c r="F44" s="4"/>
    </row>
    <row r="45" spans="1:23">
      <c r="F45" s="4"/>
    </row>
    <row r="46" spans="1:23">
      <c r="F46" s="4"/>
    </row>
    <row r="47" spans="1:23">
      <c r="F47" s="4"/>
    </row>
    <row r="48" spans="1:23">
      <c r="F48" s="4"/>
    </row>
    <row r="49" spans="6:6">
      <c r="F49" s="4"/>
    </row>
    <row r="50" spans="6:6">
      <c r="F50" s="4"/>
    </row>
    <row r="51" spans="6:6">
      <c r="F51" s="4"/>
    </row>
    <row r="52" spans="6:6">
      <c r="F52" s="4"/>
    </row>
  </sheetData>
  <sheetProtection algorithmName="SHA-512" hashValue="iCkQb/wht1dyEkd0CwC+cPdXKm3kFTyXCnaV3ovuSVcOlUQrr5cPN0AS/gl83WSWvNvv+O5aNmg1hGikvv7SqA==" saltValue="OOJ7Obz6Az/EsdmutL/lfQ==" spinCount="100000" sheet="1" selectLockedCells="1"/>
  <mergeCells count="2">
    <mergeCell ref="H4:I4"/>
    <mergeCell ref="K4:L4"/>
  </mergeCells>
  <conditionalFormatting sqref="A16">
    <cfRule type="expression" dxfId="459" priority="788">
      <formula>$B$16=$S$10</formula>
    </cfRule>
  </conditionalFormatting>
  <conditionalFormatting sqref="A17">
    <cfRule type="expression" dxfId="458" priority="789">
      <formula>$B$17=$S$10</formula>
    </cfRule>
  </conditionalFormatting>
  <conditionalFormatting sqref="A18">
    <cfRule type="expression" dxfId="457" priority="790">
      <formula>$B$18=$S$10</formula>
    </cfRule>
  </conditionalFormatting>
  <conditionalFormatting sqref="A19">
    <cfRule type="expression" dxfId="456" priority="791">
      <formula>$B$19=$S$10</formula>
    </cfRule>
  </conditionalFormatting>
  <conditionalFormatting sqref="A20">
    <cfRule type="expression" dxfId="455" priority="792">
      <formula>$B$20=$S$10</formula>
    </cfRule>
  </conditionalFormatting>
  <conditionalFormatting sqref="A21">
    <cfRule type="expression" dxfId="454" priority="793">
      <formula>$B$21=$S$10</formula>
    </cfRule>
  </conditionalFormatting>
  <conditionalFormatting sqref="A22">
    <cfRule type="expression" dxfId="453" priority="794">
      <formula>$B$22=$S$10</formula>
    </cfRule>
  </conditionalFormatting>
  <conditionalFormatting sqref="A23">
    <cfRule type="expression" dxfId="452" priority="795">
      <formula>$B$23=$S$10</formula>
    </cfRule>
  </conditionalFormatting>
  <conditionalFormatting sqref="A24">
    <cfRule type="expression" dxfId="451" priority="796">
      <formula>$B$24=$S$10</formula>
    </cfRule>
  </conditionalFormatting>
  <conditionalFormatting sqref="A25">
    <cfRule type="expression" dxfId="450" priority="797">
      <formula>$B$25=$S$10</formula>
    </cfRule>
  </conditionalFormatting>
  <conditionalFormatting sqref="A26">
    <cfRule type="expression" dxfId="449" priority="785">
      <formula>$B$26=$S$10</formula>
    </cfRule>
    <cfRule type="expression" dxfId="448" priority="784" stopIfTrue="1">
      <formula>$D$25&gt;$D$2</formula>
    </cfRule>
  </conditionalFormatting>
  <conditionalFormatting sqref="A27:A28">
    <cfRule type="expression" dxfId="447" priority="798">
      <formula>$B$27=$S$10</formula>
    </cfRule>
  </conditionalFormatting>
  <conditionalFormatting sqref="A29">
    <cfRule type="expression" dxfId="446" priority="799">
      <formula>$B$29=$S$10</formula>
    </cfRule>
  </conditionalFormatting>
  <conditionalFormatting sqref="A30">
    <cfRule type="expression" dxfId="445" priority="800">
      <formula>$B$30=$S$10</formula>
    </cfRule>
  </conditionalFormatting>
  <conditionalFormatting sqref="A31">
    <cfRule type="expression" dxfId="444" priority="801">
      <formula>$B$31=$S$10</formula>
    </cfRule>
  </conditionalFormatting>
  <conditionalFormatting sqref="A16:D16">
    <cfRule type="expression" dxfId="443" priority="52" stopIfTrue="1">
      <formula>$D$16&gt;$D$2</formula>
    </cfRule>
  </conditionalFormatting>
  <conditionalFormatting sqref="A17:D17">
    <cfRule type="expression" dxfId="442" priority="51" stopIfTrue="1">
      <formula>$D$17&gt;$D$2</formula>
    </cfRule>
  </conditionalFormatting>
  <conditionalFormatting sqref="A18:D18">
    <cfRule type="expression" dxfId="441" priority="70" stopIfTrue="1">
      <formula>$D$18&gt;$D$2</formula>
    </cfRule>
    <cfRule type="expression" dxfId="439" priority="68" stopIfTrue="1">
      <formula>$B$8=$S$3</formula>
    </cfRule>
    <cfRule type="expression" dxfId="438" priority="67" stopIfTrue="1">
      <formula>$B$8=$S$4</formula>
    </cfRule>
    <cfRule type="expression" dxfId="437" priority="50" stopIfTrue="1">
      <formula>$B$8=$S$5</formula>
    </cfRule>
  </conditionalFormatting>
  <conditionalFormatting sqref="A19:D19">
    <cfRule type="expression" dxfId="436" priority="49" stopIfTrue="1">
      <formula>$D$19&gt;$D$2</formula>
    </cfRule>
  </conditionalFormatting>
  <conditionalFormatting sqref="A20:D20">
    <cfRule type="expression" dxfId="435" priority="48" stopIfTrue="1">
      <formula>$B$8=$S$5</formula>
    </cfRule>
    <cfRule type="expression" dxfId="434" priority="66" stopIfTrue="1">
      <formula>$D$20&gt;$D$2</formula>
    </cfRule>
    <cfRule type="expression" dxfId="433" priority="65" stopIfTrue="1">
      <formula>$B$8=$S$3</formula>
    </cfRule>
    <cfRule type="expression" dxfId="432" priority="64" stopIfTrue="1">
      <formula>$B$8=$S$4</formula>
    </cfRule>
  </conditionalFormatting>
  <conditionalFormatting sqref="A21:D21">
    <cfRule type="expression" dxfId="431" priority="80">
      <formula>$D$21&gt;$D$2</formula>
    </cfRule>
  </conditionalFormatting>
  <conditionalFormatting sqref="A22:D22">
    <cfRule type="expression" dxfId="430" priority="46" stopIfTrue="1">
      <formula>$D$22&gt;$D$2</formula>
    </cfRule>
  </conditionalFormatting>
  <conditionalFormatting sqref="A23:D23">
    <cfRule type="expression" dxfId="429" priority="45" stopIfTrue="1">
      <formula>$D$23&gt;$D$2</formula>
    </cfRule>
  </conditionalFormatting>
  <conditionalFormatting sqref="A24:D24">
    <cfRule type="expression" dxfId="428" priority="44" stopIfTrue="1">
      <formula>$D$24&gt;$D$2</formula>
    </cfRule>
  </conditionalFormatting>
  <conditionalFormatting sqref="A25:D25">
    <cfRule type="expression" dxfId="427" priority="774" stopIfTrue="1">
      <formula>$B$26=$S$10</formula>
    </cfRule>
    <cfRule type="expression" dxfId="426" priority="775" stopIfTrue="1">
      <formula>$D$25&gt;$D$2</formula>
    </cfRule>
  </conditionalFormatting>
  <conditionalFormatting sqref="A26:D26">
    <cfRule type="expression" dxfId="425" priority="787" stopIfTrue="1">
      <formula>$D$26&gt;$D$2</formula>
    </cfRule>
    <cfRule type="expression" dxfId="424" priority="786" stopIfTrue="1">
      <formula>$B$25=$S$10</formula>
    </cfRule>
  </conditionalFormatting>
  <conditionalFormatting sqref="A27:D27">
    <cfRule type="expression" dxfId="423" priority="41" stopIfTrue="1">
      <formula>$D$27&gt;$D$2</formula>
    </cfRule>
  </conditionalFormatting>
  <conditionalFormatting sqref="A28:D28">
    <cfRule type="expression" dxfId="422" priority="6" stopIfTrue="1">
      <formula>$D$27&gt;$D$2</formula>
    </cfRule>
  </conditionalFormatting>
  <conditionalFormatting sqref="A29:D29">
    <cfRule type="expression" dxfId="421" priority="56">
      <formula>$B$8=$S$5</formula>
    </cfRule>
    <cfRule type="expression" dxfId="420" priority="57">
      <formula>$B$8=$S$4</formula>
    </cfRule>
    <cfRule type="expression" dxfId="419" priority="58">
      <formula>$B$8=$S$3</formula>
    </cfRule>
    <cfRule type="expression" dxfId="418" priority="74">
      <formula>$D$29&gt;$D$2</formula>
    </cfRule>
  </conditionalFormatting>
  <conditionalFormatting sqref="A30:D30">
    <cfRule type="expression" dxfId="417" priority="55" stopIfTrue="1">
      <formula>$D$30&gt;$D$2</formula>
    </cfRule>
    <cfRule type="expression" dxfId="416" priority="54" stopIfTrue="1">
      <formula>$B$8=$S$5</formula>
    </cfRule>
    <cfRule type="expression" dxfId="415" priority="53" stopIfTrue="1">
      <formula>$B$8=$S$4</formula>
    </cfRule>
    <cfRule type="expression" dxfId="414" priority="39" stopIfTrue="1">
      <formula>$B$8=$S$3</formula>
    </cfRule>
  </conditionalFormatting>
  <conditionalFormatting sqref="A31:D31">
    <cfRule type="expression" dxfId="413" priority="72">
      <formula>$D$31&gt;$D$2</formula>
    </cfRule>
  </conditionalFormatting>
  <conditionalFormatting sqref="B8 B11">
    <cfRule type="expression" dxfId="411" priority="12">
      <formula>AND($B$8=$S$3,$B$8=$B$11)</formula>
    </cfRule>
  </conditionalFormatting>
  <conditionalFormatting sqref="B8 E20">
    <cfRule type="expression" dxfId="409" priority="823">
      <formula>AND($B$8&lt;$S$38,$B$20=$S$10)</formula>
    </cfRule>
  </conditionalFormatting>
  <conditionalFormatting sqref="B8 E29">
    <cfRule type="expression" dxfId="408" priority="825">
      <formula>AND($B$8&lt;$S$38,$B$29=$S$10)</formula>
    </cfRule>
  </conditionalFormatting>
  <conditionalFormatting sqref="B8 E30">
    <cfRule type="expression" dxfId="407" priority="827">
      <formula>AND($B$8&lt;$S$38,$B$30=$S$10)</formula>
    </cfRule>
  </conditionalFormatting>
  <conditionalFormatting sqref="B16:B31 C12">
    <cfRule type="cellIs" dxfId="406" priority="10" operator="greaterThan">
      <formula>0</formula>
    </cfRule>
  </conditionalFormatting>
  <conditionalFormatting sqref="B33:B34">
    <cfRule type="cellIs" dxfId="405" priority="822" operator="equal">
      <formula>$S$11</formula>
    </cfRule>
  </conditionalFormatting>
  <conditionalFormatting sqref="B8:D8">
    <cfRule type="expression" dxfId="404" priority="71">
      <formula>$D$8&gt;$D$2</formula>
    </cfRule>
  </conditionalFormatting>
  <conditionalFormatting sqref="B14:F14">
    <cfRule type="expression" dxfId="403" priority="3">
      <formula>AND($C$12&gt;0,Tonnage&gt;7500)</formula>
    </cfRule>
  </conditionalFormatting>
  <conditionalFormatting sqref="C8 B11:C11">
    <cfRule type="expression" dxfId="402" priority="15">
      <formula>$B$8="Class I - Basic"</formula>
    </cfRule>
  </conditionalFormatting>
  <conditionalFormatting sqref="C8">
    <cfRule type="expression" dxfId="401" priority="14">
      <formula>AND(B8=S3,C8&gt;1)</formula>
    </cfRule>
    <cfRule type="expression" dxfId="400" priority="2">
      <formula>$Z$24=1</formula>
    </cfRule>
  </conditionalFormatting>
  <conditionalFormatting sqref="C11">
    <cfRule type="expression" dxfId="399" priority="11">
      <formula>AND($B$11&lt;&gt;$S$2,$C$11=0)</formula>
    </cfRule>
    <cfRule type="expression" dxfId="398" priority="13">
      <formula>AND(B11=S3,C11&gt;1)</formula>
    </cfRule>
  </conditionalFormatting>
  <conditionalFormatting sqref="C12">
    <cfRule type="expression" dxfId="397" priority="4">
      <formula>AND($C$12&gt;0,Tonnage&gt;7500)</formula>
    </cfRule>
  </conditionalFormatting>
  <conditionalFormatting sqref="C26">
    <cfRule type="expression" dxfId="396" priority="63">
      <formula>$D$25&gt;$D$2</formula>
    </cfRule>
  </conditionalFormatting>
  <conditionalFormatting sqref="D2">
    <cfRule type="expression" dxfId="395" priority="802">
      <formula>$W$15&gt;0</formula>
    </cfRule>
  </conditionalFormatting>
  <conditionalFormatting sqref="E13">
    <cfRule type="cellIs" dxfId="394" priority="9" operator="equal">
      <formula>"Yes"</formula>
    </cfRule>
  </conditionalFormatting>
  <conditionalFormatting sqref="E16">
    <cfRule type="expression" dxfId="393" priority="33">
      <formula>$W$17=1</formula>
    </cfRule>
  </conditionalFormatting>
  <conditionalFormatting sqref="E17">
    <cfRule type="expression" dxfId="392" priority="32">
      <formula>$W$18=1</formula>
    </cfRule>
  </conditionalFormatting>
  <conditionalFormatting sqref="E18">
    <cfRule type="expression" dxfId="391" priority="31">
      <formula>$W$19=1</formula>
    </cfRule>
  </conditionalFormatting>
  <conditionalFormatting sqref="E19">
    <cfRule type="expression" dxfId="390" priority="30">
      <formula>$W$20=1</formula>
    </cfRule>
  </conditionalFormatting>
  <conditionalFormatting sqref="E20">
    <cfRule type="expression" dxfId="389" priority="29">
      <formula>$W$21=1</formula>
    </cfRule>
  </conditionalFormatting>
  <conditionalFormatting sqref="E21">
    <cfRule type="expression" dxfId="388" priority="28">
      <formula>$W$22=1</formula>
    </cfRule>
  </conditionalFormatting>
  <conditionalFormatting sqref="E22">
    <cfRule type="expression" dxfId="387" priority="27">
      <formula>$W$23=1</formula>
    </cfRule>
  </conditionalFormatting>
  <conditionalFormatting sqref="E23">
    <cfRule type="expression" dxfId="386" priority="26">
      <formula>$W$24=1</formula>
    </cfRule>
  </conditionalFormatting>
  <conditionalFormatting sqref="E24">
    <cfRule type="expression" dxfId="385" priority="25">
      <formula>$W$25=1</formula>
    </cfRule>
  </conditionalFormatting>
  <conditionalFormatting sqref="E25">
    <cfRule type="expression" dxfId="384" priority="24">
      <formula>$W$26=1</formula>
    </cfRule>
  </conditionalFormatting>
  <conditionalFormatting sqref="E26">
    <cfRule type="expression" dxfId="383" priority="23">
      <formula>$W$27=1</formula>
    </cfRule>
  </conditionalFormatting>
  <conditionalFormatting sqref="E27">
    <cfRule type="expression" dxfId="382" priority="814">
      <formula>$W$28=1</formula>
    </cfRule>
  </conditionalFormatting>
  <conditionalFormatting sqref="E28">
    <cfRule type="expression" dxfId="381" priority="832">
      <formula>$W$29&gt;0</formula>
    </cfRule>
  </conditionalFormatting>
  <conditionalFormatting sqref="E29">
    <cfRule type="expression" dxfId="380" priority="20">
      <formula>$W$30=1</formula>
    </cfRule>
  </conditionalFormatting>
  <conditionalFormatting sqref="E30">
    <cfRule type="expression" dxfId="379" priority="759">
      <formula>$W$31=1</formula>
    </cfRule>
  </conditionalFormatting>
  <conditionalFormatting sqref="E31">
    <cfRule type="expression" dxfId="378" priority="831">
      <formula>$W$32=1</formula>
    </cfRule>
  </conditionalFormatting>
  <conditionalFormatting sqref="H6">
    <cfRule type="expression" dxfId="377" priority="37">
      <formula>$H$6&lt;0</formula>
    </cfRule>
  </conditionalFormatting>
  <conditionalFormatting sqref="K6">
    <cfRule type="expression" dxfId="376" priority="36">
      <formula>$K$6&lt;0</formula>
    </cfRule>
  </conditionalFormatting>
  <dataValidations count="14">
    <dataValidation type="list" allowBlank="1" showInputMessage="1" showErrorMessage="1" sqref="B8" xr:uid="{96A4A88D-1082-4BB8-B69C-346F50D3950B}">
      <formula1>$S$3:$S$8</formula1>
    </dataValidation>
    <dataValidation allowBlank="1" showInputMessage="1" showErrorMessage="1" promptTitle="Enter Desired Tonnage" prompt="Each ton of deep penetration scanner allows for 20_x000a_tons of a target vessel to be scanned every hour (so, for_x000a_example, a 25 ton suite would scan a 500 ton ship in_x000a_an hour)." sqref="H17" xr:uid="{E6DFB272-57FE-48D1-8315-DF137577B287}"/>
    <dataValidation allowBlank="1" showInputMessage="1" showErrorMessage="1" prompt="Input the number of additional Sensor Stations desired. The bridge includes one. Each additional action requires another station." sqref="C12" xr:uid="{27A40CA5-55F7-4722-AFD2-13D2AD5DB84F}"/>
    <dataValidation type="list" allowBlank="1" showInputMessage="1" showErrorMessage="1" prompt="Aux Array must be of equal or lower grade compared to main array. You cannot have two Basic arrays." sqref="B11" xr:uid="{27B61365-4251-43C3-AFBE-6399E26794CA}">
      <formula1>$S$2:$S$7</formula1>
    </dataValidation>
    <dataValidation type="whole" operator="greaterThan" allowBlank="1" showInputMessage="1" showErrorMessage="1" sqref="B32" xr:uid="{DA761F39-3D1D-4E12-8DF4-9E2B9DF91182}">
      <formula1>0</formula1>
    </dataValidation>
    <dataValidation type="whole" operator="greaterThanOrEqual" allowBlank="1" showInputMessage="1" showErrorMessage="1" sqref="B27:B28 B25 C11 C8" xr:uid="{C19BCA24-E7CA-4D15-9A70-5ED0C4C3BC3D}">
      <formula1>0</formula1>
    </dataValidation>
    <dataValidation type="whole" operator="greaterThanOrEqual" allowBlank="1" showInputMessage="1" showErrorMessage="1" promptTitle="Tonnage" prompt="Enter the desired tonnage of the Deep Penetrating Scanners" sqref="B17" xr:uid="{44FA0969-B4B1-446E-9295-ACA5976A73D7}">
      <formula1>0</formula1>
    </dataValidation>
    <dataValidation type="whole" operator="greaterThanOrEqual" allowBlank="1" showInputMessage="1" showErrorMessage="1" promptTitle="Quantity" prompt="Requires an Improved or Advanced Sensor Array. Cannot be installed on a hull smaller than 5000 Dtons." sqref="B18" xr:uid="{F8979188-1804-4C73-A9BF-1B0C875F7A4C}">
      <formula1>0</formula1>
    </dataValidation>
    <dataValidation type="whole" operator="greaterThanOrEqual" allowBlank="1" showInputMessage="1" showErrorMessage="1" promptTitle="Quantity" prompt="Requires an Improved or Advanced Sensor Array. " sqref="B20 B29:B30" xr:uid="{EA09BEF9-5CB0-4BEA-899C-2BEFFA62FB32}">
      <formula1>0</formula1>
    </dataValidation>
    <dataValidation type="whole" operator="greaterThanOrEqual" allowBlank="1" showInputMessage="1" showErrorMessage="1" promptTitle="Quantity" prompt="_x000a_" sqref="B16 B19" xr:uid="{27636A34-91A4-494A-ADC8-485FD19064A4}">
      <formula1>0</formula1>
    </dataValidation>
    <dataValidation type="whole" operator="greaterThanOrEqual" allowBlank="1" showInputMessage="1" showErrorMessage="1" promptTitle="Quantity" sqref="B23" xr:uid="{AB28FE5C-5348-4AD5-A71F-0C54707CDBAC}">
      <formula1>0</formula1>
    </dataValidation>
    <dataValidation type="whole" operator="greaterThanOrEqual" allowBlank="1" showInputMessage="1" showErrorMessage="1" promptTitle="Quantity" prompt=" " sqref="B21:B22 B24 B26 B31" xr:uid="{E362044E-AD31-4998-98DA-90094522672F}">
      <formula1>0</formula1>
    </dataValidation>
    <dataValidation type="list" operator="greaterThan" allowBlank="1" showInputMessage="1" showErrorMessage="1" sqref="B33:B34" xr:uid="{9878B3F0-098E-46F2-A808-CE5C21F67A82}">
      <formula1>$S$10:$S$11</formula1>
    </dataValidation>
    <dataValidation type="list" allowBlank="1" showInputMessage="1" showErrorMessage="1" sqref="E13" xr:uid="{F6F02C6C-4945-40AC-BEA6-5156C74CC222}">
      <formula1>$U$13:$U$14</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9" stopIfTrue="1" id="{63345C38-FD89-46D1-9184-4B132381D0B0}">
            <xm:f>'1-Hull'!$B$4&lt;5000</xm:f>
            <x14:dxf>
              <fill>
                <patternFill>
                  <bgColor theme="0" tint="-0.499984740745262"/>
                </patternFill>
              </fill>
            </x14:dxf>
          </x14:cfRule>
          <xm:sqref>A18:D18</xm:sqref>
        </x14:conditionalFormatting>
        <x14:conditionalFormatting xmlns:xm="http://schemas.microsoft.com/office/excel/2006/main">
          <x14:cfRule type="expression" priority="1" id="{5E61B308-8E87-459A-96F9-4DE9F2F3386B}">
            <xm:f>'Ship Info'!F7</xm:f>
            <x14:dxf>
              <font>
                <color theme="1"/>
              </font>
            </x14:dxf>
          </x14:cfRule>
          <xm:sqref>B6</xm:sqref>
        </x14:conditionalFormatting>
        <x14:conditionalFormatting xmlns:xm="http://schemas.microsoft.com/office/excel/2006/main">
          <x14:cfRule type="expression" priority="829" id="{4D254901-1A35-4CC2-BCD9-8064655171F8}">
            <xm:f>AND(OR('1-Hull'!$B$4&lt;5000,$B$8&lt;$S$38),$B$18=$S$10)</xm:f>
            <x14:dxf>
              <fill>
                <patternFill>
                  <bgColor rgb="FFFF0000"/>
                </patternFill>
              </fill>
            </x14:dxf>
          </x14:cfRule>
          <xm:sqref>B8 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A95F1-5432-4EFB-88F2-A2F5A4D5CB62}">
  <dimension ref="A1:BS163"/>
  <sheetViews>
    <sheetView workbookViewId="0">
      <selection activeCell="F15" sqref="F15"/>
    </sheetView>
  </sheetViews>
  <sheetFormatPr baseColWidth="10" defaultColWidth="8.83203125" defaultRowHeight="15"/>
  <cols>
    <col min="1" max="1" width="7.33203125" style="67" customWidth="1"/>
    <col min="2" max="2" width="21" style="67" customWidth="1"/>
    <col min="3" max="3" width="26.33203125" style="67" customWidth="1"/>
    <col min="4" max="4" width="8.6640625" style="67" customWidth="1"/>
    <col min="5" max="7" width="21.6640625" style="67" customWidth="1"/>
    <col min="8" max="8" width="3.33203125" style="69" customWidth="1"/>
    <col min="9" max="9" width="10.33203125" style="69" customWidth="1"/>
    <col min="10" max="10" width="10.6640625" style="69" customWidth="1"/>
    <col min="11" max="11" width="4.83203125" style="67" customWidth="1"/>
    <col min="12" max="12" width="19.1640625" style="67" customWidth="1"/>
    <col min="13" max="13" width="9.1640625" style="67"/>
    <col min="14" max="14" width="11.6640625" style="67" customWidth="1"/>
    <col min="15" max="18" width="9.1640625" style="67"/>
    <col min="19" max="19" width="23.83203125" style="67" customWidth="1"/>
    <col min="20" max="22" width="10.6640625" hidden="1" customWidth="1"/>
    <col min="23" max="24" width="11" hidden="1" customWidth="1"/>
    <col min="25" max="25" width="9.1640625" hidden="1" customWidth="1"/>
    <col min="26" max="26" width="27.6640625" hidden="1" customWidth="1"/>
    <col min="27" max="30" width="9.1640625" hidden="1" customWidth="1"/>
    <col min="31" max="31" width="13.6640625" hidden="1" customWidth="1"/>
    <col min="32" max="32" width="13" hidden="1" customWidth="1"/>
    <col min="33" max="33" width="13.1640625" hidden="1" customWidth="1"/>
    <col min="34" max="34" width="12.1640625" hidden="1" customWidth="1"/>
    <col min="35" max="35" width="18.6640625" hidden="1" customWidth="1"/>
    <col min="36" max="37" width="11" hidden="1" customWidth="1"/>
    <col min="38" max="38" width="9.33203125" hidden="1" customWidth="1"/>
    <col min="39" max="40" width="11" hidden="1" customWidth="1"/>
    <col min="41" max="44" width="9.1640625" hidden="1" customWidth="1"/>
    <col min="45" max="48" width="18.33203125" hidden="1" customWidth="1"/>
    <col min="49" max="49" width="18.1640625" hidden="1" customWidth="1"/>
    <col min="50" max="50" width="18.33203125" hidden="1" customWidth="1"/>
    <col min="51" max="51" width="18.1640625" hidden="1" customWidth="1"/>
    <col min="52" max="52" width="18" hidden="1" customWidth="1"/>
    <col min="53" max="59" width="18.33203125" hidden="1" customWidth="1"/>
    <col min="60" max="60" width="18.1640625" hidden="1" customWidth="1"/>
    <col min="61" max="71" width="9.1640625" hidden="1" customWidth="1"/>
    <col min="72" max="72" width="9.1640625" customWidth="1"/>
  </cols>
  <sheetData>
    <row r="1" spans="1:66">
      <c r="A1" s="69"/>
      <c r="B1" s="70" t="str">
        <f>'Ship Info'!A1</f>
        <v>Ship's Class Name</v>
      </c>
      <c r="C1" s="67" t="str">
        <f>'Ship Info'!B1</f>
        <v>Zhodani Long Range Scout</v>
      </c>
      <c r="E1" s="69"/>
      <c r="F1" s="69"/>
      <c r="G1" s="155" t="s">
        <v>925</v>
      </c>
      <c r="L1" s="68" t="s">
        <v>1</v>
      </c>
      <c r="T1" t="s">
        <v>99</v>
      </c>
      <c r="U1" t="s">
        <v>99</v>
      </c>
      <c r="V1" t="s">
        <v>99</v>
      </c>
      <c r="Z1" s="3" t="s">
        <v>1044</v>
      </c>
      <c r="AA1" t="s">
        <v>26</v>
      </c>
      <c r="AB1" t="s">
        <v>322</v>
      </c>
      <c r="AC1" t="s">
        <v>117</v>
      </c>
      <c r="AD1" t="s">
        <v>1</v>
      </c>
      <c r="AE1" t="s">
        <v>323</v>
      </c>
      <c r="AF1" t="s">
        <v>324</v>
      </c>
      <c r="AG1" t="s">
        <v>373</v>
      </c>
      <c r="AH1" t="s">
        <v>388</v>
      </c>
      <c r="AI1" s="2" t="s">
        <v>1557</v>
      </c>
      <c r="AJ1" t="s">
        <v>806</v>
      </c>
      <c r="AK1" t="s">
        <v>1056</v>
      </c>
      <c r="AM1" s="44" t="s">
        <v>1053</v>
      </c>
      <c r="AN1" s="45"/>
      <c r="AO1" s="45"/>
      <c r="AP1" s="47"/>
      <c r="AQ1" s="45"/>
      <c r="AR1" s="45"/>
      <c r="AS1" s="107" t="s">
        <v>1068</v>
      </c>
      <c r="AT1" s="107" t="s">
        <v>1069</v>
      </c>
      <c r="AU1" s="107" t="s">
        <v>1070</v>
      </c>
      <c r="AV1" s="107" t="s">
        <v>1071</v>
      </c>
      <c r="AW1" s="44" t="s">
        <v>1045</v>
      </c>
      <c r="AX1" s="45" t="s">
        <v>1046</v>
      </c>
      <c r="AY1" s="45" t="s">
        <v>1047</v>
      </c>
      <c r="AZ1" s="46" t="s">
        <v>1057</v>
      </c>
      <c r="BB1" s="3" t="s">
        <v>1048</v>
      </c>
      <c r="BC1" t="s">
        <v>26</v>
      </c>
      <c r="BD1" t="s">
        <v>322</v>
      </c>
      <c r="BE1" t="s">
        <v>117</v>
      </c>
      <c r="BF1" t="s">
        <v>1</v>
      </c>
      <c r="BG1" t="s">
        <v>1055</v>
      </c>
      <c r="BH1" t="s">
        <v>324</v>
      </c>
      <c r="BI1" t="s">
        <v>373</v>
      </c>
      <c r="BJ1" t="s">
        <v>388</v>
      </c>
      <c r="BK1" s="2" t="s">
        <v>714</v>
      </c>
      <c r="BL1" t="s">
        <v>806</v>
      </c>
      <c r="BM1" t="s">
        <v>1056</v>
      </c>
      <c r="BN1" t="s">
        <v>1670</v>
      </c>
    </row>
    <row r="2" spans="1:66">
      <c r="A2" s="69"/>
      <c r="B2" s="70" t="s">
        <v>432</v>
      </c>
      <c r="C2" s="67" t="str">
        <f>'Ship Info'!B2</f>
        <v>Scout</v>
      </c>
      <c r="E2" s="158"/>
      <c r="F2" s="159" t="s">
        <v>1154</v>
      </c>
      <c r="G2" s="160"/>
      <c r="J2" s="68" t="s">
        <v>0</v>
      </c>
      <c r="K2" s="69">
        <f>'Ship Info'!F2</f>
        <v>14</v>
      </c>
      <c r="L2" s="156">
        <f>'Ship Info'!G2</f>
        <v>621511800.00000012</v>
      </c>
      <c r="T2" t="str">
        <f>IF(B4&lt;100,V2,U2)</f>
        <v>Yes</v>
      </c>
      <c r="U2" t="s">
        <v>100</v>
      </c>
      <c r="V2" t="s">
        <v>99</v>
      </c>
      <c r="W2" s="129" t="s">
        <v>1085</v>
      </c>
      <c r="X2" s="129" t="s">
        <v>1086</v>
      </c>
      <c r="Y2" s="129"/>
      <c r="Z2" t="s">
        <v>375</v>
      </c>
      <c r="AA2">
        <v>0</v>
      </c>
      <c r="AB2">
        <v>0</v>
      </c>
      <c r="AC2">
        <v>0</v>
      </c>
      <c r="AD2">
        <v>0</v>
      </c>
      <c r="AE2">
        <v>0</v>
      </c>
      <c r="AF2">
        <v>0</v>
      </c>
      <c r="AG2">
        <v>0</v>
      </c>
      <c r="AH2">
        <v>0</v>
      </c>
      <c r="AI2" s="2" t="str">
        <f>""</f>
        <v/>
      </c>
      <c r="AJ2">
        <v>0</v>
      </c>
      <c r="AK2" t="str">
        <f>""</f>
        <v/>
      </c>
      <c r="AM2" s="78" t="s">
        <v>375</v>
      </c>
      <c r="AN2" t="s">
        <v>375</v>
      </c>
      <c r="AO2" t="s">
        <v>375</v>
      </c>
      <c r="AP2" s="46"/>
      <c r="AS2" s="123" t="s">
        <v>375</v>
      </c>
      <c r="AT2" s="123" t="s">
        <v>375</v>
      </c>
      <c r="AU2" s="123" t="s">
        <v>375</v>
      </c>
      <c r="AV2" s="123" t="s">
        <v>375</v>
      </c>
      <c r="AW2" s="78" t="s">
        <v>375</v>
      </c>
      <c r="AX2" t="s">
        <v>375</v>
      </c>
      <c r="AY2" t="s">
        <v>375</v>
      </c>
      <c r="AZ2" s="134" t="s">
        <v>375</v>
      </c>
      <c r="BB2" t="s">
        <v>375</v>
      </c>
      <c r="BC2">
        <v>0</v>
      </c>
      <c r="BD2">
        <v>0</v>
      </c>
      <c r="BE2">
        <v>0</v>
      </c>
      <c r="BF2">
        <v>0</v>
      </c>
      <c r="BG2">
        <v>0</v>
      </c>
      <c r="BH2">
        <v>0</v>
      </c>
      <c r="BI2">
        <v>0</v>
      </c>
      <c r="BJ2">
        <v>0</v>
      </c>
      <c r="BK2" s="2">
        <v>0</v>
      </c>
      <c r="BL2">
        <v>0</v>
      </c>
      <c r="BM2" t="str">
        <f>""</f>
        <v/>
      </c>
      <c r="BN2">
        <v>0</v>
      </c>
    </row>
    <row r="3" spans="1:66" ht="17.25" customHeight="1">
      <c r="A3" s="69"/>
      <c r="B3" s="157" t="s">
        <v>1043</v>
      </c>
      <c r="E3" s="867" t="s">
        <v>1077</v>
      </c>
      <c r="F3" s="867" t="s">
        <v>1078</v>
      </c>
      <c r="G3" s="867" t="s">
        <v>1079</v>
      </c>
      <c r="L3" s="156"/>
      <c r="W3" s="125">
        <f>Z86</f>
        <v>0</v>
      </c>
      <c r="X3" s="125">
        <v>1</v>
      </c>
      <c r="Y3" s="148"/>
      <c r="Z3" t="s">
        <v>1080</v>
      </c>
      <c r="AA3">
        <v>7</v>
      </c>
      <c r="AB3">
        <v>0</v>
      </c>
      <c r="AC3">
        <v>0</v>
      </c>
      <c r="AD3">
        <v>100000</v>
      </c>
      <c r="AE3">
        <v>0</v>
      </c>
      <c r="AF3">
        <v>1</v>
      </c>
      <c r="AG3">
        <v>1</v>
      </c>
      <c r="AH3">
        <v>1</v>
      </c>
      <c r="AI3" s="2" t="str">
        <f>""</f>
        <v/>
      </c>
      <c r="AJ3">
        <v>0.75</v>
      </c>
      <c r="AK3" t="s">
        <v>617</v>
      </c>
      <c r="AM3" s="78" t="s">
        <v>1080</v>
      </c>
      <c r="AN3" t="s">
        <v>375</v>
      </c>
      <c r="AO3" t="s">
        <v>1080</v>
      </c>
      <c r="AP3" s="46"/>
      <c r="AS3" s="123" t="str">
        <f>IF(OR(AND('Ship Info'!$F$7,'Ship Info'!$C$5&gt;=100),$B$4&gt;=100),$AZ$3,AW3)</f>
        <v>A Fixed Mount x1</v>
      </c>
      <c r="AT3" s="123" t="str">
        <f>IF(OR(AND('Ship Info'!$F$7,'Ship Info'!$C$5&gt;=100),$B$4&gt;=100),$AZ$3,IF(B12=AM7,AN3,AX3))</f>
        <v>A Fixed Mount x1</v>
      </c>
      <c r="AU3" t="str">
        <f>IF(OR(AND('Ship Info'!$F$7,'Ship Info'!$C$5&gt;=100),$B$4&gt;=100),AZ3,AY3)</f>
        <v>A Fixed Mount x1</v>
      </c>
      <c r="AV3" s="46" t="str">
        <f>IF(OR(AND('Ship Info'!$F$7,'Ship Info'!$C$5&gt;=100),$B$4&gt;=100),AZ3,AN3)</f>
        <v>A Fixed Mount x1</v>
      </c>
      <c r="AW3" s="78" t="s">
        <v>1080</v>
      </c>
      <c r="AX3" t="str">
        <f>IF(OR(Z28=AK7,B4&lt;35),AN3,AO3)</f>
        <v>a Fixed Firmpoint</v>
      </c>
      <c r="AY3" t="str">
        <f>IF(OR(Z28=AK7,B4&lt;70),AN3,AO3)</f>
        <v>a Fixed Firmpoint</v>
      </c>
      <c r="AZ3" s="133" t="s">
        <v>1104</v>
      </c>
      <c r="BB3" t="s">
        <v>1104</v>
      </c>
      <c r="BC3">
        <v>7</v>
      </c>
      <c r="BD3">
        <v>0</v>
      </c>
      <c r="BE3">
        <v>0</v>
      </c>
      <c r="BF3">
        <v>100000</v>
      </c>
      <c r="BG3">
        <v>1</v>
      </c>
      <c r="BH3">
        <v>1</v>
      </c>
      <c r="BI3">
        <v>1</v>
      </c>
      <c r="BJ3">
        <v>1</v>
      </c>
      <c r="BK3" s="2">
        <v>0</v>
      </c>
      <c r="BL3">
        <v>1</v>
      </c>
      <c r="BM3" t="s">
        <v>1050</v>
      </c>
      <c r="BN3">
        <v>2</v>
      </c>
    </row>
    <row r="4" spans="1:66" ht="15" customHeight="1" thickBot="1">
      <c r="B4" s="242">
        <f>Tonnage</f>
        <v>300</v>
      </c>
      <c r="C4" s="70" t="s">
        <v>1012</v>
      </c>
      <c r="D4" s="70"/>
      <c r="E4" s="868"/>
      <c r="F4" s="868"/>
      <c r="G4" s="868"/>
      <c r="L4" s="515" t="s">
        <v>45</v>
      </c>
      <c r="N4" s="864" t="s">
        <v>46</v>
      </c>
      <c r="O4" s="864"/>
      <c r="Q4" s="864" t="s">
        <v>47</v>
      </c>
      <c r="R4" s="864"/>
      <c r="W4" s="124" t="s">
        <v>375</v>
      </c>
      <c r="X4" s="124">
        <v>0</v>
      </c>
      <c r="Y4" s="125"/>
      <c r="Z4" t="s">
        <v>1081</v>
      </c>
      <c r="AA4">
        <v>10</v>
      </c>
      <c r="AB4">
        <v>0</v>
      </c>
      <c r="AC4">
        <v>1</v>
      </c>
      <c r="AD4">
        <v>1100000</v>
      </c>
      <c r="AE4">
        <v>0</v>
      </c>
      <c r="AF4">
        <v>1</v>
      </c>
      <c r="AG4">
        <v>1</v>
      </c>
      <c r="AH4">
        <v>1</v>
      </c>
      <c r="AI4" s="2" t="str">
        <f>""</f>
        <v/>
      </c>
      <c r="AJ4">
        <v>0.75</v>
      </c>
      <c r="AK4" t="s">
        <v>618</v>
      </c>
      <c r="AM4" s="78" t="s">
        <v>1081</v>
      </c>
      <c r="AN4" t="s">
        <v>375</v>
      </c>
      <c r="AO4" t="s">
        <v>1081</v>
      </c>
      <c r="AP4" s="46"/>
      <c r="AS4" s="123" t="str">
        <f>IF(OR(AND('Ship Info'!$F$7,'Ship Info'!$C$5&gt;=100),$B$4&gt;=100),AZ4,AW4)</f>
        <v>A Fixed Mount x2</v>
      </c>
      <c r="AT4" t="str">
        <f>IF(OR(AND('Ship Info'!$F$7,'Ship Info'!$C$5&gt;=100),$B$4&gt;=100),AZ4,IF(B12=AM7,AN3,AX4))</f>
        <v>A Fixed Mount x2</v>
      </c>
      <c r="AU4" t="str">
        <f>IF(OR(AND('Ship Info'!$F$7,'Ship Info'!$C$5&gt;=100),$B$4&gt;=100),AZ4,AY4)</f>
        <v>A Fixed Mount x2</v>
      </c>
      <c r="AV4" s="46" t="str">
        <f>IF(OR(AND('Ship Info'!$F$7,'Ship Info'!$C$5&gt;=100),$B$4&gt;=100),AZ4,AN4)</f>
        <v>A Fixed Mount x2</v>
      </c>
      <c r="AW4" s="78" t="s">
        <v>1081</v>
      </c>
      <c r="AX4" t="str">
        <f>IF(OR(Z28=AK7,B4&lt;35),AN4,AO4)</f>
        <v>b Firmpoint Pop-Up</v>
      </c>
      <c r="AY4" t="str">
        <f>IF(OR(Z28=AK7,B4&lt;70),AN4,AO4)</f>
        <v>b Firmpoint Pop-Up</v>
      </c>
      <c r="AZ4" s="134" t="s">
        <v>1106</v>
      </c>
      <c r="BB4" t="s">
        <v>1106</v>
      </c>
      <c r="BC4">
        <v>7</v>
      </c>
      <c r="BD4">
        <v>0</v>
      </c>
      <c r="BE4">
        <v>0</v>
      </c>
      <c r="BF4">
        <v>100000</v>
      </c>
      <c r="BG4">
        <v>1</v>
      </c>
      <c r="BH4">
        <v>1</v>
      </c>
      <c r="BI4">
        <v>1</v>
      </c>
      <c r="BJ4">
        <v>2</v>
      </c>
      <c r="BK4" s="2">
        <v>1</v>
      </c>
      <c r="BL4">
        <v>1</v>
      </c>
      <c r="BM4" t="s">
        <v>1050</v>
      </c>
      <c r="BN4">
        <v>2</v>
      </c>
    </row>
    <row r="5" spans="1:66" ht="16" thickBot="1">
      <c r="A5" s="70"/>
      <c r="B5" s="861" t="s">
        <v>1158</v>
      </c>
      <c r="C5" s="862"/>
      <c r="D5" s="68"/>
      <c r="E5" s="229" t="s">
        <v>99</v>
      </c>
      <c r="F5" s="229" t="s">
        <v>99</v>
      </c>
      <c r="G5" s="229" t="s">
        <v>99</v>
      </c>
      <c r="I5" s="161" t="s">
        <v>1122</v>
      </c>
      <c r="J5" s="267"/>
      <c r="K5" s="165">
        <f>IF('Ship Info'!C5&lt;35.001,1,IF('Ship Info'!C5&lt;70,2,IF('Ship Info'!C5&lt;99.999,3,ROUNDDOWN('Ship Info'!C5/100,0))))</f>
        <v>15</v>
      </c>
      <c r="L5" s="514">
        <f>SUM(L12:L37)</f>
        <v>15750000</v>
      </c>
      <c r="N5" s="68" t="s">
        <v>403</v>
      </c>
      <c r="O5" s="68" t="s">
        <v>27</v>
      </c>
      <c r="Q5" s="68" t="s">
        <v>403</v>
      </c>
      <c r="R5" s="68" t="s">
        <v>27</v>
      </c>
      <c r="T5" s="140" t="s">
        <v>1110</v>
      </c>
      <c r="U5" s="47"/>
      <c r="W5" s="125" t="s">
        <v>1080</v>
      </c>
      <c r="X5" s="125">
        <v>0</v>
      </c>
      <c r="Y5" s="125"/>
      <c r="Z5" t="s">
        <v>1082</v>
      </c>
      <c r="AA5">
        <v>7</v>
      </c>
      <c r="AB5">
        <v>1</v>
      </c>
      <c r="AC5">
        <v>1</v>
      </c>
      <c r="AD5">
        <v>200000</v>
      </c>
      <c r="AE5">
        <v>0</v>
      </c>
      <c r="AF5">
        <v>1</v>
      </c>
      <c r="AG5">
        <v>1</v>
      </c>
      <c r="AH5">
        <v>1</v>
      </c>
      <c r="AI5" s="2" t="str">
        <f>""</f>
        <v/>
      </c>
      <c r="AJ5">
        <v>0.75</v>
      </c>
      <c r="AK5" t="s">
        <v>619</v>
      </c>
      <c r="AM5" s="78" t="s">
        <v>1082</v>
      </c>
      <c r="AN5" t="s">
        <v>375</v>
      </c>
      <c r="AO5" t="s">
        <v>1082</v>
      </c>
      <c r="AP5" s="46"/>
      <c r="AS5" s="123" t="str">
        <f>IF(OR(AND('Ship Info'!$F$7,'Ship Info'!$C$5&gt;=100),$B$4&gt;=100),AZ5,AW5)</f>
        <v>A Fixed Mount x3</v>
      </c>
      <c r="AT5" t="str">
        <f>IF(OR(AND('Ship Info'!$F$7,'Ship Info'!$C$5&gt;=100),$B$4&gt;=100),AZ5,IF(B12=AM7,AN3,AX5))</f>
        <v>A Fixed Mount x3</v>
      </c>
      <c r="AU5" t="str">
        <f>IF(OR(AND('Ship Info'!$F$7,'Ship Info'!$C$5&gt;=100),$B$4&gt;=100),AZ5,AY5)</f>
        <v>A Fixed Mount x3</v>
      </c>
      <c r="AV5" s="46" t="str">
        <f>IF(OR(AND('Ship Info'!$F$7,'Ship Info'!$C$5&gt;=100),$B$4&gt;=100),AZ5,AN5)</f>
        <v>A Fixed Mount x3</v>
      </c>
      <c r="AW5" s="78" t="s">
        <v>1082</v>
      </c>
      <c r="AX5" t="str">
        <f>IF(OR(Z28=AK7,B4&lt;35),AN5,AO5)</f>
        <v>c Single Turret sm</v>
      </c>
      <c r="AY5" t="str">
        <f>IF(OR(Z28=AK7,B4&lt;70),AN5,AO5)</f>
        <v>c Single Turret sm</v>
      </c>
      <c r="AZ5" s="133" t="s">
        <v>1108</v>
      </c>
      <c r="BB5" t="s">
        <v>1108</v>
      </c>
      <c r="BC5">
        <v>7</v>
      </c>
      <c r="BD5">
        <v>0</v>
      </c>
      <c r="BE5">
        <v>0</v>
      </c>
      <c r="BF5">
        <v>100000</v>
      </c>
      <c r="BG5">
        <v>1</v>
      </c>
      <c r="BH5">
        <v>1</v>
      </c>
      <c r="BI5">
        <v>1</v>
      </c>
      <c r="BJ5">
        <v>3</v>
      </c>
      <c r="BK5" s="2">
        <v>2</v>
      </c>
      <c r="BL5">
        <v>1</v>
      </c>
      <c r="BM5" t="s">
        <v>1050</v>
      </c>
      <c r="BN5">
        <v>2</v>
      </c>
    </row>
    <row r="6" spans="1:66" ht="15.75" customHeight="1" thickBot="1">
      <c r="A6" s="855" t="s">
        <v>1155</v>
      </c>
      <c r="B6" s="856"/>
      <c r="C6" s="228"/>
      <c r="E6" s="197" t="s">
        <v>1103</v>
      </c>
      <c r="F6" s="197" t="s">
        <v>1103</v>
      </c>
      <c r="G6" s="197" t="s">
        <v>1103</v>
      </c>
      <c r="I6" s="163" t="str">
        <f>IF(LEFT(Y28,2)="Fm","Firmpoints","Hardpoints")</f>
        <v>Hardpoints</v>
      </c>
      <c r="J6" s="343">
        <f>IF('Ship Info'!F7,'8a-Weapons'!K5,IF(Tonnage&lt;35.001,1,IF(Tonnage&lt;70,2,IF(Tonnage&lt;99.999,3,ROUNDDOWN(Tonnage/100,0)))))</f>
        <v>3</v>
      </c>
      <c r="L6" s="509"/>
      <c r="N6" s="344">
        <f>'Ship Info'!I3</f>
        <v>2.6000000000000227</v>
      </c>
      <c r="O6" s="345">
        <f>'1-Hull'!B4</f>
        <v>300</v>
      </c>
      <c r="Q6" s="345">
        <f>'Ship Info'!L3</f>
        <v>7</v>
      </c>
      <c r="R6" s="345">
        <f>'3-Pwr Plant'!L6</f>
        <v>250</v>
      </c>
      <c r="T6" s="78" t="s">
        <v>353</v>
      </c>
      <c r="U6" s="46">
        <f>VLOOKUP(B12,Table1[],9)</f>
        <v>1</v>
      </c>
      <c r="W6" s="125" t="s">
        <v>1049</v>
      </c>
      <c r="X6" s="125">
        <v>1</v>
      </c>
      <c r="Y6" s="125"/>
      <c r="Z6" t="s">
        <v>1236</v>
      </c>
      <c r="AA6">
        <v>7</v>
      </c>
      <c r="AB6">
        <v>1</v>
      </c>
      <c r="AC6">
        <v>2</v>
      </c>
      <c r="AD6">
        <v>1200000</v>
      </c>
      <c r="AE6">
        <v>0</v>
      </c>
      <c r="AF6">
        <v>1</v>
      </c>
      <c r="AG6">
        <v>1</v>
      </c>
      <c r="AH6">
        <v>1</v>
      </c>
      <c r="AI6" s="2"/>
      <c r="AJ6">
        <v>0.75</v>
      </c>
      <c r="AK6" t="s">
        <v>1237</v>
      </c>
      <c r="AM6" t="s">
        <v>1236</v>
      </c>
      <c r="AN6" t="s">
        <v>375</v>
      </c>
      <c r="AO6" t="s">
        <v>1236</v>
      </c>
      <c r="AR6" s="28"/>
      <c r="AS6" s="123" t="str">
        <f>IF(OR(AND('Ship Info'!$F$7,'Ship Info'!$C$5&gt;=100),$B$4&gt;=100),AZ6,AW6)</f>
        <v>B Fixed Mount x1  Pop-Up</v>
      </c>
      <c r="AT6" t="str">
        <f>IF(OR(AND('Ship Info'!$F$7,'Ship Info'!$C$5&gt;=100),$B$4&gt;=100),AZ6,IF(B12=AM7,AN3,AX6))</f>
        <v>B Fixed Mount x1  Pop-Up</v>
      </c>
      <c r="AU6" t="str">
        <f>IF(OR(AND('Ship Info'!$F$7,'Ship Info'!$C$5&gt;=100),$B$4&gt;=100),AZ6,AY6)</f>
        <v>B Fixed Mount x1  Pop-Up</v>
      </c>
      <c r="AV6" s="46" t="str">
        <f>IF(OR(AND('Ship Info'!$F$7,'Ship Info'!$C$5&gt;=100),$B$4&gt;=100),AZ6,AN7)</f>
        <v>B Fixed Mount x1  Pop-Up</v>
      </c>
      <c r="AW6" s="78" t="s">
        <v>1236</v>
      </c>
      <c r="AX6" s="78" t="str">
        <f>IF(OR(Z28=AK7,B4&lt;35),AN6,AO6)</f>
        <v>d Single Pop-up Turret sm</v>
      </c>
      <c r="AY6" s="78" t="str">
        <f>IF(OR(Z28=AK7,B4&lt;70),AN6,AO6)</f>
        <v>d Single Pop-up Turret sm</v>
      </c>
      <c r="AZ6" s="134" t="s">
        <v>1105</v>
      </c>
      <c r="BB6" t="s">
        <v>1105</v>
      </c>
      <c r="BC6">
        <v>10</v>
      </c>
      <c r="BD6">
        <v>0</v>
      </c>
      <c r="BE6">
        <v>1</v>
      </c>
      <c r="BF6">
        <v>1100000</v>
      </c>
      <c r="BG6">
        <v>1</v>
      </c>
      <c r="BH6">
        <v>1</v>
      </c>
      <c r="BI6">
        <v>1</v>
      </c>
      <c r="BJ6">
        <v>1</v>
      </c>
      <c r="BK6" s="2">
        <v>0</v>
      </c>
      <c r="BL6">
        <v>1</v>
      </c>
      <c r="BM6" t="s">
        <v>1051</v>
      </c>
      <c r="BN6">
        <v>2</v>
      </c>
    </row>
    <row r="7" spans="1:66" ht="16" thickBot="1">
      <c r="A7" s="857"/>
      <c r="B7" s="858"/>
      <c r="C7" s="228"/>
      <c r="E7" s="197" t="s">
        <v>1103</v>
      </c>
      <c r="F7" s="197" t="s">
        <v>1103</v>
      </c>
      <c r="G7" s="197" t="s">
        <v>1103</v>
      </c>
      <c r="I7" s="161" t="s">
        <v>1123</v>
      </c>
      <c r="J7" s="162"/>
      <c r="L7" s="510"/>
      <c r="T7" s="78" t="s">
        <v>354</v>
      </c>
      <c r="U7" s="46">
        <f>VLOOKUP(B13,Table1[],9)</f>
        <v>0</v>
      </c>
      <c r="W7" s="124" t="s">
        <v>1081</v>
      </c>
      <c r="X7" s="124">
        <v>0</v>
      </c>
      <c r="Y7" s="125"/>
      <c r="Z7" t="s">
        <v>1227</v>
      </c>
      <c r="AA7">
        <v>7</v>
      </c>
      <c r="AB7">
        <v>0</v>
      </c>
      <c r="AC7">
        <v>5</v>
      </c>
      <c r="AD7">
        <v>0</v>
      </c>
      <c r="AE7">
        <v>0</v>
      </c>
      <c r="AF7">
        <v>1</v>
      </c>
      <c r="AG7">
        <v>2</v>
      </c>
      <c r="AH7">
        <v>3</v>
      </c>
      <c r="AI7" s="2"/>
      <c r="AJ7">
        <v>0.75</v>
      </c>
      <c r="AK7" t="s">
        <v>1419</v>
      </c>
      <c r="AM7" s="86" t="s">
        <v>1227</v>
      </c>
      <c r="AN7" s="28" t="s">
        <v>375</v>
      </c>
      <c r="AO7" s="28" t="s">
        <v>375</v>
      </c>
      <c r="AP7" s="79"/>
      <c r="AS7" s="123" t="str">
        <f>IF(OR(AND('Ship Info'!$F$7,'Ship Info'!$C$5&gt;=100),$B$4&gt;=100),AZ7,AW7)</f>
        <v>B Fixed Mount x2 Pop-Up</v>
      </c>
      <c r="AT7" t="str">
        <f>IF(OR(AND('Ship Info'!$F$7,'Ship Info'!$C$5&gt;=100),$B$4&gt;=100),AZ7,AX7)</f>
        <v>B Fixed Mount x2 Pop-Up</v>
      </c>
      <c r="AU7" t="str">
        <f>IF(OR(AND('Ship Info'!$F$7,'Ship Info'!$C$5&gt;=100),$B$4&gt;=100),AZ7,AY7)</f>
        <v>B Fixed Mount x2 Pop-Up</v>
      </c>
      <c r="AV7" s="46" t="str">
        <f>IF(OR(AND('Ship Info'!$F$7,'Ship Info'!$C$5&gt;=100),$B$4&gt;=100),AZ7,AW7)</f>
        <v>B Fixed Mount x2 Pop-Up</v>
      </c>
      <c r="AW7" s="78" t="str">
        <f>IF(B4&gt;=70,AM7,AO7)</f>
        <v>e Barbette Firmpoint</v>
      </c>
      <c r="AX7" s="78" t="s">
        <v>375</v>
      </c>
      <c r="AY7" s="78" t="s">
        <v>375</v>
      </c>
      <c r="AZ7" s="133" t="s">
        <v>1107</v>
      </c>
      <c r="BB7" t="s">
        <v>1107</v>
      </c>
      <c r="BC7">
        <v>10</v>
      </c>
      <c r="BD7">
        <v>0</v>
      </c>
      <c r="BE7">
        <v>1</v>
      </c>
      <c r="BF7">
        <v>1100000</v>
      </c>
      <c r="BG7">
        <v>1</v>
      </c>
      <c r="BH7">
        <v>1</v>
      </c>
      <c r="BI7">
        <v>1</v>
      </c>
      <c r="BJ7">
        <v>2</v>
      </c>
      <c r="BK7" s="2">
        <v>1</v>
      </c>
      <c r="BL7">
        <v>1</v>
      </c>
      <c r="BM7" t="s">
        <v>1051</v>
      </c>
      <c r="BN7">
        <v>2</v>
      </c>
    </row>
    <row r="8" spans="1:66" ht="16" thickBot="1">
      <c r="A8" s="857"/>
      <c r="B8" s="858"/>
      <c r="C8" s="228"/>
      <c r="E8" s="197" t="s">
        <v>1103</v>
      </c>
      <c r="F8" s="197" t="s">
        <v>1103</v>
      </c>
      <c r="G8" s="197" t="s">
        <v>1103</v>
      </c>
      <c r="I8" s="163" t="str">
        <f>IF(LEFT(Y28,2)="Fm","Firmpoints","Hardpoints")</f>
        <v>Hardpoints</v>
      </c>
      <c r="J8" s="343">
        <f>IF(AND('Ship Info'!F7,'Ship Info'!C5&gt;=100),SUM(AP28:AP47,D37),IF(B4&lt;100,SUM(AB9:AB11),SUM(AP28:AP47,D37)))+IF(AND('Ship Info'!F7,J6+'Ship Info'!C6&gt;'8a-Weapons'!K5),J6+'Ship Info'!C6-'8a-Weapons'!K5,0)</f>
        <v>3</v>
      </c>
      <c r="L8" s="164"/>
      <c r="M8" s="517"/>
      <c r="N8" s="512" t="s">
        <v>401</v>
      </c>
      <c r="O8" s="516"/>
      <c r="P8" s="517"/>
      <c r="Q8" s="512" t="s">
        <v>402</v>
      </c>
      <c r="R8" s="516"/>
      <c r="T8" s="86" t="s">
        <v>355</v>
      </c>
      <c r="U8" s="46">
        <f>VLOOKUP(B14,Table1[],9)</f>
        <v>0</v>
      </c>
      <c r="W8" s="124" t="s">
        <v>1052</v>
      </c>
      <c r="X8" s="124">
        <v>1</v>
      </c>
      <c r="Y8" s="125"/>
      <c r="Z8" s="3" t="s">
        <v>1148</v>
      </c>
      <c r="AA8" t="s">
        <v>117</v>
      </c>
      <c r="AB8" t="s">
        <v>1190</v>
      </c>
      <c r="AC8" t="s">
        <v>322</v>
      </c>
      <c r="AS8" s="123" t="str">
        <f>IF(OR(AND('Ship Info'!$F$7,'Ship Info'!$C$5&gt;=100),$B$4&gt;=100),AZ8,AW8)</f>
        <v>B Fixed Mount x3 Pop-Up</v>
      </c>
      <c r="AT8" t="str">
        <f>IF(OR(AND('Ship Info'!$F$7,'Ship Info'!$C$5&gt;=100),$B$4&gt;=100),AZ8,AX8)</f>
        <v>B Fixed Mount x3 Pop-Up</v>
      </c>
      <c r="AU8" t="str">
        <f>IF(OR(AND('Ship Info'!$F$7,'Ship Info'!$C$5&gt;=100),$B$4&gt;=100),AZ8,AY8)</f>
        <v>B Fixed Mount x3 Pop-Up</v>
      </c>
      <c r="AV8" s="46" t="str">
        <f>IF(OR(AND('Ship Info'!$F$7,'Ship Info'!$C$5&gt;=100),$B$4&gt;=100),AZ8,AW8)</f>
        <v>B Fixed Mount x3 Pop-Up</v>
      </c>
      <c r="AW8" s="78" t="s">
        <v>375</v>
      </c>
      <c r="AX8" s="78" t="s">
        <v>375</v>
      </c>
      <c r="AY8" s="78" t="s">
        <v>375</v>
      </c>
      <c r="AZ8" s="134" t="s">
        <v>1109</v>
      </c>
      <c r="BB8" t="s">
        <v>1109</v>
      </c>
      <c r="BC8">
        <v>10</v>
      </c>
      <c r="BD8">
        <v>0</v>
      </c>
      <c r="BE8">
        <v>1</v>
      </c>
      <c r="BF8">
        <v>1100000</v>
      </c>
      <c r="BG8">
        <v>1</v>
      </c>
      <c r="BH8">
        <v>1</v>
      </c>
      <c r="BI8">
        <v>1</v>
      </c>
      <c r="BJ8">
        <v>3</v>
      </c>
      <c r="BK8" s="2">
        <v>2</v>
      </c>
      <c r="BL8">
        <v>1</v>
      </c>
      <c r="BM8" t="s">
        <v>1051</v>
      </c>
      <c r="BN8">
        <v>2</v>
      </c>
    </row>
    <row r="9" spans="1:66" ht="16" thickBot="1">
      <c r="A9" s="857"/>
      <c r="B9" s="858"/>
      <c r="E9" s="197" t="s">
        <v>1103</v>
      </c>
      <c r="F9" s="197" t="s">
        <v>1103</v>
      </c>
      <c r="G9" s="197" t="s">
        <v>1103</v>
      </c>
      <c r="L9" s="164"/>
      <c r="N9" s="513">
        <f>SUM(N12:N37)</f>
        <v>3</v>
      </c>
      <c r="O9" s="71"/>
      <c r="P9" s="71"/>
      <c r="Q9" s="511">
        <f>SUMIF(Q12:Q37,"&lt;&gt;#N/A")</f>
        <v>21</v>
      </c>
      <c r="W9" s="125" t="s">
        <v>342</v>
      </c>
      <c r="X9" s="125">
        <v>1</v>
      </c>
      <c r="Y9" s="149" t="s">
        <v>1151</v>
      </c>
      <c r="Z9" s="4">
        <f>VLOOKUP(B12,Table2[],5)</f>
        <v>1100000</v>
      </c>
      <c r="AA9">
        <f>VLOOKUP(B12,Table2[],4)</f>
        <v>1</v>
      </c>
      <c r="AB9">
        <f>VLOOKUP(B12,Table2[],9)*D12</f>
        <v>3</v>
      </c>
      <c r="AC9">
        <f>VLOOKUP(B12,Table2[],3)</f>
        <v>0</v>
      </c>
      <c r="AS9" s="123" t="str">
        <f>IF(OR(AND('Ship Info'!$F$7,'Ship Info'!$C$5&gt;=100),$B$4&gt;=100),AZ9,AW9)</f>
        <v>C Single Turret</v>
      </c>
      <c r="AT9" t="str">
        <f>IF(OR(AND('Ship Info'!$F$7,'Ship Info'!$C$5&gt;=100),$B$4&gt;=100),AZ9,AX9)</f>
        <v>C Single Turret</v>
      </c>
      <c r="AU9" t="str">
        <f>IF(OR(AND('Ship Info'!$F$7,'Ship Info'!$C$5&gt;=100),$B$4&gt;=100),AZ9,AY9)</f>
        <v>C Single Turret</v>
      </c>
      <c r="AV9" s="46" t="str">
        <f>IF(OR(AND('Ship Info'!$F$7,'Ship Info'!$C$5&gt;=100),$B$4&gt;=100),AZ9,AW9)</f>
        <v>C Single Turret</v>
      </c>
      <c r="AW9" s="78" t="s">
        <v>375</v>
      </c>
      <c r="AX9" s="78" t="s">
        <v>375</v>
      </c>
      <c r="AY9" s="78" t="s">
        <v>375</v>
      </c>
      <c r="AZ9" s="133" t="s">
        <v>342</v>
      </c>
      <c r="BB9" t="s">
        <v>342</v>
      </c>
      <c r="BC9">
        <v>7</v>
      </c>
      <c r="BD9">
        <v>1</v>
      </c>
      <c r="BE9">
        <v>1</v>
      </c>
      <c r="BF9">
        <v>200000</v>
      </c>
      <c r="BG9">
        <v>1</v>
      </c>
      <c r="BH9">
        <v>1</v>
      </c>
      <c r="BI9">
        <v>1</v>
      </c>
      <c r="BJ9">
        <v>1</v>
      </c>
      <c r="BK9" s="2">
        <v>0</v>
      </c>
      <c r="BL9">
        <v>1</v>
      </c>
      <c r="BM9" t="s">
        <v>619</v>
      </c>
      <c r="BN9">
        <v>2</v>
      </c>
    </row>
    <row r="10" spans="1:66">
      <c r="A10" s="859"/>
      <c r="B10" s="860"/>
      <c r="F10" s="165" t="s">
        <v>1120</v>
      </c>
      <c r="I10" s="68" t="s">
        <v>995</v>
      </c>
      <c r="L10" s="164"/>
      <c r="W10" s="125" t="s">
        <v>1082</v>
      </c>
      <c r="X10" s="125">
        <v>0</v>
      </c>
      <c r="Y10" s="7" t="s">
        <v>1152</v>
      </c>
      <c r="Z10" s="4">
        <f>VLOOKUP(B13,Table2[],5)</f>
        <v>0</v>
      </c>
      <c r="AA10">
        <f>VLOOKUP(B13,Table2[],4)</f>
        <v>0</v>
      </c>
      <c r="AB10">
        <f>VLOOKUP(B13,Table2[],9)*D13</f>
        <v>0</v>
      </c>
      <c r="AC10">
        <f>VLOOKUP(B13,Table2[],3)</f>
        <v>0</v>
      </c>
      <c r="AS10" s="123" t="str">
        <f>IF(OR(AND('Ship Info'!$F$7,'Ship Info'!$C$5&gt;=100),$B$4&gt;=100),AZ10,AW10)</f>
        <v>D Double Turret</v>
      </c>
      <c r="AT10" t="str">
        <f>IF(OR(AND('Ship Info'!$F$7,'Ship Info'!$C$5&gt;=100),$B$4&gt;=100),AZ10,AX10)</f>
        <v>D Double Turret</v>
      </c>
      <c r="AU10" t="str">
        <f>IF(OR(AND('Ship Info'!$F$7,'Ship Info'!$C$5&gt;=100),$B$4&gt;=100),AZ10,AY10)</f>
        <v>D Double Turret</v>
      </c>
      <c r="AV10" s="46" t="str">
        <f>IF(OR(AND('Ship Info'!$F$7,'Ship Info'!$C$5&gt;=100),$B$4&gt;=100),AZ10,AW10)</f>
        <v>D Double Turret</v>
      </c>
      <c r="AW10" s="78" t="s">
        <v>375</v>
      </c>
      <c r="AX10" s="78" t="s">
        <v>375</v>
      </c>
      <c r="AY10" s="78" t="s">
        <v>375</v>
      </c>
      <c r="AZ10" s="134" t="s">
        <v>374</v>
      </c>
      <c r="BB10" t="s">
        <v>374</v>
      </c>
      <c r="BC10">
        <v>8</v>
      </c>
      <c r="BD10">
        <v>1</v>
      </c>
      <c r="BE10">
        <v>1</v>
      </c>
      <c r="BF10">
        <v>500000</v>
      </c>
      <c r="BG10">
        <v>1</v>
      </c>
      <c r="BH10">
        <v>1</v>
      </c>
      <c r="BI10">
        <v>1</v>
      </c>
      <c r="BJ10">
        <v>2</v>
      </c>
      <c r="BK10" s="2">
        <v>1</v>
      </c>
      <c r="BL10">
        <v>1</v>
      </c>
      <c r="BM10" t="s">
        <v>620</v>
      </c>
      <c r="BN10">
        <v>2</v>
      </c>
    </row>
    <row r="11" spans="1:66" ht="16" thickBot="1">
      <c r="A11" s="68" t="str">
        <f>IF(B4&gt;=100,"HpID","FmPtID")</f>
        <v>HpID</v>
      </c>
      <c r="B11" s="68" t="s">
        <v>267</v>
      </c>
      <c r="C11" s="68" t="s">
        <v>1087</v>
      </c>
      <c r="D11" s="68" t="s">
        <v>308</v>
      </c>
      <c r="E11" s="68" t="s">
        <v>1072</v>
      </c>
      <c r="F11" s="68" t="s">
        <v>1073</v>
      </c>
      <c r="G11" s="68" t="s">
        <v>1074</v>
      </c>
      <c r="H11" s="68" t="s">
        <v>1088</v>
      </c>
      <c r="I11" s="68" t="s">
        <v>1076</v>
      </c>
      <c r="J11" s="68" t="s">
        <v>1075</v>
      </c>
      <c r="K11" s="69" t="s">
        <v>26</v>
      </c>
      <c r="L11" s="164"/>
      <c r="S11" s="70" t="s">
        <v>389</v>
      </c>
      <c r="T11" s="143" t="s">
        <v>1113</v>
      </c>
      <c r="U11" s="144" t="s">
        <v>1114</v>
      </c>
      <c r="V11" s="3"/>
      <c r="W11" s="124" t="s">
        <v>374</v>
      </c>
      <c r="X11" s="124">
        <v>1</v>
      </c>
      <c r="Y11" s="7" t="s">
        <v>1153</v>
      </c>
      <c r="Z11" s="4">
        <f>VLOOKUP(B14,Table2[],5)</f>
        <v>0</v>
      </c>
      <c r="AA11">
        <f>VLOOKUP(B14,Table2[],4)</f>
        <v>0</v>
      </c>
      <c r="AB11">
        <f>VLOOKUP(B14,Table2[],9)*D14</f>
        <v>0</v>
      </c>
      <c r="AC11">
        <f>VLOOKUP(B14,Table2[],3)</f>
        <v>0</v>
      </c>
      <c r="AS11" s="123" t="str">
        <f>IF(OR(AND('Ship Info'!$F$7,'Ship Info'!$C$5&gt;=100),$B$4&gt;=100),AZ11,AW11)</f>
        <v>E Triple Turret</v>
      </c>
      <c r="AT11" t="str">
        <f>IF(OR(AND('Ship Info'!$F$7,'Ship Info'!$C$5&gt;=100),$B$4&gt;=100),AZ11,AX11)</f>
        <v>E Triple Turret</v>
      </c>
      <c r="AU11" t="str">
        <f>IF(OR(AND('Ship Info'!$F$7,'Ship Info'!$C$5&gt;=100),$B$4&gt;=100),AZ11,AY11)</f>
        <v>E Triple Turret</v>
      </c>
      <c r="AV11" s="46" t="str">
        <f>IF(OR(AND('Ship Info'!$F$7,'Ship Info'!$C$5&gt;=100),$B$4&gt;=100),AZ11,AW11)</f>
        <v>E Triple Turret</v>
      </c>
      <c r="AW11" s="78" t="s">
        <v>375</v>
      </c>
      <c r="AX11" s="78" t="s">
        <v>375</v>
      </c>
      <c r="AY11" s="78" t="s">
        <v>375</v>
      </c>
      <c r="AZ11" s="133" t="s">
        <v>343</v>
      </c>
      <c r="BB11" t="s">
        <v>343</v>
      </c>
      <c r="BC11">
        <v>9</v>
      </c>
      <c r="BD11">
        <v>1</v>
      </c>
      <c r="BE11">
        <v>1</v>
      </c>
      <c r="BF11">
        <v>1000000</v>
      </c>
      <c r="BG11">
        <v>1</v>
      </c>
      <c r="BH11">
        <v>1</v>
      </c>
      <c r="BI11">
        <v>1</v>
      </c>
      <c r="BJ11">
        <v>3</v>
      </c>
      <c r="BK11" s="2">
        <v>2</v>
      </c>
      <c r="BL11">
        <v>1</v>
      </c>
      <c r="BM11" t="s">
        <v>621</v>
      </c>
      <c r="BN11">
        <v>2</v>
      </c>
    </row>
    <row r="12" spans="1:66" ht="16" thickBot="1">
      <c r="A12" s="195" t="str">
        <f t="shared" ref="A12:A31" si="0">V28</f>
        <v>HP01</v>
      </c>
      <c r="B12" s="214" t="s">
        <v>342</v>
      </c>
      <c r="C12" s="214" t="s">
        <v>1625</v>
      </c>
      <c r="D12" s="338">
        <v>3</v>
      </c>
      <c r="E12" s="215" t="s">
        <v>1160</v>
      </c>
      <c r="F12" s="215" t="s">
        <v>1095</v>
      </c>
      <c r="G12" s="215" t="s">
        <v>395</v>
      </c>
      <c r="H12" s="69">
        <f t="shared" ref="H12:H31" si="1">VLOOKUP(E12,$Z$51:$AL$76,9)+VLOOKUP(F12,$Z$51:$AL$76,9)+VLOOKUP(G12,$Z$51:$AL$76,9)</f>
        <v>2</v>
      </c>
      <c r="I12" s="198" t="s">
        <v>99</v>
      </c>
      <c r="J12" s="198" t="s">
        <v>99</v>
      </c>
      <c r="K12" s="67">
        <f>SUM(T12:U12)</f>
        <v>14</v>
      </c>
      <c r="L12" s="164">
        <f>AI28+IF(I12="Yes",AI28*0.5,0)+IF(J12="Yes",200000*AJ28*0.1,0)</f>
        <v>15750000</v>
      </c>
      <c r="N12" s="346">
        <f>AJ28*IF(J12="No",1,1.1)+IF(C12=AF101,2*D12,0)</f>
        <v>3</v>
      </c>
      <c r="Q12" s="242">
        <f>AK28</f>
        <v>21</v>
      </c>
      <c r="S12" s="166" t="str">
        <f>VLOOKUP(E12,Table5[],6)&amp;IF(F12=$Z$52,"",", "&amp;VLOOKUP(F12,Table5[],6))&amp;IF(G12=$Z$52,"",", "&amp;VLOOKUP(G12,Table5[],6))</f>
        <v>DM +1 to Repair, Uses 25% less Power</v>
      </c>
      <c r="T12" s="78">
        <f>IF(E5="No",VLOOKUP(C12,Table3[],2),MAX(V50:V53))</f>
        <v>12</v>
      </c>
      <c r="U12" s="46">
        <f>VLOOKUP(E12,Table5[],2)+VLOOKUP(F12,Table5[],2)+VLOOKUP(G12,Table5[],2)</f>
        <v>2</v>
      </c>
      <c r="W12" s="125" t="s">
        <v>1236</v>
      </c>
      <c r="X12" s="125">
        <v>0</v>
      </c>
      <c r="Y12" s="125"/>
      <c r="Z12" s="3" t="s">
        <v>1149</v>
      </c>
      <c r="AF12" s="44"/>
      <c r="AG12" s="47" t="s">
        <v>525</v>
      </c>
      <c r="AH12" s="121" t="s">
        <v>1669</v>
      </c>
      <c r="AS12" s="123" t="str">
        <f>IF(OR(AND('Ship Info'!$F$7,'Ship Info'!$C$5&gt;=100),$B$4&gt;=100),AZ12,AW12)</f>
        <v>F Quad Turret</v>
      </c>
      <c r="AT12" t="str">
        <f>IF(OR(AND('Ship Info'!$F$7,'Ship Info'!$C$5&gt;=100),$B$4&gt;=100),AZ12,AX12)</f>
        <v>F Quad Turret</v>
      </c>
      <c r="AU12" t="str">
        <f>IF(OR(AND('Ship Info'!$F$7,'Ship Info'!$C$5&gt;=100),$B$4&gt;=100),AZ12,AY12)</f>
        <v>F Quad Turret</v>
      </c>
      <c r="AV12" s="46" t="str">
        <f>IF(OR(AND('Ship Info'!$F$7,'Ship Info'!$C$5&gt;=100),$B$4&gt;=100),AZ12,AW12)</f>
        <v>F Quad Turret</v>
      </c>
      <c r="AW12" s="78" t="s">
        <v>375</v>
      </c>
      <c r="AX12" s="78" t="s">
        <v>375</v>
      </c>
      <c r="AY12" s="78" t="s">
        <v>375</v>
      </c>
      <c r="AZ12" s="134" t="s">
        <v>344</v>
      </c>
      <c r="BB12" t="s">
        <v>344</v>
      </c>
      <c r="BC12">
        <v>12</v>
      </c>
      <c r="BD12">
        <v>2</v>
      </c>
      <c r="BE12">
        <v>1</v>
      </c>
      <c r="BF12">
        <v>2000000</v>
      </c>
      <c r="BG12">
        <v>1</v>
      </c>
      <c r="BH12">
        <v>1</v>
      </c>
      <c r="BI12">
        <v>1</v>
      </c>
      <c r="BJ12">
        <v>4</v>
      </c>
      <c r="BK12" s="2">
        <v>3</v>
      </c>
      <c r="BL12">
        <v>1</v>
      </c>
      <c r="BM12" t="s">
        <v>622</v>
      </c>
      <c r="BN12">
        <v>2</v>
      </c>
    </row>
    <row r="13" spans="1:66" ht="16" thickBot="1">
      <c r="A13" s="196" t="str">
        <f t="shared" si="0"/>
        <v>HP02</v>
      </c>
      <c r="B13" s="216" t="s">
        <v>375</v>
      </c>
      <c r="C13" s="216" t="s">
        <v>1103</v>
      </c>
      <c r="D13" s="339">
        <v>0</v>
      </c>
      <c r="E13" s="217" t="s">
        <v>395</v>
      </c>
      <c r="F13" s="217" t="s">
        <v>395</v>
      </c>
      <c r="G13" s="217" t="s">
        <v>395</v>
      </c>
      <c r="H13" s="69">
        <f t="shared" si="1"/>
        <v>0</v>
      </c>
      <c r="I13" s="205" t="s">
        <v>99</v>
      </c>
      <c r="J13" s="205" t="s">
        <v>99</v>
      </c>
      <c r="K13" s="154">
        <f t="shared" ref="K13:K31" si="2">SUM(T13:U13)</f>
        <v>0</v>
      </c>
      <c r="L13" s="164">
        <f t="shared" ref="L13:L31" si="3">AI29+IF(I13="Yes",AI29*0.5,0)+IF(J13="Yes",200000*AJ29*0.1,0)</f>
        <v>0</v>
      </c>
      <c r="M13" s="154"/>
      <c r="N13" s="347">
        <f t="shared" ref="N13:N31" si="4">AJ29*IF(J13="No",1,1.1)</f>
        <v>0</v>
      </c>
      <c r="O13" s="154"/>
      <c r="P13" s="154"/>
      <c r="Q13" s="348">
        <f t="shared" ref="Q13:Q31" si="5">AK29</f>
        <v>0</v>
      </c>
      <c r="R13" s="154"/>
      <c r="S13" s="168" t="str">
        <f>VLOOKUP(E13,Table5[],6)&amp;IF(F13=$Z$52,"",", "&amp;VLOOKUP(F13,Table5[],6))&amp;IF(G13=$Z$52,"",", "&amp;VLOOKUP(G13,Table5[],6))</f>
        <v/>
      </c>
      <c r="T13" s="78">
        <f>IF(F5="No",VLOOKUP(C13,Table3[],2),MAX(W50:W53))</f>
        <v>0</v>
      </c>
      <c r="U13" s="46">
        <f>VLOOKUP(E13,Table5[],2)+VLOOKUP(F13,Table5[],2)+VLOOKUP(G13,Table5[],2)</f>
        <v>0</v>
      </c>
      <c r="W13" s="124" t="s">
        <v>1227</v>
      </c>
      <c r="X13" s="124">
        <v>0</v>
      </c>
      <c r="Y13" s="149" t="s">
        <v>353</v>
      </c>
      <c r="Z13" s="4">
        <f>VLOOKUP(B12,Table1[],5)</f>
        <v>200000</v>
      </c>
      <c r="AA13">
        <f>VLOOKUP(B12,Table1[],4)</f>
        <v>1</v>
      </c>
      <c r="AB13">
        <f>VLOOKUP(B12,Table1[],9)</f>
        <v>1</v>
      </c>
      <c r="AC13">
        <f>VLOOKUP(B12,Table1[],3)</f>
        <v>1</v>
      </c>
      <c r="AF13" s="78" t="s">
        <v>1211</v>
      </c>
      <c r="AG13" s="46">
        <f>VLOOKUP(B12,Table2[],7)+VLOOKUP(B13,Table2[],7)+VLOOKUP(B14,Table2[],7)</f>
        <v>1</v>
      </c>
      <c r="AH13" s="123">
        <f>2*AG13</f>
        <v>2</v>
      </c>
      <c r="AS13" s="123" t="str">
        <f>IF(OR(AND('Ship Info'!$F$7,'Ship Info'!$C$5&gt;=100),$B$4&gt;=100),AZ13,AW13)</f>
        <v>G Single Pop-Up</v>
      </c>
      <c r="AT13" t="str">
        <f>IF(OR(AND('Ship Info'!$F$7,'Ship Info'!$C$5&gt;=100),$B$4&gt;=100),AZ13,AX13)</f>
        <v>G Single Pop-Up</v>
      </c>
      <c r="AU13" t="str">
        <f>IF(OR(AND('Ship Info'!$F$7,'Ship Info'!$C$5&gt;=100),$B$4&gt;=100),AZ13,AY13)</f>
        <v>G Single Pop-Up</v>
      </c>
      <c r="AV13" s="46" t="str">
        <f>IF(OR(AND('Ship Info'!$F$7,'Ship Info'!$C$5&gt;=100),$B$4&gt;=100),AZ13,AW13)</f>
        <v>G Single Pop-Up</v>
      </c>
      <c r="AW13" s="78" t="s">
        <v>375</v>
      </c>
      <c r="AX13" s="78" t="s">
        <v>375</v>
      </c>
      <c r="AY13" s="78" t="s">
        <v>375</v>
      </c>
      <c r="AZ13" s="133" t="s">
        <v>313</v>
      </c>
      <c r="BB13" t="s">
        <v>313</v>
      </c>
      <c r="BC13">
        <v>10</v>
      </c>
      <c r="BD13">
        <v>1</v>
      </c>
      <c r="BE13">
        <v>2</v>
      </c>
      <c r="BF13">
        <v>1200000</v>
      </c>
      <c r="BG13">
        <v>1</v>
      </c>
      <c r="BH13">
        <v>1</v>
      </c>
      <c r="BI13">
        <v>1</v>
      </c>
      <c r="BJ13">
        <v>1</v>
      </c>
      <c r="BK13" s="2">
        <v>0</v>
      </c>
      <c r="BL13">
        <v>1</v>
      </c>
      <c r="BM13" t="s">
        <v>623</v>
      </c>
      <c r="BN13">
        <v>2</v>
      </c>
    </row>
    <row r="14" spans="1:66" ht="16" thickBot="1">
      <c r="A14" s="195" t="str">
        <f t="shared" si="0"/>
        <v>HP03</v>
      </c>
      <c r="B14" s="214" t="s">
        <v>375</v>
      </c>
      <c r="C14" s="214" t="s">
        <v>1103</v>
      </c>
      <c r="D14" s="338">
        <v>0</v>
      </c>
      <c r="E14" s="215" t="s">
        <v>395</v>
      </c>
      <c r="F14" s="215" t="s">
        <v>395</v>
      </c>
      <c r="G14" s="215" t="s">
        <v>395</v>
      </c>
      <c r="H14" s="69">
        <f t="shared" si="1"/>
        <v>0</v>
      </c>
      <c r="I14" s="198" t="s">
        <v>99</v>
      </c>
      <c r="J14" s="198" t="s">
        <v>99</v>
      </c>
      <c r="K14" s="67">
        <f t="shared" si="2"/>
        <v>0</v>
      </c>
      <c r="L14" s="164">
        <f t="shared" si="3"/>
        <v>0</v>
      </c>
      <c r="N14" s="346">
        <f t="shared" si="4"/>
        <v>0</v>
      </c>
      <c r="Q14" s="242">
        <f t="shared" si="5"/>
        <v>0</v>
      </c>
      <c r="S14" s="166" t="str">
        <f>VLOOKUP(E14,Table5[],6)&amp;IF(F14=$Z$52,"",", "&amp;VLOOKUP(F14,Table5[],6))&amp;IF(G14=$Z$52,"",", "&amp;VLOOKUP(G14,Table5[],6))</f>
        <v/>
      </c>
      <c r="T14" s="78">
        <f>IF(G5="No",VLOOKUP(C14,Table3[],2),MAX(X50:X53))</f>
        <v>0</v>
      </c>
      <c r="U14" s="46">
        <f>VLOOKUP(E14,Table5[],2)+VLOOKUP(F14,Table5[],2)+VLOOKUP(G14,Table5[],2)</f>
        <v>0</v>
      </c>
      <c r="W14" s="125" t="s">
        <v>343</v>
      </c>
      <c r="X14" s="125">
        <v>1</v>
      </c>
      <c r="Y14" s="7" t="s">
        <v>354</v>
      </c>
      <c r="Z14" s="4">
        <f>VLOOKUP(B13,Table1[],5)</f>
        <v>0</v>
      </c>
      <c r="AA14">
        <f>VLOOKUP(B13,Table1[],4)</f>
        <v>0</v>
      </c>
      <c r="AB14">
        <f>VLOOKUP(B13,Table1[],9)</f>
        <v>0</v>
      </c>
      <c r="AC14">
        <f>VLOOKUP(B13,Table1[],3)</f>
        <v>0</v>
      </c>
      <c r="AF14" s="78" t="s">
        <v>1212</v>
      </c>
      <c r="AG14" s="46">
        <f>VLOOKUP(B12,Table1[],7)*D12+VLOOKUP(B13,Table1[],7)*D13+VLOOKUP(B14,Table1[],7)*D14+VLOOKUP(B15,Table1[],7)*D15+VLOOKUP(B16,Table1[],7)*D16+VLOOKUP(B17,Table1[],7)*D17+VLOOKUP(B18,Table1[],7)*D18+VLOOKUP(B19,Table1[],7)*D19+VLOOKUP(B20,Table1[],7)*D20+VLOOKUP(B21,Table1[],7)*D21+VLOOKUP(B22,Table1[],7)*D22+VLOOKUP(B23,Table1[],7)*D23+VLOOKUP(B24,Table1[],7)*D24+VLOOKUP(B25,Table1[],7)*D25+VLOOKUP(B26,Table1[],7)*D26+VLOOKUP(B27,Table1[],7)*D27+VLOOKUP(B28,Table1[],7)*D28+VLOOKUP(B29,Table1[],7)*D29+VLOOKUP(B30,Table1[],7)*D30+VLOOKUP(B31,Table1[],7)*D31</f>
        <v>3</v>
      </c>
      <c r="AH14" s="123">
        <f>VLOOKUP(B12,Table1[],13)*D12+VLOOKUP(B13,Table1[],13)*D13+VLOOKUP(B14,Table1[],13)*D14+VLOOKUP(B15,Table1[],13)*D15+VLOOKUP(B16,Table1[],13)*D16+VLOOKUP(B17,Table1[],13)*D17+VLOOKUP(B18,Table1[],13)*D18+VLOOKUP(B19,Table1[],13)*D19+VLOOKUP(B20,Table1[],13)*D20+VLOOKUP(B21,Table1[],13)*D21+VLOOKUP(B22,Table1[],13)*D22+VLOOKUP(B23,Table1[],13)*D23+VLOOKUP(B24,Table1[],13)*D24+VLOOKUP(B25,Table1[],13)*D25+VLOOKUP(B26,Table1[],13)*D26+VLOOKUP(B27,Table1[],13)*D27+VLOOKUP(B28,Table1[],13)*D28+VLOOKUP(B29,Table1[],13)*D29+VLOOKUP(B30,Table1[],13)*D30+VLOOKUP(B31,Table1[],13)*D31</f>
        <v>6</v>
      </c>
      <c r="AI14">
        <f>D12*(IF($B$4&lt;100,Z9,Z13)+IF(E5="No",Z19,Z23))</f>
        <v>12600000</v>
      </c>
      <c r="AS14" s="123" t="str">
        <f>IF(OR(AND('Ship Info'!$F$7,'Ship Info'!$C$5&gt;=100),$B$4&gt;=100),AZ14,AW14)</f>
        <v>H Double Pop-Up</v>
      </c>
      <c r="AT14" t="str">
        <f>IF(OR(AND('Ship Info'!$F$7,'Ship Info'!$C$5&gt;=100),$B$4&gt;=100),AZ14,AX14)</f>
        <v>H Double Pop-Up</v>
      </c>
      <c r="AU14" t="str">
        <f>IF(OR(AND('Ship Info'!$F$7,'Ship Info'!$C$5&gt;=100),$B$4&gt;=100),AZ14,AY14)</f>
        <v>H Double Pop-Up</v>
      </c>
      <c r="AV14" s="46" t="str">
        <f>IF(OR(AND('Ship Info'!$F$7,'Ship Info'!$C$5&gt;=100),$B$4&gt;=100),AZ14,AW14)</f>
        <v>H Double Pop-Up</v>
      </c>
      <c r="AW14" s="78" t="s">
        <v>375</v>
      </c>
      <c r="AX14" s="78" t="s">
        <v>375</v>
      </c>
      <c r="AY14" s="78" t="s">
        <v>375</v>
      </c>
      <c r="AZ14" s="134" t="s">
        <v>314</v>
      </c>
      <c r="BB14" t="s">
        <v>314</v>
      </c>
      <c r="BC14">
        <v>10</v>
      </c>
      <c r="BD14">
        <v>1</v>
      </c>
      <c r="BE14">
        <v>2</v>
      </c>
      <c r="BF14">
        <v>1500000</v>
      </c>
      <c r="BG14">
        <v>1</v>
      </c>
      <c r="BH14">
        <v>1</v>
      </c>
      <c r="BI14">
        <v>1</v>
      </c>
      <c r="BJ14">
        <v>2</v>
      </c>
      <c r="BK14" s="2">
        <v>1</v>
      </c>
      <c r="BL14">
        <v>1</v>
      </c>
      <c r="BM14" t="s">
        <v>624</v>
      </c>
      <c r="BN14">
        <v>2</v>
      </c>
    </row>
    <row r="15" spans="1:66" ht="16" thickBot="1">
      <c r="A15" s="167" t="str">
        <f t="shared" si="0"/>
        <v>HP04</v>
      </c>
      <c r="B15" s="206" t="s">
        <v>375</v>
      </c>
      <c r="C15" s="206" t="s">
        <v>1103</v>
      </c>
      <c r="D15" s="340">
        <v>0</v>
      </c>
      <c r="E15" s="218" t="s">
        <v>395</v>
      </c>
      <c r="F15" s="218" t="s">
        <v>395</v>
      </c>
      <c r="G15" s="218" t="s">
        <v>395</v>
      </c>
      <c r="H15" s="69">
        <f t="shared" si="1"/>
        <v>0</v>
      </c>
      <c r="I15" s="205" t="s">
        <v>99</v>
      </c>
      <c r="J15" s="205" t="s">
        <v>99</v>
      </c>
      <c r="K15" s="154">
        <f t="shared" si="2"/>
        <v>0</v>
      </c>
      <c r="L15" s="164">
        <f t="shared" si="3"/>
        <v>0</v>
      </c>
      <c r="M15" s="154"/>
      <c r="N15" s="347">
        <f t="shared" si="4"/>
        <v>0</v>
      </c>
      <c r="O15" s="154"/>
      <c r="P15" s="154"/>
      <c r="Q15" s="348">
        <f t="shared" si="5"/>
        <v>0</v>
      </c>
      <c r="R15" s="154"/>
      <c r="S15" s="168" t="str">
        <f>VLOOKUP(E15,Table5[],6)&amp;IF(F15=$Z$52,"",", "&amp;VLOOKUP(F15,Table5[],6))&amp;IF(G15=$Z$52,"",", "&amp;VLOOKUP(G15,Table5[],6))</f>
        <v/>
      </c>
      <c r="T15" s="78">
        <f>INDEX(Table3[],MATCH(C15,Table3[Weapon],0),2)</f>
        <v>0</v>
      </c>
      <c r="U15" s="46">
        <f>VLOOKUP(E15,Table5[],2)+VLOOKUP(F15,Table5[],2)+VLOOKUP(G15,Table5[],2)</f>
        <v>0</v>
      </c>
      <c r="W15" s="124" t="s">
        <v>344</v>
      </c>
      <c r="X15" s="124">
        <v>1</v>
      </c>
      <c r="Y15" s="7" t="s">
        <v>355</v>
      </c>
      <c r="Z15" s="4">
        <f>VLOOKUP(B14,Table1[],5)</f>
        <v>0</v>
      </c>
      <c r="AA15">
        <f>VLOOKUP(B14,Table1[],4)</f>
        <v>0</v>
      </c>
      <c r="AB15">
        <f>VLOOKUP(B14,Table1[],9)</f>
        <v>0</v>
      </c>
      <c r="AC15">
        <f>VLOOKUP(B14,Table1[],3)</f>
        <v>0</v>
      </c>
      <c r="AF15" s="86" t="s">
        <v>1213</v>
      </c>
      <c r="AG15" s="79">
        <f>IF(AND('Ship Info'!F7,'Ship Info'!C5&gt;=100),AG14,IF(B4&lt;100,AG13,AG14))</f>
        <v>3</v>
      </c>
      <c r="AH15" s="122">
        <f>IF(AND('Ship Info'!F7,'Ship Info'!C5&gt;=100),AH14,IF(B4&lt;100,AH13,AH14))</f>
        <v>6</v>
      </c>
      <c r="AS15" s="123" t="str">
        <f>IF(OR(AND('Ship Info'!$F$7,'Ship Info'!$C$5&gt;=100),$B$4&gt;=100),AZ15,AW15)</f>
        <v>I Triple Pop-Up</v>
      </c>
      <c r="AT15" t="str">
        <f>IF(OR(AND('Ship Info'!$F$7,'Ship Info'!$C$5&gt;=100),$B$4&gt;=100),AZ15,AX15)</f>
        <v>I Triple Pop-Up</v>
      </c>
      <c r="AU15" t="str">
        <f>IF(OR(AND('Ship Info'!$F$7,'Ship Info'!$C$5&gt;=100),$B$4&gt;=100),AZ15,AY15)</f>
        <v>I Triple Pop-Up</v>
      </c>
      <c r="AV15" s="46" t="str">
        <f>IF(OR(AND('Ship Info'!$F$7,'Ship Info'!$C$5&gt;=100),$B$4&gt;=100),AZ15,AW15)</f>
        <v>I Triple Pop-Up</v>
      </c>
      <c r="AW15" s="78" t="s">
        <v>375</v>
      </c>
      <c r="AX15" s="78" t="s">
        <v>375</v>
      </c>
      <c r="AY15" s="78" t="s">
        <v>375</v>
      </c>
      <c r="AZ15" s="133" t="s">
        <v>315</v>
      </c>
      <c r="BB15" t="s">
        <v>315</v>
      </c>
      <c r="BC15">
        <v>10</v>
      </c>
      <c r="BD15">
        <v>1</v>
      </c>
      <c r="BE15">
        <v>2</v>
      </c>
      <c r="BF15">
        <v>2000000</v>
      </c>
      <c r="BG15">
        <v>1</v>
      </c>
      <c r="BH15">
        <v>1</v>
      </c>
      <c r="BI15">
        <v>1</v>
      </c>
      <c r="BJ15">
        <v>3</v>
      </c>
      <c r="BK15" s="2">
        <v>2</v>
      </c>
      <c r="BL15">
        <v>1</v>
      </c>
      <c r="BM15" t="s">
        <v>625</v>
      </c>
      <c r="BN15">
        <v>2</v>
      </c>
    </row>
    <row r="16" spans="1:66" ht="16" thickBot="1">
      <c r="A16" s="70" t="str">
        <f t="shared" si="0"/>
        <v>HP05</v>
      </c>
      <c r="B16" s="197" t="s">
        <v>375</v>
      </c>
      <c r="C16" s="197" t="s">
        <v>1103</v>
      </c>
      <c r="D16" s="235">
        <v>0</v>
      </c>
      <c r="E16" s="219" t="s">
        <v>395</v>
      </c>
      <c r="F16" s="219" t="s">
        <v>395</v>
      </c>
      <c r="G16" s="219" t="s">
        <v>395</v>
      </c>
      <c r="H16" s="69">
        <f t="shared" si="1"/>
        <v>0</v>
      </c>
      <c r="I16" s="198" t="s">
        <v>99</v>
      </c>
      <c r="J16" s="198" t="s">
        <v>99</v>
      </c>
      <c r="K16" s="67">
        <f t="shared" si="2"/>
        <v>0</v>
      </c>
      <c r="L16" s="164">
        <f t="shared" si="3"/>
        <v>0</v>
      </c>
      <c r="N16" s="346">
        <f t="shared" si="4"/>
        <v>0</v>
      </c>
      <c r="Q16" s="242">
        <f t="shared" si="5"/>
        <v>0</v>
      </c>
      <c r="S16" s="166" t="str">
        <f>VLOOKUP(E16,Table5[],6)&amp;IF(F16=$Z$52,"",", "&amp;VLOOKUP(F16,Table5[],6))&amp;IF(G16=$Z$52,"",", "&amp;VLOOKUP(G16,Table5[],6))</f>
        <v/>
      </c>
      <c r="T16" s="78">
        <f>INDEX(Table3[],MATCH(C16,Table3[Weapon],0),2)</f>
        <v>0</v>
      </c>
      <c r="U16" s="46">
        <f>VLOOKUP(E16,Table5[],2)+VLOOKUP(F16,Table5[],2)+VLOOKUP(G16,Table5[],2)</f>
        <v>0</v>
      </c>
      <c r="W16" s="125" t="s">
        <v>313</v>
      </c>
      <c r="X16" s="125">
        <v>1</v>
      </c>
      <c r="Y16" s="125"/>
      <c r="AC16" t="s">
        <v>123</v>
      </c>
      <c r="AD16" t="s">
        <v>1</v>
      </c>
      <c r="AS16" s="123" t="str">
        <f>IF(OR(AND('Ship Info'!$F$7,'Ship Info'!$C$5&gt;=100),$B$4&gt;=100),AZ16,AW16)</f>
        <v>J Quad Pop-Up</v>
      </c>
      <c r="AT16" t="str">
        <f>IF(OR(AND('Ship Info'!$F$7,'Ship Info'!$C$5&gt;=100),$B$4&gt;=100),AZ16,AX16)</f>
        <v>J Quad Pop-Up</v>
      </c>
      <c r="AU16" t="str">
        <f>IF(OR(AND('Ship Info'!$F$7,'Ship Info'!$C$5&gt;=100),$B$4&gt;=100),AZ16,AY16)</f>
        <v>J Quad Pop-Up</v>
      </c>
      <c r="AV16" s="46" t="str">
        <f>IF(OR(AND('Ship Info'!$F$7,'Ship Info'!$C$5&gt;=100),$B$4&gt;=100),AZ16,AW16)</f>
        <v>J Quad Pop-Up</v>
      </c>
      <c r="AW16" s="78" t="s">
        <v>375</v>
      </c>
      <c r="AX16" s="78" t="s">
        <v>375</v>
      </c>
      <c r="AY16" s="78" t="s">
        <v>375</v>
      </c>
      <c r="AZ16" s="134" t="s">
        <v>316</v>
      </c>
      <c r="BB16" t="s">
        <v>316</v>
      </c>
      <c r="BC16">
        <v>12</v>
      </c>
      <c r="BD16">
        <v>2</v>
      </c>
      <c r="BE16">
        <v>2</v>
      </c>
      <c r="BF16">
        <v>3000000</v>
      </c>
      <c r="BG16">
        <v>1</v>
      </c>
      <c r="BH16">
        <v>1</v>
      </c>
      <c r="BI16">
        <v>1</v>
      </c>
      <c r="BJ16">
        <v>4</v>
      </c>
      <c r="BK16" s="2">
        <v>3</v>
      </c>
      <c r="BL16">
        <v>1</v>
      </c>
      <c r="BM16" t="s">
        <v>626</v>
      </c>
      <c r="BN16">
        <v>2</v>
      </c>
    </row>
    <row r="17" spans="1:71" ht="16" thickBot="1">
      <c r="A17" s="167" t="str">
        <f t="shared" si="0"/>
        <v>HP06</v>
      </c>
      <c r="B17" s="206" t="s">
        <v>375</v>
      </c>
      <c r="C17" s="206" t="s">
        <v>1103</v>
      </c>
      <c r="D17" s="340">
        <v>0</v>
      </c>
      <c r="E17" s="218" t="s">
        <v>395</v>
      </c>
      <c r="F17" s="218" t="s">
        <v>395</v>
      </c>
      <c r="G17" s="218" t="s">
        <v>395</v>
      </c>
      <c r="H17" s="69">
        <f t="shared" si="1"/>
        <v>0</v>
      </c>
      <c r="I17" s="205" t="s">
        <v>99</v>
      </c>
      <c r="J17" s="205" t="s">
        <v>99</v>
      </c>
      <c r="K17" s="154">
        <f t="shared" si="2"/>
        <v>0</v>
      </c>
      <c r="L17" s="164">
        <f t="shared" si="3"/>
        <v>0</v>
      </c>
      <c r="M17" s="154"/>
      <c r="N17" s="347">
        <f t="shared" si="4"/>
        <v>0</v>
      </c>
      <c r="O17" s="154"/>
      <c r="P17" s="154"/>
      <c r="Q17" s="348">
        <f t="shared" si="5"/>
        <v>0</v>
      </c>
      <c r="R17" s="154"/>
      <c r="S17" s="168" t="str">
        <f>VLOOKUP(E17,Table5[],6)&amp;IF(F17=$Z$52,"",", "&amp;VLOOKUP(F17,Table5[],6))&amp;IF(G17=$Z$52,"",", "&amp;VLOOKUP(G17,Table5[],6))</f>
        <v/>
      </c>
      <c r="T17" s="78">
        <f>INDEX(Table3[],MATCH(C17,Table3[Weapon],0),2)</f>
        <v>0</v>
      </c>
      <c r="U17" s="46">
        <f>VLOOKUP(E17,Table5[],2)+VLOOKUP(F17,Table5[],2)+VLOOKUP(G17,Table5[],2)</f>
        <v>0</v>
      </c>
      <c r="W17" s="124" t="s">
        <v>314</v>
      </c>
      <c r="X17" s="124">
        <v>1</v>
      </c>
      <c r="Y17" s="125"/>
      <c r="AC17" s="44">
        <v>0</v>
      </c>
      <c r="AD17" s="47">
        <v>0</v>
      </c>
      <c r="AS17" s="122"/>
      <c r="AT17" s="28"/>
      <c r="AU17" s="28"/>
      <c r="AV17" s="46" t="str">
        <f>IF(OR(AND('Ship Info'!$F$7,'Ship Info'!$C$5&gt;=100),$B$4&gt;=100),AZ17,AW17)</f>
        <v>K Barbette</v>
      </c>
      <c r="AW17" s="78" t="s">
        <v>375</v>
      </c>
      <c r="AX17" s="78" t="s">
        <v>375</v>
      </c>
      <c r="AY17" s="78" t="s">
        <v>375</v>
      </c>
      <c r="AZ17" s="133" t="s">
        <v>317</v>
      </c>
      <c r="BB17" t="s">
        <v>317</v>
      </c>
      <c r="BC17">
        <v>0</v>
      </c>
      <c r="BD17">
        <v>0</v>
      </c>
      <c r="BE17">
        <v>5</v>
      </c>
      <c r="BF17">
        <v>0</v>
      </c>
      <c r="BG17">
        <v>1</v>
      </c>
      <c r="BH17">
        <v>1</v>
      </c>
      <c r="BI17">
        <v>2</v>
      </c>
      <c r="BJ17">
        <v>1</v>
      </c>
      <c r="BK17" s="2" t="str">
        <f>""</f>
        <v/>
      </c>
      <c r="BL17">
        <v>1</v>
      </c>
      <c r="BM17" t="s">
        <v>309</v>
      </c>
      <c r="BN17">
        <v>2</v>
      </c>
    </row>
    <row r="18" spans="1:71" ht="16" thickBot="1">
      <c r="A18" s="70" t="str">
        <f t="shared" si="0"/>
        <v>HP07</v>
      </c>
      <c r="B18" s="197" t="s">
        <v>375</v>
      </c>
      <c r="C18" s="197" t="s">
        <v>1103</v>
      </c>
      <c r="D18" s="235">
        <v>0</v>
      </c>
      <c r="E18" s="219" t="s">
        <v>395</v>
      </c>
      <c r="F18" s="219" t="s">
        <v>395</v>
      </c>
      <c r="G18" s="219" t="s">
        <v>395</v>
      </c>
      <c r="H18" s="69">
        <f t="shared" si="1"/>
        <v>0</v>
      </c>
      <c r="I18" s="198" t="s">
        <v>99</v>
      </c>
      <c r="J18" s="198" t="s">
        <v>99</v>
      </c>
      <c r="K18" s="67">
        <f t="shared" si="2"/>
        <v>0</v>
      </c>
      <c r="L18" s="164">
        <f t="shared" si="3"/>
        <v>0</v>
      </c>
      <c r="N18" s="346">
        <f t="shared" si="4"/>
        <v>0</v>
      </c>
      <c r="Q18" s="242">
        <f t="shared" si="5"/>
        <v>0</v>
      </c>
      <c r="S18" s="166" t="str">
        <f>VLOOKUP(E18,Table5[],6)&amp;IF(F18=$Z$52,"",", "&amp;VLOOKUP(F18,Table5[],6))&amp;IF(G18=$Z$52,"",", "&amp;VLOOKUP(G18,Table5[],6))</f>
        <v/>
      </c>
      <c r="T18" s="78">
        <f>INDEX(Table3[],MATCH(C18,Table3[Weapon],0),2)</f>
        <v>0</v>
      </c>
      <c r="U18" s="46">
        <f>VLOOKUP(E18,Table5[],2)+VLOOKUP(F18,Table5[],2)+VLOOKUP(G18,Table5[],2)</f>
        <v>0</v>
      </c>
      <c r="W18" s="125" t="s">
        <v>315</v>
      </c>
      <c r="X18" s="125">
        <v>1</v>
      </c>
      <c r="Y18" s="125"/>
      <c r="Z18" t="s">
        <v>1150</v>
      </c>
      <c r="AA18" t="s">
        <v>1191</v>
      </c>
      <c r="AC18" s="78">
        <v>1</v>
      </c>
      <c r="AD18" s="46">
        <v>0.1</v>
      </c>
      <c r="AV18" s="46" t="str">
        <f>IF(OR(AND('Ship Info'!$F$7,'Ship Info'!$C$5&gt;=100),$B$4&gt;=100),AZ18,AW18)</f>
        <v>L Point Defense Btty</v>
      </c>
      <c r="AW18" s="78" t="s">
        <v>375</v>
      </c>
      <c r="AX18" s="78" t="s">
        <v>375</v>
      </c>
      <c r="AY18" s="78" t="s">
        <v>375</v>
      </c>
      <c r="AZ18" s="134" t="s">
        <v>318</v>
      </c>
      <c r="BB18" t="s">
        <v>318</v>
      </c>
      <c r="BC18">
        <v>0</v>
      </c>
      <c r="BD18">
        <v>0</v>
      </c>
      <c r="BE18">
        <v>20</v>
      </c>
      <c r="BF18">
        <v>0</v>
      </c>
      <c r="BG18">
        <v>1</v>
      </c>
      <c r="BH18">
        <v>1</v>
      </c>
      <c r="BI18">
        <v>3</v>
      </c>
      <c r="BJ18">
        <v>1</v>
      </c>
      <c r="BK18" s="2" t="str">
        <f>""</f>
        <v/>
      </c>
      <c r="BL18">
        <v>1</v>
      </c>
      <c r="BM18" t="s">
        <v>627</v>
      </c>
      <c r="BN18">
        <v>1</v>
      </c>
    </row>
    <row r="19" spans="1:71" ht="16" thickBot="1">
      <c r="A19" s="167" t="str">
        <f t="shared" si="0"/>
        <v>HP08</v>
      </c>
      <c r="B19" s="206" t="s">
        <v>375</v>
      </c>
      <c r="C19" s="206" t="s">
        <v>1103</v>
      </c>
      <c r="D19" s="340">
        <v>0</v>
      </c>
      <c r="E19" s="218" t="s">
        <v>395</v>
      </c>
      <c r="F19" s="218" t="s">
        <v>395</v>
      </c>
      <c r="G19" s="218" t="s">
        <v>395</v>
      </c>
      <c r="H19" s="69">
        <f t="shared" si="1"/>
        <v>0</v>
      </c>
      <c r="I19" s="205" t="s">
        <v>99</v>
      </c>
      <c r="J19" s="205" t="s">
        <v>99</v>
      </c>
      <c r="K19" s="154">
        <f t="shared" si="2"/>
        <v>0</v>
      </c>
      <c r="L19" s="164">
        <f t="shared" si="3"/>
        <v>0</v>
      </c>
      <c r="M19" s="154"/>
      <c r="N19" s="347">
        <f t="shared" si="4"/>
        <v>0</v>
      </c>
      <c r="O19" s="154"/>
      <c r="P19" s="154"/>
      <c r="Q19" s="348">
        <f t="shared" si="5"/>
        <v>0</v>
      </c>
      <c r="R19" s="154"/>
      <c r="S19" s="168" t="str">
        <f>VLOOKUP(E19,Table5[],6)&amp;IF(F19=$Z$52,"",", "&amp;VLOOKUP(F19,Table5[],6))&amp;IF(G19=$Z$52,"",", "&amp;VLOOKUP(G19,Table5[],6))</f>
        <v/>
      </c>
      <c r="T19" s="78">
        <f>INDEX(Table3[],MATCH(C19,Table3[Weapon],0),2)</f>
        <v>0</v>
      </c>
      <c r="U19" s="46">
        <f>VLOOKUP(E19,Table5[],2)+VLOOKUP(F19,Table5[],2)+VLOOKUP(G19,Table5[],2)</f>
        <v>0</v>
      </c>
      <c r="W19" s="124" t="s">
        <v>316</v>
      </c>
      <c r="X19" s="124">
        <v>1</v>
      </c>
      <c r="Y19" s="149" t="s">
        <v>353</v>
      </c>
      <c r="Z19" s="4">
        <f>VLOOKUP(C12,Table3[],7)*AA19</f>
        <v>4000000</v>
      </c>
      <c r="AA19">
        <f>IF(B12=Z7,1,IF(B4&lt;100,AB9,AB13))</f>
        <v>1</v>
      </c>
      <c r="AC19" s="78">
        <v>2</v>
      </c>
      <c r="AD19" s="46">
        <v>0.25</v>
      </c>
      <c r="AV19" s="46" t="str">
        <f>IF(OR(AND('Ship Info'!$F$7,'Ship Info'!$C$5&gt;=100),$B$4&gt;=100),AZ19,AW19)</f>
        <v>M Small Bay</v>
      </c>
      <c r="AW19" s="78" t="s">
        <v>375</v>
      </c>
      <c r="AX19" s="78" t="s">
        <v>375</v>
      </c>
      <c r="AY19" s="78" t="s">
        <v>375</v>
      </c>
      <c r="AZ19" s="133" t="s">
        <v>319</v>
      </c>
      <c r="BB19" t="s">
        <v>319</v>
      </c>
      <c r="BC19">
        <v>0</v>
      </c>
      <c r="BD19">
        <v>0</v>
      </c>
      <c r="BE19">
        <v>50</v>
      </c>
      <c r="BF19">
        <v>0</v>
      </c>
      <c r="BG19">
        <v>1</v>
      </c>
      <c r="BH19">
        <v>1</v>
      </c>
      <c r="BI19">
        <v>4</v>
      </c>
      <c r="BJ19">
        <v>1</v>
      </c>
      <c r="BK19" s="2" t="str">
        <f>""</f>
        <v/>
      </c>
      <c r="BL19">
        <v>1</v>
      </c>
      <c r="BM19" t="s">
        <v>346</v>
      </c>
      <c r="BN19">
        <v>1</v>
      </c>
    </row>
    <row r="20" spans="1:71" ht="16" thickBot="1">
      <c r="A20" s="70" t="str">
        <f t="shared" si="0"/>
        <v>HP09</v>
      </c>
      <c r="B20" s="197" t="s">
        <v>375</v>
      </c>
      <c r="C20" s="197" t="s">
        <v>1103</v>
      </c>
      <c r="D20" s="235">
        <v>0</v>
      </c>
      <c r="E20" s="219" t="s">
        <v>395</v>
      </c>
      <c r="F20" s="219" t="s">
        <v>395</v>
      </c>
      <c r="G20" s="219" t="s">
        <v>395</v>
      </c>
      <c r="H20" s="69">
        <f t="shared" si="1"/>
        <v>0</v>
      </c>
      <c r="I20" s="198" t="s">
        <v>99</v>
      </c>
      <c r="J20" s="198" t="s">
        <v>99</v>
      </c>
      <c r="K20" s="67">
        <f t="shared" si="2"/>
        <v>0</v>
      </c>
      <c r="L20" s="164">
        <f t="shared" si="3"/>
        <v>0</v>
      </c>
      <c r="N20" s="346">
        <f t="shared" si="4"/>
        <v>0</v>
      </c>
      <c r="Q20" s="242">
        <f t="shared" si="5"/>
        <v>0</v>
      </c>
      <c r="S20" s="166" t="str">
        <f>VLOOKUP(E20,Table5[],6)&amp;IF(F20=$Z$52,"",", "&amp;VLOOKUP(F20,Table5[],6))&amp;IF(G20=$Z$52,"",", "&amp;VLOOKUP(G20,Table5[],6))</f>
        <v/>
      </c>
      <c r="T20" s="78">
        <f>INDEX(Table3[],MATCH(C20,Table3[Weapon],0),2)</f>
        <v>0</v>
      </c>
      <c r="U20" s="46">
        <f>VLOOKUP(E20,Table5[],2)+VLOOKUP(F20,Table5[],2)+VLOOKUP(G20,Table5[],2)</f>
        <v>0</v>
      </c>
      <c r="W20" s="125" t="s">
        <v>317</v>
      </c>
      <c r="X20" s="125">
        <v>1</v>
      </c>
      <c r="Y20" s="7" t="s">
        <v>354</v>
      </c>
      <c r="Z20" s="4">
        <f>VLOOKUP(C13,Table3[],7)*AA20</f>
        <v>0</v>
      </c>
      <c r="AA20">
        <f>IF(B13=Z7,1,IF(B4&lt;100,AB10,AB14))</f>
        <v>0</v>
      </c>
      <c r="AC20" s="86">
        <v>3</v>
      </c>
      <c r="AD20" s="79">
        <v>0.5</v>
      </c>
      <c r="AV20" s="46" t="str">
        <f>IF(OR(AND('Ship Info'!$F$7,'Ship Info'!$C$5&gt;=100),$B$4&gt;=100),AZ20,AW20)</f>
        <v>N Medium Bay</v>
      </c>
      <c r="AW20" s="78" t="s">
        <v>375</v>
      </c>
      <c r="AX20" s="78" t="s">
        <v>375</v>
      </c>
      <c r="AY20" s="78" t="s">
        <v>375</v>
      </c>
      <c r="AZ20" s="134" t="s">
        <v>320</v>
      </c>
      <c r="BB20" t="s">
        <v>320</v>
      </c>
      <c r="BC20">
        <v>0</v>
      </c>
      <c r="BD20">
        <v>0</v>
      </c>
      <c r="BE20">
        <v>100</v>
      </c>
      <c r="BF20">
        <v>0</v>
      </c>
      <c r="BG20">
        <v>1</v>
      </c>
      <c r="BH20">
        <v>2</v>
      </c>
      <c r="BI20">
        <v>5</v>
      </c>
      <c r="BJ20">
        <v>1</v>
      </c>
      <c r="BK20" s="2" t="str">
        <f>""</f>
        <v/>
      </c>
      <c r="BL20">
        <v>1</v>
      </c>
      <c r="BM20" t="s">
        <v>349</v>
      </c>
      <c r="BN20">
        <v>2</v>
      </c>
    </row>
    <row r="21" spans="1:71" ht="16" thickBot="1">
      <c r="A21" s="167" t="str">
        <f t="shared" si="0"/>
        <v>HP10</v>
      </c>
      <c r="B21" s="206" t="s">
        <v>375</v>
      </c>
      <c r="C21" s="206" t="s">
        <v>1103</v>
      </c>
      <c r="D21" s="340">
        <v>0</v>
      </c>
      <c r="E21" s="218" t="s">
        <v>395</v>
      </c>
      <c r="F21" s="218" t="s">
        <v>395</v>
      </c>
      <c r="G21" s="218" t="s">
        <v>395</v>
      </c>
      <c r="H21" s="69">
        <f t="shared" si="1"/>
        <v>0</v>
      </c>
      <c r="I21" s="205" t="s">
        <v>99</v>
      </c>
      <c r="J21" s="205" t="s">
        <v>99</v>
      </c>
      <c r="K21" s="154">
        <f t="shared" si="2"/>
        <v>0</v>
      </c>
      <c r="L21" s="164">
        <f t="shared" si="3"/>
        <v>0</v>
      </c>
      <c r="M21" s="154"/>
      <c r="N21" s="347">
        <f t="shared" si="4"/>
        <v>0</v>
      </c>
      <c r="O21" s="154"/>
      <c r="P21" s="154"/>
      <c r="Q21" s="348">
        <f t="shared" si="5"/>
        <v>0</v>
      </c>
      <c r="R21" s="154"/>
      <c r="S21" s="168" t="str">
        <f>VLOOKUP(E21,Table5[],6)&amp;IF(F21=$Z$52,"",", "&amp;VLOOKUP(F21,Table5[],6))&amp;IF(G21=$Z$52,"",", "&amp;VLOOKUP(G21,Table5[],6))</f>
        <v/>
      </c>
      <c r="T21" s="78">
        <f>INDEX(Table3[],MATCH(C21,Table3[Weapon],0),2)</f>
        <v>0</v>
      </c>
      <c r="U21" s="46">
        <f>VLOOKUP(E21,Table5[],2)+VLOOKUP(F21,Table5[],2)+VLOOKUP(G21,Table5[],2)</f>
        <v>0</v>
      </c>
      <c r="W21" s="124" t="s">
        <v>318</v>
      </c>
      <c r="X21" s="124">
        <v>1</v>
      </c>
      <c r="Y21" s="7" t="s">
        <v>355</v>
      </c>
      <c r="Z21" s="4">
        <f>VLOOKUP(C14,Table3[],7)*AA21</f>
        <v>0</v>
      </c>
      <c r="AA21">
        <f>IF(B14=Z7,1,IF(B4&lt;100,AB11,AB15))</f>
        <v>0</v>
      </c>
      <c r="AV21" s="46" t="str">
        <f>IF(OR(AND('Ship Info'!$F$7,'Ship Info'!$C$5&gt;=100),$B$4&gt;=100),AZ21,AW21)</f>
        <v>O Large Bay</v>
      </c>
      <c r="AW21" s="78" t="s">
        <v>375</v>
      </c>
      <c r="AX21" s="78" t="s">
        <v>375</v>
      </c>
      <c r="AY21" s="78" t="s">
        <v>375</v>
      </c>
      <c r="AZ21" s="133" t="s">
        <v>321</v>
      </c>
      <c r="BB21" t="s">
        <v>321</v>
      </c>
      <c r="BC21">
        <v>0</v>
      </c>
      <c r="BD21">
        <v>0</v>
      </c>
      <c r="BE21">
        <v>500</v>
      </c>
      <c r="BF21">
        <v>0</v>
      </c>
      <c r="BG21">
        <v>5</v>
      </c>
      <c r="BH21">
        <v>4</v>
      </c>
      <c r="BI21">
        <v>6</v>
      </c>
      <c r="BJ21">
        <v>1</v>
      </c>
      <c r="BK21" s="2" t="str">
        <f>""</f>
        <v/>
      </c>
      <c r="BL21">
        <v>1</v>
      </c>
      <c r="BM21" t="s">
        <v>352</v>
      </c>
      <c r="BN21">
        <v>4</v>
      </c>
    </row>
    <row r="22" spans="1:71" ht="16" thickBot="1">
      <c r="A22" s="70" t="str">
        <f t="shared" si="0"/>
        <v>HP11</v>
      </c>
      <c r="B22" s="197" t="s">
        <v>375</v>
      </c>
      <c r="C22" s="197" t="s">
        <v>1103</v>
      </c>
      <c r="D22" s="235">
        <v>0</v>
      </c>
      <c r="E22" s="219" t="s">
        <v>395</v>
      </c>
      <c r="F22" s="219" t="s">
        <v>395</v>
      </c>
      <c r="G22" s="219" t="s">
        <v>395</v>
      </c>
      <c r="H22" s="69">
        <f t="shared" si="1"/>
        <v>0</v>
      </c>
      <c r="I22" s="198" t="s">
        <v>99</v>
      </c>
      <c r="J22" s="198" t="s">
        <v>99</v>
      </c>
      <c r="K22" s="67">
        <f t="shared" si="2"/>
        <v>0</v>
      </c>
      <c r="L22" s="164">
        <f t="shared" si="3"/>
        <v>0</v>
      </c>
      <c r="N22" s="346">
        <f t="shared" si="4"/>
        <v>0</v>
      </c>
      <c r="Q22" s="242">
        <f t="shared" si="5"/>
        <v>0</v>
      </c>
      <c r="S22" s="166" t="str">
        <f>VLOOKUP(E22,Table5[],6)&amp;IF(F22=$Z$52,"",", "&amp;VLOOKUP(F22,Table5[],6))&amp;IF(G22=$Z$52,"",", "&amp;VLOOKUP(G22,Table5[],6))</f>
        <v/>
      </c>
      <c r="T22" s="78">
        <f>INDEX(Table3[],MATCH(C22,Table3[Weapon],0),2)</f>
        <v>0</v>
      </c>
      <c r="U22" s="46">
        <f>VLOOKUP(E22,Table5[],2)+VLOOKUP(F22,Table5[],2)+VLOOKUP(G22,Table5[],2)</f>
        <v>0</v>
      </c>
      <c r="W22" s="126" t="s">
        <v>319</v>
      </c>
      <c r="X22" s="126">
        <v>1</v>
      </c>
      <c r="Y22" s="147"/>
      <c r="Z22" s="150" t="s">
        <v>1147</v>
      </c>
      <c r="AV22" s="46" t="s">
        <v>1590</v>
      </c>
      <c r="AW22" s="78" t="s">
        <v>375</v>
      </c>
      <c r="AZ22" t="s">
        <v>1590</v>
      </c>
      <c r="BB22" t="s">
        <v>1590</v>
      </c>
      <c r="BC22">
        <v>12</v>
      </c>
      <c r="BD22">
        <v>0</v>
      </c>
      <c r="BE22">
        <v>4</v>
      </c>
      <c r="BF22">
        <v>0</v>
      </c>
      <c r="BG22">
        <v>4</v>
      </c>
      <c r="BH22">
        <v>1</v>
      </c>
      <c r="BI22">
        <v>7</v>
      </c>
      <c r="BJ22">
        <v>1</v>
      </c>
      <c r="BK22" s="2"/>
      <c r="BL22">
        <v>1</v>
      </c>
      <c r="BM22" t="s">
        <v>1591</v>
      </c>
      <c r="BN22">
        <v>2</v>
      </c>
    </row>
    <row r="23" spans="1:71" ht="16" thickBot="1">
      <c r="A23" s="167" t="str">
        <f t="shared" si="0"/>
        <v>HP12</v>
      </c>
      <c r="B23" s="206" t="s">
        <v>375</v>
      </c>
      <c r="C23" s="206" t="s">
        <v>1103</v>
      </c>
      <c r="D23" s="340">
        <v>0</v>
      </c>
      <c r="E23" s="218" t="s">
        <v>395</v>
      </c>
      <c r="F23" s="218" t="s">
        <v>395</v>
      </c>
      <c r="G23" s="218" t="s">
        <v>395</v>
      </c>
      <c r="H23" s="69">
        <f t="shared" si="1"/>
        <v>0</v>
      </c>
      <c r="I23" s="205" t="s">
        <v>99</v>
      </c>
      <c r="J23" s="205" t="s">
        <v>99</v>
      </c>
      <c r="K23" s="154">
        <f t="shared" si="2"/>
        <v>0</v>
      </c>
      <c r="L23" s="164">
        <f t="shared" si="3"/>
        <v>0</v>
      </c>
      <c r="M23" s="154"/>
      <c r="N23" s="347">
        <f t="shared" si="4"/>
        <v>0</v>
      </c>
      <c r="O23" s="154"/>
      <c r="P23" s="154"/>
      <c r="Q23" s="348">
        <f t="shared" si="5"/>
        <v>0</v>
      </c>
      <c r="R23" s="154"/>
      <c r="S23" s="168" t="str">
        <f>VLOOKUP(E23,Table5[],6)&amp;IF(F23=$Z$52,"",", "&amp;VLOOKUP(F23,Table5[],6))&amp;IF(G23=$Z$52,"",", "&amp;VLOOKUP(G23,Table5[],6))</f>
        <v/>
      </c>
      <c r="T23" s="78">
        <f>INDEX(Table3[],MATCH(C23,Table3[Weapon],0),2)</f>
        <v>0</v>
      </c>
      <c r="U23" s="46">
        <f>VLOOKUP(E23,Table5[],2)+VLOOKUP(F23,Table5[],2)+VLOOKUP(G23,Table5[],2)</f>
        <v>0</v>
      </c>
      <c r="W23" s="222" t="s">
        <v>320</v>
      </c>
      <c r="X23" s="222">
        <v>1</v>
      </c>
      <c r="Y23" s="149" t="s">
        <v>353</v>
      </c>
      <c r="Z23" s="4">
        <f>VLOOKUP(E6,Table3[],7)+IF(U6&gt;1,VLOOKUP(E7,Table3[],7),0)+IF(U6&gt;2,VLOOKUP(E8,Table3[],7),0)+IF(U6&gt;3,VLOOKUP(E9,Table3[],7),0)</f>
        <v>0</v>
      </c>
      <c r="AV23" s="46" t="str">
        <f>IF(OR(AND('Ship Info'!$F$7,'Ship Info'!$C$5&gt;=100),$B$4&gt;=100),AZ23,AW23)</f>
        <v/>
      </c>
      <c r="AW23" s="78" t="s">
        <v>375</v>
      </c>
      <c r="AZ23" t="str">
        <f>IF(G40=0,"",Table1[[#This Row],[Hardpoints]])</f>
        <v/>
      </c>
      <c r="BB23" t="str">
        <f>"X "&amp;G41</f>
        <v>X Double Turret</v>
      </c>
      <c r="BC23">
        <f>H41</f>
        <v>8</v>
      </c>
      <c r="BD23">
        <f>K41</f>
        <v>1</v>
      </c>
      <c r="BE23">
        <f>I41</f>
        <v>1</v>
      </c>
      <c r="BF23" s="4">
        <f>L41</f>
        <v>500000</v>
      </c>
      <c r="BG23">
        <f>J41</f>
        <v>1</v>
      </c>
      <c r="BH23">
        <f>M41</f>
        <v>1</v>
      </c>
      <c r="BI23">
        <v>8</v>
      </c>
      <c r="BJ23">
        <f>N41</f>
        <v>2</v>
      </c>
      <c r="BK23" s="2" t="str">
        <f>IF(O41=0,"",O41)</f>
        <v>+1</v>
      </c>
      <c r="BL23">
        <v>1</v>
      </c>
      <c r="BM23" t="str">
        <f>IF(G41=0,"","X "&amp;G41)</f>
        <v>X Double Turret</v>
      </c>
      <c r="BN23">
        <f>Table1[[#This Row],[crew]]</f>
        <v>1</v>
      </c>
    </row>
    <row r="24" spans="1:71" ht="16" thickBot="1">
      <c r="A24" s="70" t="str">
        <f t="shared" si="0"/>
        <v>HP13</v>
      </c>
      <c r="B24" s="197" t="s">
        <v>375</v>
      </c>
      <c r="C24" s="197" t="s">
        <v>1103</v>
      </c>
      <c r="D24" s="235">
        <v>0</v>
      </c>
      <c r="E24" s="219" t="s">
        <v>395</v>
      </c>
      <c r="F24" s="219" t="s">
        <v>395</v>
      </c>
      <c r="G24" s="219" t="s">
        <v>395</v>
      </c>
      <c r="H24" s="69">
        <f t="shared" si="1"/>
        <v>0</v>
      </c>
      <c r="I24" s="198" t="s">
        <v>99</v>
      </c>
      <c r="J24" s="198" t="s">
        <v>99</v>
      </c>
      <c r="K24" s="67">
        <f t="shared" si="2"/>
        <v>0</v>
      </c>
      <c r="L24" s="164">
        <f t="shared" si="3"/>
        <v>0</v>
      </c>
      <c r="N24" s="346">
        <f t="shared" si="4"/>
        <v>0</v>
      </c>
      <c r="Q24" s="242">
        <f t="shared" si="5"/>
        <v>0</v>
      </c>
      <c r="S24" s="166" t="str">
        <f>VLOOKUP(E24,Table5[],6)&amp;IF(F24=$Z$52,"",", "&amp;VLOOKUP(F24,Table5[],6))&amp;IF(G24=$Z$52,"",", "&amp;VLOOKUP(G24,Table5[],6))</f>
        <v/>
      </c>
      <c r="T24" s="78">
        <f>INDEX(Table3[],MATCH(C24,Table3[Weapon],0),2)</f>
        <v>0</v>
      </c>
      <c r="U24" s="46">
        <f>VLOOKUP(E24,Table5[],2)+VLOOKUP(F24,Table5[],2)+VLOOKUP(G24,Table5[],2)</f>
        <v>0</v>
      </c>
      <c r="W24" s="126" t="s">
        <v>321</v>
      </c>
      <c r="X24" s="126">
        <v>1</v>
      </c>
      <c r="Y24" s="7" t="s">
        <v>354</v>
      </c>
      <c r="Z24" s="4">
        <f>VLOOKUP(F6,Table3[],7)+IF(U7&gt;1,VLOOKUP(F7,Table3[],7),0)+IF(U7&gt;2,VLOOKUP(F8,Table3[],7),0)+IF(U7&gt;3,VLOOKUP(F9,Table3[],7),0)</f>
        <v>0</v>
      </c>
      <c r="AV24" s="46">
        <f>IF(OR(AND('Ship Info'!$F$7,'Ship Info'!$C$5&gt;=100),$B$4&gt;=100),AZ24,AW24)</f>
        <v>0</v>
      </c>
      <c r="AW24" s="78" t="s">
        <v>375</v>
      </c>
    </row>
    <row r="25" spans="1:71" ht="16" thickBot="1">
      <c r="A25" s="167" t="str">
        <f t="shared" si="0"/>
        <v>HP14</v>
      </c>
      <c r="B25" s="206" t="s">
        <v>375</v>
      </c>
      <c r="C25" s="206" t="s">
        <v>1103</v>
      </c>
      <c r="D25" s="340">
        <v>0</v>
      </c>
      <c r="E25" s="218" t="s">
        <v>395</v>
      </c>
      <c r="F25" s="218" t="s">
        <v>395</v>
      </c>
      <c r="G25" s="218" t="s">
        <v>395</v>
      </c>
      <c r="H25" s="69">
        <f t="shared" si="1"/>
        <v>0</v>
      </c>
      <c r="I25" s="205" t="s">
        <v>99</v>
      </c>
      <c r="J25" s="205" t="s">
        <v>99</v>
      </c>
      <c r="K25" s="154">
        <f t="shared" si="2"/>
        <v>0</v>
      </c>
      <c r="L25" s="164">
        <f t="shared" si="3"/>
        <v>0</v>
      </c>
      <c r="M25" s="154"/>
      <c r="N25" s="347">
        <f t="shared" si="4"/>
        <v>0</v>
      </c>
      <c r="O25" s="154"/>
      <c r="P25" s="154"/>
      <c r="Q25" s="348">
        <f t="shared" si="5"/>
        <v>0</v>
      </c>
      <c r="R25" s="154"/>
      <c r="S25" s="168" t="str">
        <f>VLOOKUP(E25,Table5[],6)&amp;IF(F25=$Z$52,"",", "&amp;VLOOKUP(F25,Table5[],6))&amp;IF(G25=$Z$52,"",", "&amp;VLOOKUP(G25,Table5[],6))</f>
        <v/>
      </c>
      <c r="T25" s="78">
        <f>INDEX(Table3[],MATCH(C25,Table3[Weapon],0),2)</f>
        <v>0</v>
      </c>
      <c r="U25" s="46">
        <f>VLOOKUP(E25,Table5[],2)+VLOOKUP(F25,Table5[],2)+VLOOKUP(G25,Table5[],2)</f>
        <v>0</v>
      </c>
      <c r="W25" s="126" t="s">
        <v>1590</v>
      </c>
      <c r="X25" s="126">
        <v>1</v>
      </c>
      <c r="Y25" s="7" t="s">
        <v>355</v>
      </c>
      <c r="Z25" s="4">
        <f>VLOOKUP(G6,Table3[],7)+IF(U8&gt;1,VLOOKUP(G7,Table3[],7),0)+IF(U8&gt;2,VLOOKUP(G8,Table3[],7),0)+IF(U8&gt;3,VLOOKUP(G9,Table3[],7),0)</f>
        <v>0</v>
      </c>
    </row>
    <row r="26" spans="1:71" ht="16" thickBot="1">
      <c r="A26" s="70" t="str">
        <f t="shared" si="0"/>
        <v>HP15</v>
      </c>
      <c r="B26" s="197" t="s">
        <v>375</v>
      </c>
      <c r="C26" s="197" t="s">
        <v>1103</v>
      </c>
      <c r="D26" s="235">
        <v>0</v>
      </c>
      <c r="E26" s="219" t="s">
        <v>395</v>
      </c>
      <c r="F26" s="219" t="s">
        <v>395</v>
      </c>
      <c r="G26" s="219" t="s">
        <v>395</v>
      </c>
      <c r="H26" s="69">
        <f t="shared" si="1"/>
        <v>0</v>
      </c>
      <c r="I26" s="198" t="s">
        <v>99</v>
      </c>
      <c r="J26" s="198" t="s">
        <v>99</v>
      </c>
      <c r="K26" s="67">
        <f t="shared" si="2"/>
        <v>0</v>
      </c>
      <c r="L26" s="164">
        <f t="shared" si="3"/>
        <v>0</v>
      </c>
      <c r="N26" s="346">
        <f t="shared" si="4"/>
        <v>0</v>
      </c>
      <c r="Q26" s="242">
        <f t="shared" si="5"/>
        <v>0</v>
      </c>
      <c r="S26" s="166" t="str">
        <f>VLOOKUP(E26,Table5[],6)&amp;IF(F26=$Z$52,"",", "&amp;VLOOKUP(F26,Table5[],6))&amp;IF(G26=$Z$52,"",", "&amp;VLOOKUP(G26,Table5[],6))</f>
        <v/>
      </c>
      <c r="T26" s="78">
        <f>INDEX(Table3[],MATCH(C26,Table3[Weapon],0),2)</f>
        <v>0</v>
      </c>
      <c r="U26" s="46">
        <f>VLOOKUP(E26,Table5[],2)+VLOOKUP(F26,Table5[],2)+VLOOKUP(G26,Table5[],2)</f>
        <v>0</v>
      </c>
      <c r="W26" s="126" t="s">
        <v>1226</v>
      </c>
      <c r="X26" s="126">
        <v>1</v>
      </c>
      <c r="AA26" s="126"/>
      <c r="AB26" s="126"/>
      <c r="AC26" s="126"/>
      <c r="AD26" s="126"/>
      <c r="AE26" s="126"/>
      <c r="AF26" s="126"/>
      <c r="AG26" s="126"/>
      <c r="AH26" s="126"/>
      <c r="AI26" s="127"/>
      <c r="AJ26" s="126"/>
      <c r="AK26" s="128"/>
    </row>
    <row r="27" spans="1:71" ht="16" thickBot="1">
      <c r="A27" s="167" t="str">
        <f t="shared" si="0"/>
        <v>HP16</v>
      </c>
      <c r="B27" s="206" t="s">
        <v>375</v>
      </c>
      <c r="C27" s="206" t="s">
        <v>1103</v>
      </c>
      <c r="D27" s="340">
        <v>0</v>
      </c>
      <c r="E27" s="218" t="s">
        <v>395</v>
      </c>
      <c r="F27" s="218" t="s">
        <v>395</v>
      </c>
      <c r="G27" s="218" t="s">
        <v>395</v>
      </c>
      <c r="H27" s="69">
        <f t="shared" si="1"/>
        <v>0</v>
      </c>
      <c r="I27" s="205" t="s">
        <v>99</v>
      </c>
      <c r="J27" s="205" t="s">
        <v>99</v>
      </c>
      <c r="K27" s="154">
        <f t="shared" si="2"/>
        <v>0</v>
      </c>
      <c r="L27" s="164">
        <f t="shared" si="3"/>
        <v>0</v>
      </c>
      <c r="M27" s="154"/>
      <c r="N27" s="347">
        <f t="shared" si="4"/>
        <v>0</v>
      </c>
      <c r="O27" s="154"/>
      <c r="P27" s="154"/>
      <c r="Q27" s="348">
        <f t="shared" si="5"/>
        <v>0</v>
      </c>
      <c r="R27" s="154"/>
      <c r="S27" s="168" t="str">
        <f>VLOOKUP(E27,Table5[],6)&amp;IF(F27=$Z$52,"",", "&amp;VLOOKUP(F27,Table5[],6))&amp;IF(G27=$Z$52,"",", "&amp;VLOOKUP(G27,Table5[],6))</f>
        <v/>
      </c>
      <c r="T27" s="78">
        <f>INDEX(Table3[],MATCH(C27,Table3[Weapon],0),2)</f>
        <v>0</v>
      </c>
      <c r="U27" s="46">
        <f>VLOOKUP(E27,Table5[],2)+VLOOKUP(F27,Table5[],2)+VLOOKUP(G27,Table5[],2)</f>
        <v>0</v>
      </c>
      <c r="V27" s="45" t="s">
        <v>1054</v>
      </c>
      <c r="W27" s="45"/>
      <c r="X27" s="47" t="s">
        <v>1058</v>
      </c>
      <c r="Y27" s="98" t="s">
        <v>1058</v>
      </c>
      <c r="Z27" s="99" t="s">
        <v>267</v>
      </c>
      <c r="AA27" s="99" t="s">
        <v>1059</v>
      </c>
      <c r="AB27" s="99" t="s">
        <v>1060</v>
      </c>
      <c r="AC27" s="99" t="s">
        <v>1061</v>
      </c>
      <c r="AD27" s="99" t="s">
        <v>1062</v>
      </c>
      <c r="AE27" s="99" t="s">
        <v>1063</v>
      </c>
      <c r="AF27" s="99" t="s">
        <v>1064</v>
      </c>
      <c r="AG27" s="99" t="s">
        <v>1065</v>
      </c>
      <c r="AH27" s="99" t="s">
        <v>1066</v>
      </c>
      <c r="AI27" s="99" t="s">
        <v>1</v>
      </c>
      <c r="AJ27" s="99" t="s">
        <v>117</v>
      </c>
      <c r="AK27" s="99" t="s">
        <v>55</v>
      </c>
      <c r="AL27" s="99" t="s">
        <v>171</v>
      </c>
      <c r="AM27" s="99" t="s">
        <v>1083</v>
      </c>
      <c r="AN27" s="99" t="s">
        <v>1084</v>
      </c>
      <c r="AO27" s="99" t="s">
        <v>807</v>
      </c>
      <c r="AP27" s="99" t="s">
        <v>1124</v>
      </c>
      <c r="AQ27" s="100" t="s">
        <v>1159</v>
      </c>
      <c r="AR27" s="1" t="s">
        <v>1189</v>
      </c>
      <c r="AS27" s="1" t="s">
        <v>2256</v>
      </c>
      <c r="AT27" s="135"/>
      <c r="AU27" s="130"/>
      <c r="AV27" s="130"/>
      <c r="AW27" s="130"/>
      <c r="AX27" s="130"/>
      <c r="AY27" s="130"/>
      <c r="AZ27" s="87"/>
      <c r="BA27" s="2"/>
      <c r="BB27" s="2" t="s">
        <v>325</v>
      </c>
      <c r="BC27" s="2" t="s">
        <v>26</v>
      </c>
      <c r="BD27" s="2" t="s">
        <v>326</v>
      </c>
      <c r="BE27" s="2" t="s">
        <v>1101</v>
      </c>
      <c r="BF27" s="2" t="s">
        <v>322</v>
      </c>
      <c r="BG27" s="2" t="s">
        <v>327</v>
      </c>
      <c r="BH27" s="2" t="s">
        <v>1</v>
      </c>
      <c r="BI27" s="2" t="s">
        <v>171</v>
      </c>
      <c r="BJ27" s="2" t="s">
        <v>1085</v>
      </c>
      <c r="BK27" s="2" t="s">
        <v>705</v>
      </c>
      <c r="BL27" s="2" t="s">
        <v>373</v>
      </c>
      <c r="BM27" s="2" t="s">
        <v>2347</v>
      </c>
      <c r="BN27" s="2" t="s">
        <v>2348</v>
      </c>
      <c r="BO27" s="2" t="s">
        <v>2349</v>
      </c>
      <c r="BP27" s="2" t="s">
        <v>2350</v>
      </c>
      <c r="BQ27" s="2" t="s">
        <v>2351</v>
      </c>
      <c r="BR27" s="2" t="s">
        <v>2352</v>
      </c>
      <c r="BS27" s="2" t="s">
        <v>2353</v>
      </c>
    </row>
    <row r="28" spans="1:71" ht="16" thickBot="1">
      <c r="A28" s="70" t="str">
        <f t="shared" si="0"/>
        <v>HP17</v>
      </c>
      <c r="B28" s="197" t="s">
        <v>375</v>
      </c>
      <c r="C28" s="197" t="s">
        <v>1103</v>
      </c>
      <c r="D28" s="235">
        <v>0</v>
      </c>
      <c r="E28" s="219" t="s">
        <v>395</v>
      </c>
      <c r="F28" s="219" t="s">
        <v>395</v>
      </c>
      <c r="G28" s="219" t="s">
        <v>395</v>
      </c>
      <c r="H28" s="69">
        <f t="shared" si="1"/>
        <v>0</v>
      </c>
      <c r="I28" s="198" t="s">
        <v>99</v>
      </c>
      <c r="J28" s="198" t="s">
        <v>99</v>
      </c>
      <c r="K28" s="67">
        <f t="shared" si="2"/>
        <v>0</v>
      </c>
      <c r="L28" s="164">
        <f t="shared" si="3"/>
        <v>0</v>
      </c>
      <c r="N28" s="346">
        <f t="shared" si="4"/>
        <v>0</v>
      </c>
      <c r="Q28" s="242">
        <f t="shared" si="5"/>
        <v>0</v>
      </c>
      <c r="S28" s="166" t="str">
        <f>VLOOKUP(E28,Table5[],6)&amp;IF(F28=$Z$52,"",", "&amp;VLOOKUP(F28,Table5[],6))&amp;IF(G28=$Z$52,"",", "&amp;VLOOKUP(G28,Table5[],6))</f>
        <v/>
      </c>
      <c r="T28" s="78">
        <f>INDEX(Table3[],MATCH(C28,Table3[Weapon],0),2)</f>
        <v>0</v>
      </c>
      <c r="U28" s="46">
        <f>VLOOKUP(E28,Table5[],2)+VLOOKUP(F28,Table5[],2)+VLOOKUP(G28,Table5[],2)</f>
        <v>0</v>
      </c>
      <c r="V28" t="str">
        <f>IF('Ship Info'!$F$7,IF('Ship Info'!$C$5&lt;100,'8a-Weapons'!W28,'8a-Weapons'!X28), IF(Tonnage&lt;100,W28,X28))</f>
        <v>HP01</v>
      </c>
      <c r="W28" t="s">
        <v>1045</v>
      </c>
      <c r="X28" s="46" t="s">
        <v>353</v>
      </c>
      <c r="Y28" s="92" t="str">
        <f t="shared" ref="Y28:Y47" si="6">V28</f>
        <v>HP01</v>
      </c>
      <c r="Z28" s="2" t="str">
        <f>IF(AND('Ship Info'!F7,'Ship Info'!C5&gt;=100),VLOOKUP(B12,Table1[],12),IF(B4&lt;100,VLOOKUP(B12,Table2[],12),VLOOKUP(B12,Table1[],12)))</f>
        <v>Single Turret</v>
      </c>
      <c r="AA28" s="2">
        <f>IF(OR(Z28=0,Z28=""),"",D12)</f>
        <v>3</v>
      </c>
      <c r="AB28" s="16" t="str">
        <f>IF(E5="No",C12,E6)</f>
        <v>Particle Beam</v>
      </c>
      <c r="AC28" s="2" t="str">
        <f>IF($E$5="No","",E7)</f>
        <v/>
      </c>
      <c r="AD28" s="2" t="str">
        <f>IF($E$5="No","",E8)</f>
        <v/>
      </c>
      <c r="AE28" s="2" t="str">
        <f>IF($E$5="No","",E9)</f>
        <v/>
      </c>
      <c r="AF28" s="16" t="str">
        <f>IF(E12="A Standard","",VLOOKUP(E12,Table5[],10)&amp;IF(AND(E12=G12,E12=F12)," x3",IF(OR(E12=F12,E12=G12)," x2","")))</f>
        <v>Adv - Easy Repair</v>
      </c>
      <c r="AG28" s="16" t="str">
        <f>IF(F12="A Standard","",IF(E12=F12,"",IF(AF28="","",", ")&amp;VLOOKUP(F12,Table5[],10)&amp;IF(F12=G12," x2","")))</f>
        <v>, Adv - Energy Efficient</v>
      </c>
      <c r="AH28" s="16" t="str">
        <f>IF(G12="A Standard","",IF(OR(G12=E12,G12=F12),"", IF(AND(AF28="",AG28=""),"",", ")&amp;VLOOKUP(G12,Table5[],10)))</f>
        <v/>
      </c>
      <c r="AI28" s="10">
        <f>D12*(IF($B$4&lt;100,Z9,Z13)+IF(E5="No",Z19,Z23))*(1+IF(SUM(VLOOKUP(E12,Table5[],5),VLOOKUP(F12,Table5[],5),VLOOKUP(G12,Table5[],5))=0,VLOOKUP(H12,$AC$17:$AD$20,2),VLOOKUP(E12,Table5[],5)+VLOOKUP(F12,Table5[],5)+VLOOKUP(G12,Table5[],5)))</f>
        <v>15750000</v>
      </c>
      <c r="AJ28" s="2">
        <f>D12*IF(AND('Ship Info'!F7,'Ship Info'!C5&gt;=100),AA13,IF($B$4&lt;100,AA9,AA13))*(1+VLOOKUP(E12,Table5[],4)+VLOOKUP(F12,Table5[],4)+VLOOKUP(G12,Table5[],4))</f>
        <v>3</v>
      </c>
      <c r="AK28" s="2">
        <f>IF(E5="Yes",0,D12*IF(AND('Ship Info'!F7,'Ship Info'!C5&gt;=100),AC13,IF(B4&lt;100,AC9,AC13)))+IF(AND('Ship Info'!F7,'Ship Info'!C5&gt;=100),1,IF(B4&lt;100,0.75,1))*D12*IF(E5="Yes",1,IF(AND('Ship Info'!F7,'Ship Info'!C5&gt;=100),AB13,IF(B4&lt;100,AB9,AB13)))*(VLOOKUP(AB28,Table3[],5)/IF(B12=Z7,3,1)+VLOOKUP(AC28,Table3[],5)+VLOOKUP(AD28,Table3[],5)+VLOOKUP(AE28,Table3[],5))*(1+VLOOKUP(E12,Table5[],3)+VLOOKUP(F12,Table5[],3)+VLOOKUP(G12,Table5[],3))</f>
        <v>21</v>
      </c>
      <c r="AL28" t="str">
        <f>IF($E$5="No",VLOOKUP(AB28,Table3[],8),"See Rulebook")</f>
        <v>Radiation</v>
      </c>
      <c r="AM28">
        <f>IF(AND('Ship Info'!$F$7,'Ship Info'!$C$5&gt;=100),1,IF($B$4&gt;=100,1,0))</f>
        <v>1</v>
      </c>
      <c r="AN28">
        <f>IF(B12=$Z$2,$AM$28,VLOOKUP(B12,Table4[],2))</f>
        <v>1</v>
      </c>
      <c r="AO28">
        <f>IF(AM28=AN28,0,1)</f>
        <v>0</v>
      </c>
      <c r="AP28">
        <f>VLOOKUP(B12,Table1[],6)*D12</f>
        <v>3</v>
      </c>
      <c r="AQ28" s="46" t="str">
        <f>IF(AA28="","",IF(E$5="Yes","See Notes",IF(B$4&lt;100,INDEX($U$64:$V$72,MATCH(VLOOKUP(AB28,Table3[],4)+AS28,$U$64:$U$72,0),2),INDEX($U$64:$V$72,MATCH(VLOOKUP(AB28,Table3[],3)+AS28,$U$64:$U$72,0),2))))</f>
        <v>Very Long</v>
      </c>
      <c r="AR28" t="str">
        <f>IF(E5="Yes","See Notes",VLOOKUP(C12,Table3[],6)&amp;IF(VLOOKUP(AB28,Table3[],10)=0,IF(VLOOKUP(B12,Table1[],10)=0,"","+"&amp;LEFT(VLOOKUP(C12,Table3[],6),1)*VLOOKUP(B12,Table1[],10)),""))</f>
        <v>3D</v>
      </c>
      <c r="AS28">
        <f>IF(AND(Tonnage&lt;100,VLOOKUP(AB28,Table3[],4)=2),0,IF(OR(AF28=$AI$66,AG28=$AI$66,AH28=$AI$66),1,0))</f>
        <v>0</v>
      </c>
      <c r="AT28" s="92"/>
      <c r="AU28" s="2"/>
      <c r="AV28" s="2"/>
      <c r="AW28" s="2"/>
      <c r="AX28" s="2"/>
      <c r="AY28" s="2"/>
      <c r="AZ28" s="88"/>
      <c r="BA28" s="2"/>
      <c r="BB28" s="2" t="str">
        <f>""</f>
        <v/>
      </c>
      <c r="BC28" s="2">
        <v>0</v>
      </c>
      <c r="BD28" s="2" t="str">
        <f>""</f>
        <v/>
      </c>
      <c r="BE28" s="2" t="str">
        <f>""</f>
        <v/>
      </c>
      <c r="BF28" s="2">
        <v>0</v>
      </c>
      <c r="BG28" s="2"/>
      <c r="BH28" s="10">
        <v>0</v>
      </c>
      <c r="BI28" s="2" t="str">
        <f>""</f>
        <v/>
      </c>
      <c r="BJ28" s="2"/>
      <c r="BK28" s="2">
        <v>1</v>
      </c>
      <c r="BL28" s="2">
        <v>0</v>
      </c>
      <c r="BM28" s="2">
        <v>0</v>
      </c>
      <c r="BN28" s="2">
        <v>0</v>
      </c>
      <c r="BO28" s="2">
        <v>0</v>
      </c>
      <c r="BP28" s="2">
        <v>0</v>
      </c>
      <c r="BQ28" s="2">
        <v>0</v>
      </c>
      <c r="BR28" s="2">
        <v>0</v>
      </c>
      <c r="BS28" s="2">
        <v>0</v>
      </c>
    </row>
    <row r="29" spans="1:71" ht="16" thickBot="1">
      <c r="A29" s="167" t="str">
        <f t="shared" si="0"/>
        <v>HP18</v>
      </c>
      <c r="B29" s="206" t="s">
        <v>375</v>
      </c>
      <c r="C29" s="206" t="s">
        <v>1103</v>
      </c>
      <c r="D29" s="340">
        <v>0</v>
      </c>
      <c r="E29" s="218" t="s">
        <v>395</v>
      </c>
      <c r="F29" s="218" t="s">
        <v>395</v>
      </c>
      <c r="G29" s="218" t="s">
        <v>395</v>
      </c>
      <c r="H29" s="69">
        <f t="shared" si="1"/>
        <v>0</v>
      </c>
      <c r="I29" s="205" t="s">
        <v>99</v>
      </c>
      <c r="J29" s="205" t="s">
        <v>99</v>
      </c>
      <c r="K29" s="154">
        <f t="shared" si="2"/>
        <v>0</v>
      </c>
      <c r="L29" s="164">
        <f t="shared" si="3"/>
        <v>0</v>
      </c>
      <c r="M29" s="154"/>
      <c r="N29" s="347">
        <f t="shared" si="4"/>
        <v>0</v>
      </c>
      <c r="O29" s="154"/>
      <c r="P29" s="154"/>
      <c r="Q29" s="348">
        <f t="shared" si="5"/>
        <v>0</v>
      </c>
      <c r="R29" s="154"/>
      <c r="S29" s="168" t="str">
        <f>VLOOKUP(E29,Table5[],6)&amp;IF(F29=$Z$52,"",", "&amp;VLOOKUP(F29,Table5[],6))&amp;IF(G29=$Z$52,"",", "&amp;VLOOKUP(G29,Table5[],6))</f>
        <v/>
      </c>
      <c r="T29" s="78">
        <f>INDEX(Table3[],MATCH(C29,Table3[Weapon],0),2)</f>
        <v>0</v>
      </c>
      <c r="U29" s="46">
        <f>VLOOKUP(E29,Table5[],2)+VLOOKUP(F29,Table5[],2)+VLOOKUP(G29,Table5[],2)</f>
        <v>0</v>
      </c>
      <c r="V29" t="str">
        <f>IF('Ship Info'!$F$7,IF('Ship Info'!$C$5&lt;100,'8a-Weapons'!W29,'8a-Weapons'!X29), IF(Tonnage&lt;100,W29,X29))</f>
        <v>HP02</v>
      </c>
      <c r="W29" t="s">
        <v>1046</v>
      </c>
      <c r="X29" s="46" t="s">
        <v>354</v>
      </c>
      <c r="Y29" s="92" t="str">
        <f t="shared" si="6"/>
        <v>HP02</v>
      </c>
      <c r="Z29" s="2" t="str">
        <f>IF(AND('Ship Info'!F7,'Ship Info'!C5&gt;=100),VLOOKUP(B13,Table1[],12),IF(B4&lt;100,VLOOKUP(B13,Table2[],12),VLOOKUP(B13,Table1[],12)))</f>
        <v/>
      </c>
      <c r="AA29" s="2" t="str">
        <f t="shared" ref="AA29:AA47" si="7">IF(OR(Z29=0,Z29=""),"",D13)</f>
        <v/>
      </c>
      <c r="AB29" s="16" t="str">
        <f>IF(F5="No",C13,F6)</f>
        <v/>
      </c>
      <c r="AC29" s="2" t="str">
        <f>IF($F$5="No","",F7)</f>
        <v/>
      </c>
      <c r="AD29" s="2" t="str">
        <f>IF($F$5="No","",F8)</f>
        <v/>
      </c>
      <c r="AE29" s="2" t="str">
        <f>IF($F$5="No","",F9)</f>
        <v/>
      </c>
      <c r="AF29" s="16" t="str">
        <f>IF(E13="A Standard","",VLOOKUP(E13,Table5[],10)&amp;IF(AND(E13=G13,E13=F13)," x3",IF(OR(E13=F13,E13=G13)," x2","")))</f>
        <v/>
      </c>
      <c r="AG29" s="16" t="str">
        <f>IF(F13="A Standard","",IF(E13=F13,"",IF(AF29="","",", ")&amp;VLOOKUP(F13,Table5[],10)&amp;IF(F13=G13," x2","")))</f>
        <v/>
      </c>
      <c r="AH29" s="16" t="str">
        <f>IF(G13="A Standard","",IF(OR(G13=E13,G13=F13),"", IF(AND(AF29="",AG29=""),"",", ")&amp;VLOOKUP(G13,Table5[],10)))</f>
        <v/>
      </c>
      <c r="AI29" s="10">
        <f>D13*(IF($B$4&lt;100,Z10,Z14)+IF(F5="No",Z20,Z24))*(1+IF(SUM(VLOOKUP(E13,Table5[],5),VLOOKUP(F13,Table5[],5),VLOOKUP(G13,Table5[],5))=0,VLOOKUP(H13,$AC$17:$AD$20,2),VLOOKUP(E13,Table5[],5)+VLOOKUP(F13,Table5[],5)+VLOOKUP(G13,Table5[],5)))</f>
        <v>0</v>
      </c>
      <c r="AJ29" s="2">
        <f>D13*IF(AND('Ship Info'!F7,'Ship Info'!C5&gt;=100),AA14,IF($B$4&lt;100,AA10,AA14))*(1+VLOOKUP(E13,Table5[],4)+VLOOKUP(F13,Table5[],4)+VLOOKUP(G13,Table5[],4))</f>
        <v>0</v>
      </c>
      <c r="AK29" s="2">
        <f>IF(F5="Yes",0,D13*IF(AND('Ship Info'!F7,'Ship Info'!C5&gt;=100),AC14,IF(B4&lt;100,AC10,AC14)))+IF(AND('Ship Info'!F7,'Ship Info'!C5&gt;=100),1,IF(B4&lt;100,0.75,1))*D13*IF(F5="Yes",1,IF(AND('Ship Info'!F7,'Ship Info'!C5&gt;=100),AB14,IF(B4&lt;100,AB10,AB14)))*(VLOOKUP(AB29,Table3[],5)+VLOOKUP(AC29,Table3[],5)+VLOOKUP(AD29,Table3[],5)+VLOOKUP(AE29,Table3[],5))*(1+VLOOKUP(E13,Table5[],3)+VLOOKUP(F13,Table5[],3)+VLOOKUP(G13,Table5[],3))</f>
        <v>0</v>
      </c>
      <c r="AL29" t="str">
        <f>IF($E$5="No",VLOOKUP(AB29,Table3[],8),"See Rulebook")</f>
        <v/>
      </c>
      <c r="AM29">
        <f>IF(AND('Ship Info'!$F$7,'Ship Info'!$C$5&gt;=100),1,IF($B$4&gt;=100,1,0))</f>
        <v>1</v>
      </c>
      <c r="AN29">
        <f>IF(B13=$Z$2,$AM$28,VLOOKUP(B13,Table4[],2))</f>
        <v>1</v>
      </c>
      <c r="AO29">
        <f t="shared" ref="AO29:AO47" si="8">IF(AM29=AN29,0,1)</f>
        <v>0</v>
      </c>
      <c r="AP29">
        <f>VLOOKUP(B13,Table1[],6)*D13</f>
        <v>0</v>
      </c>
      <c r="AQ29" s="46" t="str">
        <f>IF(AA29="","",IF(E$5="Yes","See Notes",IF(B$4&lt;100,INDEX($U$64:$V$72,MATCH(VLOOKUP(AB29,Table3[],4)+AS29,$U$64:$U$72,0),2),INDEX($U$64:$V$72,MATCH(VLOOKUP(AB29,Table3[],3)+AS29,$U$64:$U$72,0),2))))</f>
        <v/>
      </c>
      <c r="AR29" t="str">
        <f>IF(F5="Yes","See Notes",VLOOKUP(C13,Table3[],6)&amp;IF(VLOOKUP(AB29,Table3[],10)=0,IF(VLOOKUP(B13,Table1[],10)=0,"","+"&amp;LEFT(VLOOKUP(C13,Table3[],6),1)*VLOOKUP(B13,Table1[],10)),""))</f>
        <v/>
      </c>
      <c r="AS29">
        <f>IF(AND(Tonnage&lt;100,VLOOKUP(AB29,Table3[],4)=2),0,IF(OR(AF29=$AI$66,AG29=$AI$66,AH29=$AI$66),1,0))</f>
        <v>0</v>
      </c>
      <c r="AT29" s="92"/>
      <c r="AU29" s="2"/>
      <c r="AV29" s="2"/>
      <c r="AW29" s="2"/>
      <c r="AX29" s="2"/>
      <c r="AY29" s="2"/>
      <c r="AZ29" s="88"/>
      <c r="BA29" s="2"/>
      <c r="BB29" s="2" t="s">
        <v>2337</v>
      </c>
      <c r="BC29" s="2">
        <v>17</v>
      </c>
      <c r="BD29" s="2">
        <v>4</v>
      </c>
      <c r="BE29" s="2"/>
      <c r="BF29" s="2">
        <v>200</v>
      </c>
      <c r="BG29" s="2" t="s">
        <v>2342</v>
      </c>
      <c r="BH29" s="10">
        <v>70000000</v>
      </c>
      <c r="BI29" s="2" t="s">
        <v>337</v>
      </c>
      <c r="BJ29" s="2"/>
      <c r="BK29" s="2">
        <v>1</v>
      </c>
      <c r="BL29" s="2">
        <v>6</v>
      </c>
      <c r="BM29" s="2">
        <f t="shared" ref="BM29:BM45" si="9">IF($BL29=1,BM28+1,BM28)</f>
        <v>0</v>
      </c>
      <c r="BN29" s="2">
        <f t="shared" ref="BN29:BN45" si="10">IF($BL29=2,BN28+1,BN28)</f>
        <v>0</v>
      </c>
      <c r="BO29" s="2">
        <f t="shared" ref="BO29:BO45" si="11">IF($BL29=3,BO28+1,BO28)</f>
        <v>0</v>
      </c>
      <c r="BP29" s="2">
        <f t="shared" ref="BP29:BP45" si="12">IF($BL29=4,BP28+1,BP28)</f>
        <v>0</v>
      </c>
      <c r="BQ29" s="2">
        <f t="shared" ref="BQ29:BQ45" si="13">IF($BL29=5,BQ28+1,BQ28)</f>
        <v>0</v>
      </c>
      <c r="BR29" s="2">
        <f t="shared" ref="BR29:BR45" si="14">IF($BL29=6,BR28+1,BR28)</f>
        <v>1</v>
      </c>
      <c r="BS29" s="2">
        <f t="shared" ref="BS29:BS45" si="15">IF($BL29=7,BS28+1,BS28)</f>
        <v>0</v>
      </c>
    </row>
    <row r="30" spans="1:71" ht="16" thickBot="1">
      <c r="A30" s="70" t="str">
        <f t="shared" si="0"/>
        <v>HP19</v>
      </c>
      <c r="B30" s="197" t="s">
        <v>375</v>
      </c>
      <c r="C30" s="197" t="s">
        <v>1103</v>
      </c>
      <c r="D30" s="235">
        <v>0</v>
      </c>
      <c r="E30" s="219" t="s">
        <v>395</v>
      </c>
      <c r="F30" s="219" t="s">
        <v>395</v>
      </c>
      <c r="G30" s="219" t="s">
        <v>395</v>
      </c>
      <c r="H30" s="69">
        <f t="shared" si="1"/>
        <v>0</v>
      </c>
      <c r="I30" s="198" t="s">
        <v>99</v>
      </c>
      <c r="J30" s="198" t="s">
        <v>99</v>
      </c>
      <c r="K30" s="67">
        <f t="shared" si="2"/>
        <v>0</v>
      </c>
      <c r="L30" s="164">
        <f t="shared" si="3"/>
        <v>0</v>
      </c>
      <c r="N30" s="346">
        <f t="shared" si="4"/>
        <v>0</v>
      </c>
      <c r="Q30" s="242">
        <f t="shared" si="5"/>
        <v>0</v>
      </c>
      <c r="S30" s="166" t="str">
        <f>VLOOKUP(E30,Table5[],6)&amp;IF(F30=$Z$52,"",", "&amp;VLOOKUP(F30,Table5[],6))&amp;IF(G30=$Z$52,"",", "&amp;VLOOKUP(G30,Table5[],6))</f>
        <v/>
      </c>
      <c r="T30" s="78">
        <f>INDEX(Table3[],MATCH(C30,Table3[Weapon],0),2)</f>
        <v>0</v>
      </c>
      <c r="U30" s="46">
        <f>VLOOKUP(E30,Table5[],2)+VLOOKUP(F30,Table5[],2)+VLOOKUP(G30,Table5[],2)</f>
        <v>0</v>
      </c>
      <c r="V30" t="str">
        <f>IF('Ship Info'!$F$7,IF('Ship Info'!$C$5&lt;100,'8a-Weapons'!W30,'8a-Weapons'!X30), IF(Tonnage&lt;100,W30,X30))</f>
        <v>HP03</v>
      </c>
      <c r="W30" t="s">
        <v>1047</v>
      </c>
      <c r="X30" s="46" t="s">
        <v>355</v>
      </c>
      <c r="Y30" s="92" t="str">
        <f t="shared" si="6"/>
        <v>HP03</v>
      </c>
      <c r="Z30" s="2" t="str">
        <f>IF(AND('Ship Info'!F7,'Ship Info'!C5&gt;=100),VLOOKUP(B14,Table1[],12),IF(B4&lt;100,VLOOKUP(B14,Table2[],12),VLOOKUP(B14,Table1[],12)))</f>
        <v/>
      </c>
      <c r="AA30" s="2" t="str">
        <f t="shared" si="7"/>
        <v/>
      </c>
      <c r="AB30" s="16" t="str">
        <f>IF(G5="No",C14,G6)</f>
        <v/>
      </c>
      <c r="AC30" s="2" t="str">
        <f>IF($G$5="No","",G7)</f>
        <v/>
      </c>
      <c r="AD30" s="2" t="str">
        <f>IF($G$5="No","",G8)</f>
        <v/>
      </c>
      <c r="AE30" s="2" t="str">
        <f>IF($G$5="No","",G9)</f>
        <v/>
      </c>
      <c r="AF30" s="16" t="str">
        <f>IF(E14="A Standard","",VLOOKUP(E14,Table5[],10)&amp;IF(AND(E14=G14,E14=F14)," x3",IF(OR(E14=F14,E14=G14)," x2","")))</f>
        <v/>
      </c>
      <c r="AG30" s="16" t="str">
        <f>IF(F14="A Standard","",IF(E14=F14,"",IF(AF30="","",", ")&amp;VLOOKUP(F14,Table5[],10)&amp;IF(F14=G14," x2","")))</f>
        <v/>
      </c>
      <c r="AH30" s="16" t="str">
        <f>IF(G14="A Standard","",IF(OR(G14=E14,G14=F14),"", IF(AND(AF30="",AG30=""),"",", ")&amp;VLOOKUP(G14,Table5[],10)))</f>
        <v/>
      </c>
      <c r="AI30" s="10">
        <f>D14*(IF($B$4&lt;100,Z11,Z15)+IF(G5="No",Z21,Z25))*(1+IF(SUM(VLOOKUP(E14,Table5[],5),VLOOKUP(F14,Table5[],5),VLOOKUP(G14,Table5[],5))=0,VLOOKUP(H14,$AC$17:$AD$20,2),VLOOKUP(E14,Table5[],5)+VLOOKUP(F14,Table5[],5)+VLOOKUP(G14,Table5[],5)))</f>
        <v>0</v>
      </c>
      <c r="AJ30" s="2">
        <f>D14*IF(AND('Ship Info'!F7,'Ship Info'!C5&gt;=100),AA15,IF($B$4&lt;100,AA11,AA15))*(1+VLOOKUP(E14,Table5[],4)+VLOOKUP(F14,Table5[],4)+VLOOKUP(G14,Table5[],4))</f>
        <v>0</v>
      </c>
      <c r="AK30" s="2">
        <f>IF(G5="Yes",0,D14*IF(AND('Ship Info'!F7,'Ship Info'!C5&gt;=100),AC15,IF(B4&lt;100,AC11,AC15)))+IF(AND('Ship Info'!F7,'Ship Info'!C5&gt;=100),1,IF(B4&lt;100,0.75,1))*D14*IF(G5="Yes",1,IF(AND('Ship Info'!F7,'Ship Info'!C5&gt;=100),AB15,IF(B4&lt;100,AB11,AB15)))*(VLOOKUP(AB30,Table3[],5)+VLOOKUP(AC30,Table3[],5)+VLOOKUP(AD30,Table3[],5)+VLOOKUP(AE30,Table3[],5))*(1+VLOOKUP(E14,Table5[],3)+VLOOKUP(F14,Table5[],3)+VLOOKUP(G14,Table5[],3))</f>
        <v>0</v>
      </c>
      <c r="AL30" t="str">
        <f>IF($E$5="No",VLOOKUP(AB30,Table3[],8),"See Rulebook")</f>
        <v/>
      </c>
      <c r="AM30">
        <f>IF(AND('Ship Info'!$F$7,'Ship Info'!$C$5&gt;=100),1,IF($B$4&gt;=100,1,0))</f>
        <v>1</v>
      </c>
      <c r="AN30">
        <f>IF(B14=$Z$2,$AM$28,VLOOKUP(B14,Table4[],2))</f>
        <v>1</v>
      </c>
      <c r="AO30">
        <f t="shared" si="8"/>
        <v>0</v>
      </c>
      <c r="AP30">
        <f>VLOOKUP(B14,Table1[],6)*D14</f>
        <v>0</v>
      </c>
      <c r="AQ30" s="46" t="str">
        <f>IF(AA30="","",IF(E$5="Yes","See Notes",IF(B$4&lt;100,INDEX($U$64:$V$72,MATCH(VLOOKUP(AB30,Table3[],4)+AS30,$U$64:$U$72,0),2),INDEX($U$64:$V$72,MATCH(VLOOKUP(AB30,Table3[],3)+AS30,$U$64:$U$72,0),2))))</f>
        <v/>
      </c>
      <c r="AR30" t="str">
        <f>IF(G5="Yes","See Notes",VLOOKUP(C14,Table3[],6)&amp;IF(VLOOKUP(AB30,Table3[],10)=0,IF(VLOOKUP(B14,Table1[],10)=0,"","+"&amp;LEFT(VLOOKUP(C14,Table3[],6),1)*VLOOKUP(B14,Table1[],10)),""))</f>
        <v/>
      </c>
      <c r="AS30">
        <f>IF(AND(Tonnage&lt;100,VLOOKUP(AB30,Table3[],4)=2),0,IF(OR(AF30=$AI$66,AG30=$AI$66,AH30=$AI$66),1,0))</f>
        <v>0</v>
      </c>
      <c r="AT30" s="92"/>
      <c r="AU30" s="2"/>
      <c r="AV30" s="2"/>
      <c r="AW30" s="2"/>
      <c r="AX30" s="2"/>
      <c r="AY30" s="2"/>
      <c r="AZ30" s="88"/>
      <c r="BA30" s="2"/>
      <c r="BB30" s="2" t="s">
        <v>2338</v>
      </c>
      <c r="BC30" s="2">
        <v>17</v>
      </c>
      <c r="BD30" s="2">
        <v>4</v>
      </c>
      <c r="BE30" s="2"/>
      <c r="BF30" s="2">
        <v>160</v>
      </c>
      <c r="BG30" s="2" t="s">
        <v>2341</v>
      </c>
      <c r="BH30" s="10">
        <v>55000000</v>
      </c>
      <c r="BI30" s="2" t="s">
        <v>337</v>
      </c>
      <c r="BJ30" s="2"/>
      <c r="BK30" s="2">
        <v>1</v>
      </c>
      <c r="BL30" s="2">
        <v>5</v>
      </c>
      <c r="BM30" s="2">
        <f t="shared" si="9"/>
        <v>0</v>
      </c>
      <c r="BN30" s="2">
        <f t="shared" si="10"/>
        <v>0</v>
      </c>
      <c r="BO30" s="2">
        <f t="shared" si="11"/>
        <v>0</v>
      </c>
      <c r="BP30" s="2">
        <f t="shared" si="12"/>
        <v>0</v>
      </c>
      <c r="BQ30" s="2">
        <f t="shared" si="13"/>
        <v>1</v>
      </c>
      <c r="BR30" s="2">
        <f t="shared" si="14"/>
        <v>1</v>
      </c>
      <c r="BS30" s="2">
        <f t="shared" si="15"/>
        <v>0</v>
      </c>
    </row>
    <row r="31" spans="1:71" ht="16" thickBot="1">
      <c r="A31" s="167" t="str">
        <f t="shared" si="0"/>
        <v>HP20</v>
      </c>
      <c r="B31" s="206" t="s">
        <v>375</v>
      </c>
      <c r="C31" s="206" t="s">
        <v>1103</v>
      </c>
      <c r="D31" s="340">
        <v>0</v>
      </c>
      <c r="E31" s="218" t="s">
        <v>395</v>
      </c>
      <c r="F31" s="218" t="s">
        <v>395</v>
      </c>
      <c r="G31" s="218" t="s">
        <v>395</v>
      </c>
      <c r="H31" s="69">
        <f t="shared" si="1"/>
        <v>0</v>
      </c>
      <c r="I31" s="205" t="s">
        <v>99</v>
      </c>
      <c r="J31" s="205" t="s">
        <v>99</v>
      </c>
      <c r="K31" s="154">
        <f t="shared" si="2"/>
        <v>0</v>
      </c>
      <c r="L31" s="164">
        <f t="shared" si="3"/>
        <v>0</v>
      </c>
      <c r="M31" s="154"/>
      <c r="N31" s="347">
        <f t="shared" si="4"/>
        <v>0</v>
      </c>
      <c r="O31" s="154"/>
      <c r="P31" s="154"/>
      <c r="Q31" s="348">
        <f t="shared" si="5"/>
        <v>0</v>
      </c>
      <c r="R31" s="154"/>
      <c r="S31" s="168" t="str">
        <f>VLOOKUP(E31,Table5[],6)&amp;IF(F31=$Z$52,"",", "&amp;VLOOKUP(F31,Table5[],6))&amp;IF(G31=$Z$52,"",", "&amp;VLOOKUP(G31,Table5[],6))</f>
        <v/>
      </c>
      <c r="T31" s="78">
        <f>INDEX(Table3[],MATCH(C31,Table3[Weapon],0),2)</f>
        <v>0</v>
      </c>
      <c r="U31" s="79">
        <f>VLOOKUP(E31,Table5[],2)+VLOOKUP(F31,Table5[],2)+VLOOKUP(G31,Table5[],2)</f>
        <v>0</v>
      </c>
      <c r="V31" t="str">
        <f>IF('Ship Info'!$F$7,IF('Ship Info'!$C$5&lt;100,'8a-Weapons'!W31,'8a-Weapons'!X31), IF(Tonnage&lt;100,W31,X31))</f>
        <v>HP04</v>
      </c>
      <c r="W31" t="s">
        <v>61</v>
      </c>
      <c r="X31" s="46" t="s">
        <v>356</v>
      </c>
      <c r="Y31" s="92" t="str">
        <f t="shared" si="6"/>
        <v>HP04</v>
      </c>
      <c r="Z31" s="2" t="str">
        <f>VLOOKUP(B15,Table1[],12)</f>
        <v/>
      </c>
      <c r="AA31" s="2" t="str">
        <f t="shared" si="7"/>
        <v/>
      </c>
      <c r="AB31" s="16" t="str">
        <f>C15</f>
        <v/>
      </c>
      <c r="AC31" s="2"/>
      <c r="AD31" s="2"/>
      <c r="AE31" s="2"/>
      <c r="AF31" s="16" t="str">
        <f>IF(E15="A Standard","",VLOOKUP(E15,Table5[],10)&amp;IF(AND(E15=G15,E15=F15)," x3",IF(OR(E15=F15,E15=G15)," x2","")))</f>
        <v/>
      </c>
      <c r="AG31" s="16" t="str">
        <f>IF(F15="A Standard","",IF(E15=F15,"",IF(AF31="","",", ")&amp;VLOOKUP(F15,Table5[],10)&amp;IF(F15=G15," x2","")))</f>
        <v/>
      </c>
      <c r="AH31" s="16" t="str">
        <f>IF(G15="A Standard","",IF(OR(G15=E15,G15=F15),"", IF(AND(AF31="",AG31=""),"",", ")&amp;VLOOKUP(G15,Table5[],10)))</f>
        <v/>
      </c>
      <c r="AI31" s="10">
        <f>D15*(VLOOKUP(B15,Table1[],5)+VLOOKUP(C15,Table3[],7)*VLOOKUP(B15,Table1[],9))*(1+IF(SUM(VLOOKUP(E15,Table5[],5),VLOOKUP(F15,Table5[],5),VLOOKUP(G15,Table5[],5))=0,VLOOKUP(H15,$AC$17:$AD$20,2),VLOOKUP(E15,Table5[],5)+VLOOKUP(F15,Table5[],5)+VLOOKUP(G15,Table5[],5)))</f>
        <v>0</v>
      </c>
      <c r="AJ31" s="2">
        <f>D15*VLOOKUP(B15,Table1[],4)*(1+VLOOKUP(E15,Table5[],4)+VLOOKUP(F15,Table5[],4)+VLOOKUP(G15,Table5[],4))</f>
        <v>0</v>
      </c>
      <c r="AK31" s="2">
        <f>D15*VLOOKUP(B15,Table1[],3)+D15*VLOOKUP(B15,Table1[],9)*VLOOKUP(AB31,Table3[],5)*(1+VLOOKUP(E15,Table5[],3)+VLOOKUP(F15,Table5[],3)+VLOOKUP(G15,Table5[],3))</f>
        <v>0</v>
      </c>
      <c r="AL31" t="str">
        <f>VLOOKUP(AB31,Table3[],8)</f>
        <v/>
      </c>
      <c r="AM31">
        <f>IF(AND('Ship Info'!$F$7,'Ship Info'!$C$5&gt;=100),1,IF($B$4&gt;=100,1,0))</f>
        <v>1</v>
      </c>
      <c r="AN31">
        <f>IF(B15=$Z$2,$AM$28,VLOOKUP(B15,Table4[],2))</f>
        <v>1</v>
      </c>
      <c r="AO31">
        <f t="shared" si="8"/>
        <v>0</v>
      </c>
      <c r="AP31">
        <f>VLOOKUP(B15,Table1[],6)*D15</f>
        <v>0</v>
      </c>
      <c r="AQ31" s="46" t="str">
        <f>IF(AA31="","",IF(E$5="Yes","See Notes",IF(B$4&lt;100,INDEX($U$64:$V$72,MATCH(VLOOKUP(AB31,Table3[],4)+AS31,$U$64:$U$72,0),2),INDEX($U$64:$V$72,MATCH(VLOOKUP(AB31,Table3[],3)+AS31,$U$64:$U$72,0),2))))</f>
        <v/>
      </c>
      <c r="AR31" t="str">
        <f>IF(D9="Yes","See Notes",INDEX(Table3[],MATCH(C15,Table3[Weapon],0),6)&amp;IF(VLOOKUP(AB31,Table3[],10)=0,IF(VLOOKUP(B15,Table1[],10)=0,"","+"&amp;LEFT(VLOOKUP(C15,Table3[],6),1)*VLOOKUP(B15,Table1[],10)),""))</f>
        <v/>
      </c>
      <c r="AS31">
        <f t="shared" ref="AS31:AS47" si="16">IF(OR(AF31=$AI$66,AG31=$AI$66,AH31=$AI$66),1,0)</f>
        <v>0</v>
      </c>
      <c r="AT31" s="92"/>
      <c r="AU31" s="2"/>
      <c r="AV31" s="2"/>
      <c r="AW31" s="2"/>
      <c r="AX31" s="2"/>
      <c r="AY31" s="2"/>
      <c r="AZ31" s="88"/>
      <c r="BA31" s="2"/>
      <c r="BB31" s="2" t="s">
        <v>2339</v>
      </c>
      <c r="BC31" s="2">
        <v>17</v>
      </c>
      <c r="BD31" s="2">
        <v>4</v>
      </c>
      <c r="BE31" s="2"/>
      <c r="BF31" s="2">
        <v>120</v>
      </c>
      <c r="BG31" s="2" t="s">
        <v>2340</v>
      </c>
      <c r="BH31" s="10">
        <v>40000000</v>
      </c>
      <c r="BI31" s="2" t="s">
        <v>337</v>
      </c>
      <c r="BJ31" s="2"/>
      <c r="BK31" s="2">
        <v>1</v>
      </c>
      <c r="BL31" s="2">
        <v>4</v>
      </c>
      <c r="BM31" s="2">
        <f t="shared" si="9"/>
        <v>0</v>
      </c>
      <c r="BN31" s="2">
        <f t="shared" si="10"/>
        <v>0</v>
      </c>
      <c r="BO31" s="2">
        <f t="shared" si="11"/>
        <v>0</v>
      </c>
      <c r="BP31" s="2">
        <f t="shared" si="12"/>
        <v>1</v>
      </c>
      <c r="BQ31" s="2">
        <f t="shared" si="13"/>
        <v>1</v>
      </c>
      <c r="BR31" s="2">
        <f t="shared" si="14"/>
        <v>1</v>
      </c>
      <c r="BS31" s="2">
        <f t="shared" si="15"/>
        <v>0</v>
      </c>
    </row>
    <row r="32" spans="1:71" ht="15.75" customHeight="1" thickBot="1">
      <c r="A32" s="869" t="s">
        <v>1659</v>
      </c>
      <c r="B32" s="869"/>
      <c r="C32" s="225" t="s">
        <v>1228</v>
      </c>
      <c r="D32" s="341">
        <v>0</v>
      </c>
      <c r="I32" s="72"/>
      <c r="J32" s="230"/>
      <c r="L32" s="164">
        <f>5000*D32</f>
        <v>0</v>
      </c>
      <c r="N32" s="242">
        <f>D32*0.25</f>
        <v>0</v>
      </c>
      <c r="V32" t="str">
        <f>IF('Ship Info'!$F$7,IF('Ship Info'!$C$5&lt;100,'8a-Weapons'!W32,'8a-Weapons'!X32), IF(Tonnage&lt;100,W32,X32))</f>
        <v>HP05</v>
      </c>
      <c r="W32" t="s">
        <v>61</v>
      </c>
      <c r="X32" s="46" t="s">
        <v>357</v>
      </c>
      <c r="Y32" s="92" t="str">
        <f t="shared" si="6"/>
        <v>HP05</v>
      </c>
      <c r="Z32" s="2" t="str">
        <f>VLOOKUP(B16,Table1[],12)</f>
        <v/>
      </c>
      <c r="AA32" s="2" t="str">
        <f t="shared" si="7"/>
        <v/>
      </c>
      <c r="AB32" s="16" t="str">
        <f t="shared" ref="AB32:AB47" si="17">C16</f>
        <v/>
      </c>
      <c r="AC32" s="2"/>
      <c r="AD32" s="2"/>
      <c r="AE32" s="2"/>
      <c r="AF32" s="16" t="str">
        <f>IF(E16="A Standard","",VLOOKUP(E16,Table5[],10)&amp;IF(AND(E16=G16,E16=F16)," x3",IF(OR(E16=F16,E16=G16)," x2","")))</f>
        <v/>
      </c>
      <c r="AG32" s="16" t="str">
        <f>IF(F16="A Standard","",IF(E16=F16,"",IF(AF32="","",", ")&amp;VLOOKUP(F16,Table5[],10)&amp;IF(F16=G16," x2","")))</f>
        <v/>
      </c>
      <c r="AH32" s="16" t="str">
        <f>IF(G16="A Standard","",IF(OR(G16=E16,G16=F16),"", IF(AND(AF32="",AG32=""),"",", ")&amp;VLOOKUP(G16,Table5[],10)))</f>
        <v/>
      </c>
      <c r="AI32" s="10">
        <f>D16*(VLOOKUP(B16,Table1[],5)+VLOOKUP(C16,Table3[],7)*VLOOKUP(B16,Table1[],9))*(1+IF(SUM(VLOOKUP(E16,Table5[],5),VLOOKUP(F16,Table5[],5),VLOOKUP(G16,Table5[],5))=0,VLOOKUP(H16,$AC$17:$AD$20,2),VLOOKUP(E16,Table5[],5)+VLOOKUP(F16,Table5[],5)+VLOOKUP(G16,Table5[],5)))</f>
        <v>0</v>
      </c>
      <c r="AJ32" s="2">
        <f>D16*VLOOKUP(B16,Table1[],4)*(1+VLOOKUP(E16,Table5[],4)+VLOOKUP(F16,Table5[],4)+VLOOKUP(G16,Table5[],4))</f>
        <v>0</v>
      </c>
      <c r="AK32" s="2">
        <f>D16*VLOOKUP(B16,Table1[],3)+D16*VLOOKUP(B16,Table1[],9)*VLOOKUP(AB32,Table3[],5)*(1+VLOOKUP(E16,Table5[],3)+VLOOKUP(F16,Table5[],3)+VLOOKUP(G16,Table5[],3))</f>
        <v>0</v>
      </c>
      <c r="AL32" t="str">
        <f>VLOOKUP(AB32,Table3[],8)</f>
        <v/>
      </c>
      <c r="AM32">
        <f>IF(AND('Ship Info'!$F$7,'Ship Info'!$C$5&gt;=100),1,IF($B$4&gt;=100,1,0))</f>
        <v>1</v>
      </c>
      <c r="AN32">
        <f>IF(B16=$Z$2,$AM$28,VLOOKUP(B16,Table4[],2))</f>
        <v>1</v>
      </c>
      <c r="AO32">
        <f t="shared" si="8"/>
        <v>0</v>
      </c>
      <c r="AP32">
        <f>VLOOKUP(B16,Table1[],6)*D16</f>
        <v>0</v>
      </c>
      <c r="AQ32" s="46" t="str">
        <f>IF(AA32="","",IF(E$5="Yes","See Notes",IF(B$4&lt;100,INDEX($U$64:$V$72,MATCH(VLOOKUP(AB32,Table3[],4)+AS32,$U$64:$U$72,0),2),INDEX($U$64:$V$72,MATCH(VLOOKUP(AB32,Table3[],3)+AS32,$U$64:$U$72,0),2))))</f>
        <v/>
      </c>
      <c r="AR32" t="str">
        <f>IF(D10="Yes","See Notes",INDEX(Table3[],MATCH(C16,Table3[Weapon],0),6)&amp;IF(VLOOKUP(AB32,Table3[],10)=0,IF(VLOOKUP(B16,Table1[],10)=0,"","+"&amp;LEFT(VLOOKUP(C16,Table3[],6),1)*VLOOKUP(B16,Table1[],10)),""))</f>
        <v/>
      </c>
      <c r="AS32">
        <f t="shared" si="16"/>
        <v>0</v>
      </c>
      <c r="AT32" s="92"/>
      <c r="AU32" s="2"/>
      <c r="AV32" s="2"/>
      <c r="AW32" s="2"/>
      <c r="AX32" s="2"/>
      <c r="AY32" s="2"/>
      <c r="AZ32" s="88"/>
      <c r="BA32" s="2"/>
      <c r="BB32" s="2" t="s">
        <v>614</v>
      </c>
      <c r="BC32" s="2">
        <v>10</v>
      </c>
      <c r="BD32" s="2">
        <v>4</v>
      </c>
      <c r="BE32" s="2">
        <v>1</v>
      </c>
      <c r="BF32" s="2">
        <v>4</v>
      </c>
      <c r="BG32" s="2" t="s">
        <v>329</v>
      </c>
      <c r="BH32" s="10">
        <v>500000</v>
      </c>
      <c r="BI32" s="2" t="str">
        <f>""</f>
        <v/>
      </c>
      <c r="BJ32" s="2"/>
      <c r="BK32" s="2"/>
      <c r="BL32" s="2">
        <v>1</v>
      </c>
      <c r="BM32" s="2">
        <f t="shared" si="9"/>
        <v>1</v>
      </c>
      <c r="BN32" s="2">
        <f t="shared" si="10"/>
        <v>0</v>
      </c>
      <c r="BO32" s="2">
        <f t="shared" si="11"/>
        <v>0</v>
      </c>
      <c r="BP32" s="2">
        <f t="shared" si="12"/>
        <v>1</v>
      </c>
      <c r="BQ32" s="2">
        <f t="shared" si="13"/>
        <v>1</v>
      </c>
      <c r="BR32" s="2">
        <f t="shared" si="14"/>
        <v>1</v>
      </c>
      <c r="BS32" s="2">
        <f t="shared" si="15"/>
        <v>0</v>
      </c>
    </row>
    <row r="33" spans="1:71" ht="16" thickBot="1">
      <c r="A33" s="869"/>
      <c r="B33" s="869"/>
      <c r="C33" s="223" t="s">
        <v>1229</v>
      </c>
      <c r="D33" s="340">
        <v>0</v>
      </c>
      <c r="E33" s="154"/>
      <c r="F33" s="154"/>
      <c r="G33" s="154"/>
      <c r="H33" s="169"/>
      <c r="I33" s="231" t="s">
        <v>61</v>
      </c>
      <c r="J33" s="205" t="s">
        <v>99</v>
      </c>
      <c r="K33" s="154"/>
      <c r="L33" s="170">
        <f>D33*50000</f>
        <v>0</v>
      </c>
      <c r="M33" s="154"/>
      <c r="N33" s="348">
        <f>D33</f>
        <v>0</v>
      </c>
      <c r="O33" s="154"/>
      <c r="P33" s="154"/>
      <c r="Q33" s="154"/>
      <c r="R33" s="154"/>
      <c r="S33" s="154"/>
      <c r="V33" t="str">
        <f>IF('Ship Info'!$F$7,IF('Ship Info'!$C$5&lt;100,'8a-Weapons'!W33,'8a-Weapons'!X33), IF(Tonnage&lt;100,W33,X33))</f>
        <v>HP06</v>
      </c>
      <c r="W33" t="s">
        <v>61</v>
      </c>
      <c r="X33" s="46" t="s">
        <v>358</v>
      </c>
      <c r="Y33" s="92" t="str">
        <f t="shared" si="6"/>
        <v>HP06</v>
      </c>
      <c r="Z33" s="2" t="str">
        <f>VLOOKUP(B17,Table1[],12)</f>
        <v/>
      </c>
      <c r="AA33" s="2" t="str">
        <f t="shared" si="7"/>
        <v/>
      </c>
      <c r="AB33" s="16" t="str">
        <f t="shared" si="17"/>
        <v/>
      </c>
      <c r="AC33" s="2"/>
      <c r="AD33" s="2"/>
      <c r="AE33" s="2"/>
      <c r="AF33" s="16" t="str">
        <f>IF(E17="A Standard","",VLOOKUP(E17,Table5[],10)&amp;IF(AND(E17=G17,E17=F17)," x3",IF(OR(E17=F17,E17=G17)," x2","")))</f>
        <v/>
      </c>
      <c r="AG33" s="16" t="str">
        <f>IF(F17="A Standard","",IF(E17=F17,"",IF(AF33="","",", ")&amp;VLOOKUP(F17,Table5[],10)&amp;IF(F17=G17," x2","")))</f>
        <v/>
      </c>
      <c r="AH33" s="16" t="str">
        <f>IF(G17="A Standard","",IF(OR(G17=E17,G17=F17),"", IF(AND(AF33="",AG33=""),"",", ")&amp;VLOOKUP(G17,Table5[],10)))</f>
        <v/>
      </c>
      <c r="AI33" s="10">
        <f>D17*(VLOOKUP(B17,Table1[],5)+VLOOKUP(C17,Table3[],7)*VLOOKUP(B17,Table1[],9))*(1+IF(SUM(VLOOKUP(E17,Table5[],5),VLOOKUP(F17,Table5[],5),VLOOKUP(G17,Table5[],5))=0,VLOOKUP(H17,$AC$17:$AD$20,2),VLOOKUP(E17,Table5[],5)+VLOOKUP(F17,Table5[],5)+VLOOKUP(G17,Table5[],5)))</f>
        <v>0</v>
      </c>
      <c r="AJ33" s="2">
        <f>D17*VLOOKUP(B17,Table1[],4)*(1+VLOOKUP(E17,Table5[],4)+VLOOKUP(F17,Table5[],4)+VLOOKUP(G17,Table5[],4))</f>
        <v>0</v>
      </c>
      <c r="AK33" s="2">
        <f>D17*VLOOKUP(B17,Table1[],3)+D17*VLOOKUP(B17,Table1[],9)*VLOOKUP(AB33,Table3[],5)*(1+VLOOKUP(E17,Table5[],3)+VLOOKUP(F17,Table5[],3)+VLOOKUP(G17,Table5[],3))</f>
        <v>0</v>
      </c>
      <c r="AL33" t="str">
        <f>VLOOKUP(AB33,Table3[],8)</f>
        <v/>
      </c>
      <c r="AM33">
        <f>IF(AND('Ship Info'!$F$7,'Ship Info'!$C$5&gt;=100),1,IF($B$4&gt;=100,1,0))</f>
        <v>1</v>
      </c>
      <c r="AN33">
        <f>IF(B17=$Z$2,$AM$28,VLOOKUP(B17,Table4[],2))</f>
        <v>1</v>
      </c>
      <c r="AO33">
        <f t="shared" si="8"/>
        <v>0</v>
      </c>
      <c r="AP33">
        <f>VLOOKUP(B17,Table1[],6)*D17</f>
        <v>0</v>
      </c>
      <c r="AQ33" s="46" t="str">
        <f>IF(AA33="","",IF(E$5="Yes","See Notes",IF(B$4&lt;100,INDEX($U$64:$V$72,MATCH(VLOOKUP(AB33,Table3[],4)+AS33,$U$64:$U$72,0),2),INDEX($U$64:$V$72,MATCH(VLOOKUP(AB33,Table3[],3)+AS33,$U$64:$U$72,0),2))))</f>
        <v/>
      </c>
      <c r="AR33" t="str">
        <f>IF(D11="Yes","See Notes",INDEX(Table3[],MATCH(C17,Table3[Weapon],0),6)&amp;IF(VLOOKUP(AB33,Table3[],10)=0,IF(VLOOKUP(B17,Table1[],10)=0,"","+"&amp;LEFT(VLOOKUP(C17,Table3[],6),1)*VLOOKUP(B17,Table1[],10)),""))</f>
        <v/>
      </c>
      <c r="AS33">
        <f t="shared" si="16"/>
        <v>0</v>
      </c>
      <c r="AT33" s="92"/>
      <c r="AU33" s="2"/>
      <c r="AV33" s="2"/>
      <c r="AW33" s="2"/>
      <c r="AX33" s="2"/>
      <c r="AY33" s="2"/>
      <c r="AZ33" s="88"/>
      <c r="BA33" s="2"/>
      <c r="BB33" s="2" t="s">
        <v>1377</v>
      </c>
      <c r="BC33" s="2">
        <v>10</v>
      </c>
      <c r="BD33" s="2">
        <v>4</v>
      </c>
      <c r="BE33" s="2">
        <v>1</v>
      </c>
      <c r="BF33" s="2">
        <v>8</v>
      </c>
      <c r="BG33" s="2" t="s">
        <v>1344</v>
      </c>
      <c r="BH33" s="10">
        <v>1000000</v>
      </c>
      <c r="BI33" s="2"/>
      <c r="BJ33" s="2"/>
      <c r="BK33" s="2">
        <v>1</v>
      </c>
      <c r="BL33" s="2">
        <v>2</v>
      </c>
      <c r="BM33" s="2">
        <f t="shared" si="9"/>
        <v>1</v>
      </c>
      <c r="BN33" s="2">
        <f t="shared" si="10"/>
        <v>1</v>
      </c>
      <c r="BO33" s="2">
        <f t="shared" si="11"/>
        <v>0</v>
      </c>
      <c r="BP33" s="2">
        <f t="shared" si="12"/>
        <v>1</v>
      </c>
      <c r="BQ33" s="2">
        <f t="shared" si="13"/>
        <v>1</v>
      </c>
      <c r="BR33" s="2">
        <f t="shared" si="14"/>
        <v>1</v>
      </c>
      <c r="BS33" s="2">
        <f t="shared" si="15"/>
        <v>0</v>
      </c>
    </row>
    <row r="34" spans="1:71" ht="16" thickBot="1">
      <c r="A34" s="317"/>
      <c r="B34" s="317"/>
      <c r="C34" s="157" t="s">
        <v>1660</v>
      </c>
      <c r="D34" s="341">
        <v>0</v>
      </c>
      <c r="E34" s="157" t="s">
        <v>1658</v>
      </c>
      <c r="F34" s="224">
        <v>0</v>
      </c>
      <c r="I34" s="72" t="s">
        <v>61</v>
      </c>
      <c r="J34" s="198" t="s">
        <v>99</v>
      </c>
      <c r="L34" s="164">
        <f>5000*D34</f>
        <v>0</v>
      </c>
      <c r="N34" s="242">
        <f>F34</f>
        <v>0</v>
      </c>
      <c r="V34" t="str">
        <f>IF('Ship Info'!$F$7,IF('Ship Info'!$C$5&lt;100,'8a-Weapons'!W34,'8a-Weapons'!X34), IF(Tonnage&lt;100,W34,X34))</f>
        <v>HP07</v>
      </c>
      <c r="W34" t="s">
        <v>61</v>
      </c>
      <c r="X34" s="46" t="s">
        <v>359</v>
      </c>
      <c r="Y34" s="92" t="str">
        <f t="shared" si="6"/>
        <v>HP07</v>
      </c>
      <c r="Z34" s="2" t="str">
        <f>VLOOKUP(B18,Table1[],12)</f>
        <v/>
      </c>
      <c r="AA34" s="2" t="str">
        <f t="shared" si="7"/>
        <v/>
      </c>
      <c r="AB34" s="16" t="str">
        <f t="shared" si="17"/>
        <v/>
      </c>
      <c r="AC34" s="2"/>
      <c r="AD34" s="2"/>
      <c r="AE34" s="2"/>
      <c r="AF34" s="16" t="str">
        <f>IF(E18="A Standard","",VLOOKUP(E18,Table5[],10)&amp;IF(AND(E18=G18,E18=F18)," x3",IF(OR(E18=F18,E18=G18)," x2","")))</f>
        <v/>
      </c>
      <c r="AG34" s="16" t="str">
        <f>IF(F18="A Standard","",IF(E18=F18,"",IF(AF34="","",", ")&amp;VLOOKUP(F18,Table5[],10)&amp;IF(F18=G18," x2","")))</f>
        <v/>
      </c>
      <c r="AH34" s="16" t="str">
        <f>IF(G18="A Standard","",IF(OR(G18=E18,G18=F18),"", IF(AND(AF34="",AG34=""),"",", ")&amp;VLOOKUP(G18,Table5[],10)))</f>
        <v/>
      </c>
      <c r="AI34" s="10">
        <f>D18*(VLOOKUP(B18,Table1[],5)+VLOOKUP(C18,Table3[],7)*VLOOKUP(B18,Table1[],9))*(1+IF(SUM(VLOOKUP(E18,Table5[],5),VLOOKUP(F18,Table5[],5),VLOOKUP(G18,Table5[],5))=0,VLOOKUP(H18,$AC$17:$AD$20,2),VLOOKUP(E18,Table5[],5)+VLOOKUP(F18,Table5[],5)+VLOOKUP(G18,Table5[],5)))</f>
        <v>0</v>
      </c>
      <c r="AJ34" s="2">
        <f>D18*VLOOKUP(B18,Table1[],4)*(1+VLOOKUP(E18,Table5[],4)+VLOOKUP(F18,Table5[],4)+VLOOKUP(G18,Table5[],4))</f>
        <v>0</v>
      </c>
      <c r="AK34" s="2">
        <f>D18*VLOOKUP(B18,Table1[],3)+D18*VLOOKUP(B18,Table1[],9)*VLOOKUP(AB34,Table3[],5)*(1+VLOOKUP(E18,Table5[],3)+VLOOKUP(F18,Table5[],3)+VLOOKUP(G18,Table5[],3))</f>
        <v>0</v>
      </c>
      <c r="AL34" t="str">
        <f>VLOOKUP(AB34,Table3[],8)</f>
        <v/>
      </c>
      <c r="AM34">
        <f>IF(AND('Ship Info'!$F$7,'Ship Info'!$C$5&gt;=100),1,IF($B$4&gt;=100,1,0))</f>
        <v>1</v>
      </c>
      <c r="AN34">
        <f>IF(B18=$Z$2,$AM$28,VLOOKUP(B18,Table4[],2))</f>
        <v>1</v>
      </c>
      <c r="AO34">
        <f t="shared" si="8"/>
        <v>0</v>
      </c>
      <c r="AP34">
        <f>VLOOKUP(B18,Table1[],6)*D18</f>
        <v>0</v>
      </c>
      <c r="AQ34" s="46" t="str">
        <f>IF(AA34="","",IF(E$5="Yes","See Notes",IF(B$4&lt;100,INDEX($U$64:$V$72,MATCH(VLOOKUP(AB34,Table3[],4)+AS34,$U$64:$U$72,0),2),INDEX($U$64:$V$72,MATCH(VLOOKUP(AB34,Table3[],3)+AS34,$U$64:$U$72,0),2))))</f>
        <v/>
      </c>
      <c r="AR34" t="str">
        <f>IF(D12="Yes","See Notes",INDEX(Table3[],MATCH(C18,Table3[Weapon],0),6)&amp;IF(VLOOKUP(AB34,Table3[],10)=0,IF(VLOOKUP(B18,Table1[],10)=0,"","+"&amp;LEFT(VLOOKUP(C18,Table3[],6),1)*VLOOKUP(B18,Table1[],10)),""))</f>
        <v/>
      </c>
      <c r="AS34">
        <f t="shared" si="16"/>
        <v>0</v>
      </c>
      <c r="AT34" s="92"/>
      <c r="AU34" s="2"/>
      <c r="AV34" s="2"/>
      <c r="AW34" s="2"/>
      <c r="AX34" s="2"/>
      <c r="AY34" s="2"/>
      <c r="AZ34" s="88"/>
      <c r="BA34" s="2"/>
      <c r="BB34" s="2" t="s">
        <v>1688</v>
      </c>
      <c r="BC34" s="2">
        <v>10</v>
      </c>
      <c r="BD34" s="2">
        <v>4</v>
      </c>
      <c r="BE34" s="2"/>
      <c r="BF34" s="2">
        <v>100</v>
      </c>
      <c r="BG34" s="2" t="s">
        <v>1696</v>
      </c>
      <c r="BH34" s="10">
        <v>15000000</v>
      </c>
      <c r="BI34" s="2"/>
      <c r="BJ34" s="2"/>
      <c r="BK34" s="2">
        <v>1</v>
      </c>
      <c r="BL34" s="2">
        <v>6</v>
      </c>
      <c r="BM34" s="2">
        <f t="shared" si="9"/>
        <v>1</v>
      </c>
      <c r="BN34" s="2">
        <f t="shared" si="10"/>
        <v>1</v>
      </c>
      <c r="BO34" s="2">
        <f t="shared" si="11"/>
        <v>0</v>
      </c>
      <c r="BP34" s="2">
        <f t="shared" si="12"/>
        <v>1</v>
      </c>
      <c r="BQ34" s="2">
        <f t="shared" si="13"/>
        <v>1</v>
      </c>
      <c r="BR34" s="2">
        <f t="shared" si="14"/>
        <v>2</v>
      </c>
      <c r="BS34" s="2">
        <f t="shared" si="15"/>
        <v>0</v>
      </c>
    </row>
    <row r="35" spans="1:71" ht="16" thickBot="1">
      <c r="B35" s="167" t="s">
        <v>636</v>
      </c>
      <c r="C35" s="154"/>
      <c r="D35" s="154"/>
      <c r="E35" s="154"/>
      <c r="F35" s="169"/>
      <c r="G35" s="154"/>
      <c r="H35" s="169"/>
      <c r="I35" s="169"/>
      <c r="J35" s="169"/>
      <c r="K35" s="154"/>
      <c r="L35" s="170"/>
      <c r="M35" s="154"/>
      <c r="N35" s="348"/>
      <c r="O35" s="154"/>
      <c r="P35" s="154"/>
      <c r="Q35" s="154"/>
      <c r="R35" s="154"/>
      <c r="S35" s="154"/>
      <c r="V35" t="str">
        <f>IF('Ship Info'!$F$7,IF('Ship Info'!$C$5&lt;100,'8a-Weapons'!W35,'8a-Weapons'!X35), IF(Tonnage&lt;100,W35,X35))</f>
        <v>HP08</v>
      </c>
      <c r="W35" t="s">
        <v>61</v>
      </c>
      <c r="X35" s="46" t="s">
        <v>360</v>
      </c>
      <c r="Y35" s="92" t="str">
        <f t="shared" si="6"/>
        <v>HP08</v>
      </c>
      <c r="Z35" s="2" t="str">
        <f>VLOOKUP(B19,Table1[],12)</f>
        <v/>
      </c>
      <c r="AA35" s="2" t="str">
        <f t="shared" si="7"/>
        <v/>
      </c>
      <c r="AB35" s="16" t="str">
        <f t="shared" si="17"/>
        <v/>
      </c>
      <c r="AC35" s="2"/>
      <c r="AD35" s="2"/>
      <c r="AE35" s="2"/>
      <c r="AF35" s="16" t="str">
        <f>IF(E19="A Standard","",VLOOKUP(E19,Table5[],10)&amp;IF(AND(E19=G19,E19=F19)," x3",IF(OR(E19=F19,E19=G19)," x2","")))</f>
        <v/>
      </c>
      <c r="AG35" s="16" t="str">
        <f>IF(F19="A Standard","",IF(E19=F19,"",IF(AF35="","",", ")&amp;VLOOKUP(F19,Table5[],10)&amp;IF(F19=G19," x2","")))</f>
        <v/>
      </c>
      <c r="AH35" s="16" t="str">
        <f>IF(G19="A Standard","",IF(OR(G19=E19,G19=F19),"", IF(AND(AF35="",AG35=""),"",", ")&amp;VLOOKUP(G19,Table5[],10)))</f>
        <v/>
      </c>
      <c r="AI35" s="10">
        <f>D19*(VLOOKUP(B19,Table1[],5)+VLOOKUP(C19,Table3[],7)*VLOOKUP(B19,Table1[],9))*(1+IF(SUM(VLOOKUP(E19,Table5[],5),VLOOKUP(F19,Table5[],5),VLOOKUP(G19,Table5[],5))=0,VLOOKUP(H19,$AC$17:$AD$20,2),VLOOKUP(E19,Table5[],5)+VLOOKUP(F19,Table5[],5)+VLOOKUP(G19,Table5[],5)))</f>
        <v>0</v>
      </c>
      <c r="AJ35" s="2">
        <f>D19*VLOOKUP(B19,Table1[],4)*(1+VLOOKUP(E19,Table5[],4)+VLOOKUP(F19,Table5[],4)+VLOOKUP(G19,Table5[],4))</f>
        <v>0</v>
      </c>
      <c r="AK35" s="2">
        <f>D19*VLOOKUP(B19,Table1[],3)+D19*VLOOKUP(B19,Table1[],9)*VLOOKUP(AB35,Table3[],5)*(1+VLOOKUP(E19,Table5[],3)+VLOOKUP(F19,Table5[],3)+VLOOKUP(G19,Table5[],3))</f>
        <v>0</v>
      </c>
      <c r="AL35" t="str">
        <f>VLOOKUP(AB35,Table3[],8)</f>
        <v/>
      </c>
      <c r="AM35">
        <f>IF(AND('Ship Info'!$F$7,'Ship Info'!$C$5&gt;=100),1,IF($B$4&gt;=100,1,0))</f>
        <v>1</v>
      </c>
      <c r="AN35">
        <f>IF(B19=$Z$2,$AM$28,VLOOKUP(B19,Table4[],2))</f>
        <v>1</v>
      </c>
      <c r="AO35">
        <f t="shared" si="8"/>
        <v>0</v>
      </c>
      <c r="AP35">
        <f>VLOOKUP(B19,Table1[],6)*D19</f>
        <v>0</v>
      </c>
      <c r="AQ35" s="46" t="str">
        <f>IF(AA35="","",IF(E$5="Yes","See Notes",IF(B$4&lt;100,INDEX($U$64:$V$72,MATCH(VLOOKUP(AB35,Table3[],4)+AS35,$U$64:$U$72,0),2),INDEX($U$64:$V$72,MATCH(VLOOKUP(AB35,Table3[],3)+AS35,$U$64:$U$72,0),2))))</f>
        <v/>
      </c>
      <c r="AR35" t="str">
        <f>IF(D13="Yes","See Notes",INDEX(Table3[],MATCH(C19,Table3[Weapon],0),6)&amp;IF(VLOOKUP(AB35,Table3[],10)=0,IF(VLOOKUP(B19,Table1[],10)=0,"","+"&amp;LEFT(VLOOKUP(C19,Table3[],6),1)*VLOOKUP(B19,Table1[],10)),""))</f>
        <v/>
      </c>
      <c r="AS35">
        <f t="shared" si="16"/>
        <v>0</v>
      </c>
      <c r="AT35" s="92"/>
      <c r="AU35" s="2"/>
      <c r="AV35" s="2"/>
      <c r="AW35" s="2"/>
      <c r="AX35" s="2"/>
      <c r="AY35" s="2"/>
      <c r="AZ35" s="88"/>
      <c r="BA35" s="2"/>
      <c r="BB35" s="2" t="s">
        <v>1689</v>
      </c>
      <c r="BC35" s="2">
        <v>10</v>
      </c>
      <c r="BD35" s="2">
        <v>4</v>
      </c>
      <c r="BE35" s="2"/>
      <c r="BF35" s="2">
        <v>23</v>
      </c>
      <c r="BG35" s="2" t="s">
        <v>1697</v>
      </c>
      <c r="BH35" s="10">
        <v>5000000</v>
      </c>
      <c r="BI35" s="2"/>
      <c r="BJ35" s="2"/>
      <c r="BK35" s="2">
        <v>1</v>
      </c>
      <c r="BL35" s="2">
        <v>5</v>
      </c>
      <c r="BM35" s="2">
        <f t="shared" si="9"/>
        <v>1</v>
      </c>
      <c r="BN35" s="2">
        <f t="shared" si="10"/>
        <v>1</v>
      </c>
      <c r="BO35" s="2">
        <f t="shared" si="11"/>
        <v>0</v>
      </c>
      <c r="BP35" s="2">
        <f t="shared" si="12"/>
        <v>1</v>
      </c>
      <c r="BQ35" s="2">
        <f t="shared" si="13"/>
        <v>2</v>
      </c>
      <c r="BR35" s="2">
        <f t="shared" si="14"/>
        <v>2</v>
      </c>
      <c r="BS35" s="2">
        <f t="shared" si="15"/>
        <v>0</v>
      </c>
    </row>
    <row r="36" spans="1:71" ht="16" thickBot="1">
      <c r="B36" s="206" t="s">
        <v>375</v>
      </c>
      <c r="C36" s="154"/>
      <c r="D36" s="340">
        <v>1</v>
      </c>
      <c r="E36" s="218" t="s">
        <v>395</v>
      </c>
      <c r="F36" s="218" t="s">
        <v>395</v>
      </c>
      <c r="G36" s="218" t="s">
        <v>395</v>
      </c>
      <c r="H36" s="169">
        <f>VLOOKUP(E36,Table6[],7)+VLOOKUP(F36,Table6[],7)+VLOOKUP(G36,Table6[],7)</f>
        <v>0</v>
      </c>
      <c r="I36" s="205" t="s">
        <v>99</v>
      </c>
      <c r="J36" s="205" t="s">
        <v>99</v>
      </c>
      <c r="K36" s="154">
        <f>IF(B36=Z113,0,X154+Y154)</f>
        <v>0</v>
      </c>
      <c r="L36" s="170">
        <f>IF(I36="No",Z156,1.5*Z156)+(IF(J36="No",0,Z154*0.1)*200000)</f>
        <v>0</v>
      </c>
      <c r="M36" s="154"/>
      <c r="N36" s="348">
        <f>IF(J36="No",Z154,1.1*Z154)</f>
        <v>0</v>
      </c>
      <c r="O36" s="154"/>
      <c r="P36" s="154"/>
      <c r="Q36" s="348">
        <f>AA154</f>
        <v>0</v>
      </c>
      <c r="R36" s="154"/>
      <c r="S36" s="870" t="str">
        <f>Z161&amp;Z162&amp;Z163</f>
        <v/>
      </c>
      <c r="V36" t="str">
        <f>IF('Ship Info'!$F$7,IF('Ship Info'!$C$5&lt;100,'8a-Weapons'!W36,'8a-Weapons'!X36), IF(Tonnage&lt;100,W36,X36))</f>
        <v>HP09</v>
      </c>
      <c r="W36" t="s">
        <v>61</v>
      </c>
      <c r="X36" s="46" t="s">
        <v>361</v>
      </c>
      <c r="Y36" s="92" t="str">
        <f t="shared" si="6"/>
        <v>HP09</v>
      </c>
      <c r="Z36" s="2" t="str">
        <f>VLOOKUP(B20,Table1[],12)</f>
        <v/>
      </c>
      <c r="AA36" s="2" t="str">
        <f t="shared" si="7"/>
        <v/>
      </c>
      <c r="AB36" s="16" t="str">
        <f t="shared" si="17"/>
        <v/>
      </c>
      <c r="AC36" s="2"/>
      <c r="AD36" s="2"/>
      <c r="AE36" s="2"/>
      <c r="AF36" s="16" t="str">
        <f>IF(E20="A Standard","",VLOOKUP(E20,Table5[],10)&amp;IF(AND(E20=G20,E20=F20)," x3",IF(OR(E20=F20,E20=G20)," x2","")))</f>
        <v/>
      </c>
      <c r="AG36" s="16" t="str">
        <f>IF(F20="A Standard","",IF(E20=F20,"",IF(AF36="","",", ")&amp;VLOOKUP(F20,Table5[],10)&amp;IF(F20=G20," x2","")))</f>
        <v/>
      </c>
      <c r="AH36" s="16" t="str">
        <f>IF(G20="A Standard","",IF(OR(G20=E20,G20=F20),"", IF(AND(AF36="",AG36=""),"",", ")&amp;VLOOKUP(G20,Table5[],10)))</f>
        <v/>
      </c>
      <c r="AI36" s="10">
        <f>D20*(VLOOKUP(B20,Table1[],5)+VLOOKUP(C20,Table3[],7)*VLOOKUP(B20,Table1[],9))*(1+IF(SUM(VLOOKUP(E20,Table5[],5),VLOOKUP(F20,Table5[],5),VLOOKUP(G20,Table5[],5))=0,VLOOKUP(H20,$AC$17:$AD$20,2),VLOOKUP(E20,Table5[],5)+VLOOKUP(F20,Table5[],5)+VLOOKUP(G20,Table5[],5)))</f>
        <v>0</v>
      </c>
      <c r="AJ36" s="2">
        <f>D20*VLOOKUP(B20,Table1[],4)*(1+VLOOKUP(E20,Table5[],4)+VLOOKUP(F20,Table5[],4)+VLOOKUP(G20,Table5[],4))</f>
        <v>0</v>
      </c>
      <c r="AK36" s="2">
        <f>D20*VLOOKUP(B20,Table1[],3)+D20*VLOOKUP(B20,Table1[],9)*VLOOKUP(AB36,Table3[],5)*(1+VLOOKUP(E20,Table5[],3)+VLOOKUP(F20,Table5[],3)+VLOOKUP(G20,Table5[],3))</f>
        <v>0</v>
      </c>
      <c r="AL36" t="str">
        <f>VLOOKUP(AB36,Table3[],8)</f>
        <v/>
      </c>
      <c r="AM36">
        <f>IF(AND('Ship Info'!$F$7,'Ship Info'!$C$5&gt;=100),1,IF($B$4&gt;=100,1,0))</f>
        <v>1</v>
      </c>
      <c r="AN36">
        <f>IF(B20=$Z$2,$AM$28,VLOOKUP(B20,Table4[],2))</f>
        <v>1</v>
      </c>
      <c r="AO36">
        <f t="shared" si="8"/>
        <v>0</v>
      </c>
      <c r="AP36">
        <f>VLOOKUP(B20,Table1[],6)*D20</f>
        <v>0</v>
      </c>
      <c r="AQ36" s="46" t="str">
        <f>IF(AA36="","",IF(E$5="Yes","See Notes",IF(B$4&lt;100,INDEX($U$64:$V$72,MATCH(VLOOKUP(AB36,Table3[],4)+AS36,$U$64:$U$72,0),2),INDEX($U$64:$V$72,MATCH(VLOOKUP(AB36,Table3[],3)+AS36,$U$64:$U$72,0),2))))</f>
        <v/>
      </c>
      <c r="AR36" t="str">
        <f>IF(D14="Yes","See Notes",INDEX(Table3[],MATCH(C20,Table3[Weapon],0),6)&amp;IF(VLOOKUP(AB36,Table3[],10)=0,IF(VLOOKUP(B20,Table1[],10)=0,"","+"&amp;LEFT(VLOOKUP(C20,Table3[],6),1)*VLOOKUP(B20,Table1[],10)),""))</f>
        <v/>
      </c>
      <c r="AS36">
        <f t="shared" si="16"/>
        <v>0</v>
      </c>
      <c r="AT36" s="92"/>
      <c r="AU36" s="2"/>
      <c r="AV36" s="2"/>
      <c r="AW36" s="2"/>
      <c r="AX36" s="2"/>
      <c r="AY36" s="2"/>
      <c r="AZ36" s="88"/>
      <c r="BA36" s="2"/>
      <c r="BB36" s="2" t="s">
        <v>1690</v>
      </c>
      <c r="BC36" s="2">
        <v>10</v>
      </c>
      <c r="BD36" s="2">
        <v>4</v>
      </c>
      <c r="BE36" s="2"/>
      <c r="BF36" s="2">
        <v>15</v>
      </c>
      <c r="BG36" s="2" t="s">
        <v>1698</v>
      </c>
      <c r="BH36" s="10">
        <v>1500000</v>
      </c>
      <c r="BI36" s="2"/>
      <c r="BJ36" s="2"/>
      <c r="BK36" s="2">
        <v>1</v>
      </c>
      <c r="BL36" s="2">
        <v>4</v>
      </c>
      <c r="BM36" s="2">
        <f t="shared" si="9"/>
        <v>1</v>
      </c>
      <c r="BN36" s="2">
        <f t="shared" si="10"/>
        <v>1</v>
      </c>
      <c r="BO36" s="2">
        <f t="shared" si="11"/>
        <v>0</v>
      </c>
      <c r="BP36" s="2">
        <f t="shared" si="12"/>
        <v>2</v>
      </c>
      <c r="BQ36" s="2">
        <f t="shared" si="13"/>
        <v>2</v>
      </c>
      <c r="BR36" s="2">
        <f t="shared" si="14"/>
        <v>2</v>
      </c>
      <c r="BS36" s="2">
        <f t="shared" si="15"/>
        <v>0</v>
      </c>
    </row>
    <row r="37" spans="1:71">
      <c r="B37" s="154"/>
      <c r="C37" s="223" t="s">
        <v>397</v>
      </c>
      <c r="D37" s="342">
        <f>IF(D36=0,0,ROUNDUP(Z154/100,0))</f>
        <v>0</v>
      </c>
      <c r="E37" s="866" t="s">
        <v>1239</v>
      </c>
      <c r="F37" s="866"/>
      <c r="G37" s="154"/>
      <c r="H37" s="169"/>
      <c r="I37" s="169"/>
      <c r="J37" s="169"/>
      <c r="K37" s="154"/>
      <c r="L37" s="154"/>
      <c r="M37" s="154"/>
      <c r="N37" s="154"/>
      <c r="O37" s="154"/>
      <c r="P37" s="154"/>
      <c r="Q37" s="154"/>
      <c r="R37" s="154"/>
      <c r="S37" s="870"/>
      <c r="V37" t="str">
        <f>IF('Ship Info'!$F$7,IF('Ship Info'!$C$5&lt;100,'8a-Weapons'!W37,'8a-Weapons'!X37), IF(Tonnage&lt;100,W37,X37))</f>
        <v>HP10</v>
      </c>
      <c r="W37" t="s">
        <v>61</v>
      </c>
      <c r="X37" s="46" t="s">
        <v>362</v>
      </c>
      <c r="Y37" s="92" t="str">
        <f t="shared" si="6"/>
        <v>HP10</v>
      </c>
      <c r="Z37" s="2" t="str">
        <f>VLOOKUP(B21,Table1[],12)</f>
        <v/>
      </c>
      <c r="AA37" s="2" t="str">
        <f t="shared" si="7"/>
        <v/>
      </c>
      <c r="AB37" s="16" t="str">
        <f t="shared" si="17"/>
        <v/>
      </c>
      <c r="AC37" s="2"/>
      <c r="AD37" s="2"/>
      <c r="AE37" s="2"/>
      <c r="AF37" s="16" t="str">
        <f>IF(E21="A Standard","",VLOOKUP(E21,Table5[],10)&amp;IF(AND(E21=G21,E21=F21)," x3",IF(OR(E21=F21,E21=G21)," x2","")))</f>
        <v/>
      </c>
      <c r="AG37" s="16" t="str">
        <f>IF(F21="A Standard","",IF(E21=F21,"",IF(AF37="","",", ")&amp;VLOOKUP(F21,Table5[],10)&amp;IF(F21=G21," x2","")))</f>
        <v/>
      </c>
      <c r="AH37" s="16" t="str">
        <f>IF(G21="A Standard","",IF(OR(G21=E21,G21=F21),"", IF(AND(AF37="",AG37=""),"",", ")&amp;VLOOKUP(G21,Table5[],10)))</f>
        <v/>
      </c>
      <c r="AI37" s="10">
        <f>D21*(VLOOKUP(B21,Table1[],5)+VLOOKUP(C21,Table3[],7)*VLOOKUP(B21,Table1[],9))*(1+IF(SUM(VLOOKUP(E21,Table5[],5),VLOOKUP(F21,Table5[],5),VLOOKUP(G21,Table5[],5))=0,VLOOKUP(H21,$AC$17:$AD$20,2),VLOOKUP(E21,Table5[],5)+VLOOKUP(F21,Table5[],5)+VLOOKUP(G21,Table5[],5)))</f>
        <v>0</v>
      </c>
      <c r="AJ37" s="2">
        <f>D21*VLOOKUP(B21,Table1[],4)*(1+VLOOKUP(E21,Table5[],4)+VLOOKUP(F21,Table5[],4)+VLOOKUP(G21,Table5[],4))</f>
        <v>0</v>
      </c>
      <c r="AK37" s="2">
        <f>D21*VLOOKUP(B21,Table1[],3)+D21*VLOOKUP(B21,Table1[],9)*VLOOKUP(AB37,Table3[],5)*(1+VLOOKUP(E21,Table5[],3)+VLOOKUP(F21,Table5[],3)+VLOOKUP(G21,Table5[],3))</f>
        <v>0</v>
      </c>
      <c r="AL37" t="str">
        <f>VLOOKUP(AB37,Table3[],8)</f>
        <v/>
      </c>
      <c r="AM37">
        <f>IF(AND('Ship Info'!$F$7,'Ship Info'!$C$5&gt;=100),1,IF($B$4&gt;=100,1,0))</f>
        <v>1</v>
      </c>
      <c r="AN37">
        <f>IF(B21=$Z$2,$AM$28,VLOOKUP(B21,Table4[],2))</f>
        <v>1</v>
      </c>
      <c r="AO37">
        <f t="shared" si="8"/>
        <v>0</v>
      </c>
      <c r="AP37">
        <f>VLOOKUP(B21,Table1[],6)*D21</f>
        <v>0</v>
      </c>
      <c r="AQ37" s="46" t="str">
        <f>IF(AA37="","",IF(E$5="Yes","See Notes",IF(B$4&lt;100,INDEX($U$64:$V$72,MATCH(VLOOKUP(AB37,Table3[],4)+AS37,$U$64:$U$72,0),2),INDEX($U$64:$V$72,MATCH(VLOOKUP(AB37,Table3[],3)+AS37,$U$64:$U$72,0),2))))</f>
        <v/>
      </c>
      <c r="AR37" t="str">
        <f>IF(D15="Yes","See Notes",INDEX(Table3[],MATCH(C21,Table3[Weapon],0),6)&amp;IF(VLOOKUP(AB37,Table3[],10)=0,IF(VLOOKUP(B21,Table1[],10)=0,"","+"&amp;LEFT(VLOOKUP(C21,Table3[],6),1)*VLOOKUP(B21,Table1[],10)),""))</f>
        <v/>
      </c>
      <c r="AS37">
        <f t="shared" si="16"/>
        <v>0</v>
      </c>
      <c r="AT37" s="92"/>
      <c r="AU37" s="2"/>
      <c r="AV37" s="2"/>
      <c r="AW37" s="2"/>
      <c r="AX37" s="2"/>
      <c r="AY37" s="2"/>
      <c r="AZ37" s="88"/>
      <c r="BA37" s="2"/>
      <c r="BB37" s="2" t="s">
        <v>1694</v>
      </c>
      <c r="BC37" s="2">
        <v>10</v>
      </c>
      <c r="BD37" s="2">
        <v>4</v>
      </c>
      <c r="BE37" s="2">
        <v>1</v>
      </c>
      <c r="BF37" s="2">
        <v>4</v>
      </c>
      <c r="BG37" s="2" t="s">
        <v>329</v>
      </c>
      <c r="BH37" s="10">
        <v>750000</v>
      </c>
      <c r="BI37" s="2" t="s">
        <v>1695</v>
      </c>
      <c r="BJ37" s="2"/>
      <c r="BK37" s="2"/>
      <c r="BL37" s="2">
        <v>1</v>
      </c>
      <c r="BM37" s="2">
        <f t="shared" si="9"/>
        <v>2</v>
      </c>
      <c r="BN37" s="2">
        <f t="shared" si="10"/>
        <v>1</v>
      </c>
      <c r="BO37" s="2">
        <f t="shared" si="11"/>
        <v>0</v>
      </c>
      <c r="BP37" s="2">
        <f t="shared" si="12"/>
        <v>2</v>
      </c>
      <c r="BQ37" s="2">
        <f t="shared" si="13"/>
        <v>2</v>
      </c>
      <c r="BR37" s="2">
        <f t="shared" si="14"/>
        <v>2</v>
      </c>
      <c r="BS37" s="2">
        <f t="shared" si="15"/>
        <v>0</v>
      </c>
    </row>
    <row r="38" spans="1:71">
      <c r="C38" s="171"/>
      <c r="F38" s="172" t="s">
        <v>1126</v>
      </c>
      <c r="G38" s="159"/>
      <c r="H38" s="173"/>
      <c r="I38" s="173"/>
      <c r="J38" s="159" t="s">
        <v>1127</v>
      </c>
      <c r="K38" s="173"/>
      <c r="L38" s="173"/>
      <c r="M38" s="173"/>
      <c r="N38" s="173"/>
      <c r="O38" s="173"/>
      <c r="P38" s="174"/>
      <c r="Q38" s="69"/>
      <c r="R38" s="69"/>
      <c r="V38" t="str">
        <f>IF('Ship Info'!$F$7,IF('Ship Info'!$C$5&lt;100,'8a-Weapons'!W38,'8a-Weapons'!X38), IF(Tonnage&lt;100,W38,X38))</f>
        <v>HP11</v>
      </c>
      <c r="W38" t="s">
        <v>61</v>
      </c>
      <c r="X38" s="46" t="s">
        <v>363</v>
      </c>
      <c r="Y38" s="92" t="str">
        <f t="shared" si="6"/>
        <v>HP11</v>
      </c>
      <c r="Z38" s="2" t="str">
        <f>VLOOKUP(B22,Table1[],12)</f>
        <v/>
      </c>
      <c r="AA38" s="2" t="str">
        <f t="shared" si="7"/>
        <v/>
      </c>
      <c r="AB38" s="16" t="str">
        <f t="shared" si="17"/>
        <v/>
      </c>
      <c r="AC38" s="2"/>
      <c r="AD38" s="2"/>
      <c r="AE38" s="2"/>
      <c r="AF38" s="16" t="str">
        <f>IF(E22="A Standard","",VLOOKUP(E22,Table5[],10)&amp;IF(AND(E22=G22,E22=F22)," x3",IF(OR(E22=F22,E22=G22)," x2","")))</f>
        <v/>
      </c>
      <c r="AG38" s="16" t="str">
        <f>IF(F22="A Standard","",IF(E22=F22,"",IF(AF38="","",", ")&amp;VLOOKUP(F22,Table5[],10)&amp;IF(F22=G22," x2","")))</f>
        <v/>
      </c>
      <c r="AH38" s="16" t="str">
        <f>IF(G22="A Standard","",IF(OR(G22=E22,G22=F22),"", IF(AND(AF38="",AG38=""),"",", ")&amp;VLOOKUP(G22,Table5[],10)))</f>
        <v/>
      </c>
      <c r="AI38" s="10">
        <f>D22*(VLOOKUP(B22,Table1[],5)+VLOOKUP(C22,Table3[],7)*VLOOKUP(B22,Table1[],9))*(1+IF(SUM(VLOOKUP(E22,Table5[],5),VLOOKUP(F22,Table5[],5),VLOOKUP(G22,Table5[],5))=0,VLOOKUP(H22,$AC$17:$AD$20,2),VLOOKUP(E22,Table5[],5)+VLOOKUP(F22,Table5[],5)+VLOOKUP(G22,Table5[],5)))</f>
        <v>0</v>
      </c>
      <c r="AJ38" s="2">
        <f>D22*VLOOKUP(B22,Table1[],4)*(1+VLOOKUP(E22,Table5[],4)+VLOOKUP(F22,Table5[],4)+VLOOKUP(G22,Table5[],4))</f>
        <v>0</v>
      </c>
      <c r="AK38" s="2">
        <f>D22*VLOOKUP(B22,Table1[],3)+D22*VLOOKUP(B22,Table1[],9)*VLOOKUP(AB38,Table3[],5)*(1+VLOOKUP(E22,Table5[],3)+VLOOKUP(F22,Table5[],3)+VLOOKUP(G22,Table5[],3))</f>
        <v>0</v>
      </c>
      <c r="AL38" t="str">
        <f>VLOOKUP(AB38,Table3[],8)</f>
        <v/>
      </c>
      <c r="AM38">
        <f>IF(AND('Ship Info'!$F$7,'Ship Info'!$C$5&gt;=100),1,IF($B$4&gt;=100,1,0))</f>
        <v>1</v>
      </c>
      <c r="AN38">
        <f>IF(B22=$Z$2,$AM$28,VLOOKUP(B22,Table4[],2))</f>
        <v>1</v>
      </c>
      <c r="AO38">
        <f t="shared" si="8"/>
        <v>0</v>
      </c>
      <c r="AP38">
        <f>VLOOKUP(B22,Table1[],6)*D22</f>
        <v>0</v>
      </c>
      <c r="AQ38" s="46" t="str">
        <f>IF(AA38="","",IF(E$5="Yes","See Notes",IF(B$4&lt;100,INDEX($U$64:$V$72,MATCH(VLOOKUP(AB38,Table3[],4)+AS38,$U$64:$U$72,0),2),INDEX($U$64:$V$72,MATCH(VLOOKUP(AB38,Table3[],3)+AS38,$U$64:$U$72,0),2))))</f>
        <v/>
      </c>
      <c r="AR38" t="str">
        <f>IF(D16="Yes","See Notes",INDEX(Table3[],MATCH(C22,Table3[Weapon],0),6)&amp;IF(VLOOKUP(AB38,Table3[],10)=0,IF(VLOOKUP(B22,Table1[],10)=0,"","+"&amp;LEFT(VLOOKUP(C22,Table3[],6),1)*VLOOKUP(B22,Table1[],10)),""))</f>
        <v/>
      </c>
      <c r="AS38">
        <f t="shared" si="16"/>
        <v>0</v>
      </c>
      <c r="AT38" s="92"/>
      <c r="AU38" s="2"/>
      <c r="AV38" s="2"/>
      <c r="AW38" s="2"/>
      <c r="AX38" s="2"/>
      <c r="AY38" s="2"/>
      <c r="AZ38" s="88"/>
      <c r="BA38" s="2"/>
      <c r="BB38" s="2" t="s">
        <v>1595</v>
      </c>
      <c r="BC38" s="2">
        <v>12</v>
      </c>
      <c r="BD38" s="2">
        <v>4</v>
      </c>
      <c r="BE38" s="2"/>
      <c r="BF38" s="2">
        <v>45</v>
      </c>
      <c r="BG38" s="2" t="s">
        <v>1600</v>
      </c>
      <c r="BH38" s="10">
        <v>12000000</v>
      </c>
      <c r="BI38" s="2" t="s">
        <v>1599</v>
      </c>
      <c r="BJ38" s="2"/>
      <c r="BK38" s="2"/>
      <c r="BL38" s="2">
        <v>7</v>
      </c>
      <c r="BM38" s="2">
        <f t="shared" si="9"/>
        <v>2</v>
      </c>
      <c r="BN38" s="2">
        <f t="shared" si="10"/>
        <v>1</v>
      </c>
      <c r="BO38" s="2">
        <f t="shared" si="11"/>
        <v>0</v>
      </c>
      <c r="BP38" s="2">
        <f t="shared" si="12"/>
        <v>2</v>
      </c>
      <c r="BQ38" s="2">
        <f t="shared" si="13"/>
        <v>2</v>
      </c>
      <c r="BR38" s="2">
        <f t="shared" si="14"/>
        <v>2</v>
      </c>
      <c r="BS38" s="2">
        <f t="shared" si="15"/>
        <v>1</v>
      </c>
    </row>
    <row r="39" spans="1:71" ht="16" thickBot="1">
      <c r="F39" s="175"/>
      <c r="G39" s="176" t="s">
        <v>341</v>
      </c>
      <c r="H39" s="176" t="s">
        <v>26</v>
      </c>
      <c r="I39" s="176" t="s">
        <v>117</v>
      </c>
      <c r="J39" s="176" t="s">
        <v>1123</v>
      </c>
      <c r="K39" s="176" t="s">
        <v>322</v>
      </c>
      <c r="L39" s="176" t="s">
        <v>1128</v>
      </c>
      <c r="M39" s="176" t="s">
        <v>324</v>
      </c>
      <c r="N39" s="176" t="s">
        <v>388</v>
      </c>
      <c r="O39" s="176" t="s">
        <v>714</v>
      </c>
      <c r="P39" s="177"/>
      <c r="Q39" s="68"/>
      <c r="R39" s="865"/>
      <c r="S39" s="865"/>
      <c r="V39" t="str">
        <f>IF('Ship Info'!$F$7,IF('Ship Info'!$C$5&lt;100,'8a-Weapons'!W39,'8a-Weapons'!X39), IF(Tonnage&lt;100,W39,X39))</f>
        <v>HP12</v>
      </c>
      <c r="W39" t="s">
        <v>61</v>
      </c>
      <c r="X39" s="46" t="s">
        <v>364</v>
      </c>
      <c r="Y39" s="92" t="str">
        <f t="shared" si="6"/>
        <v>HP12</v>
      </c>
      <c r="Z39" s="2" t="str">
        <f>VLOOKUP(B23,Table1[],12)</f>
        <v/>
      </c>
      <c r="AA39" s="2" t="str">
        <f t="shared" si="7"/>
        <v/>
      </c>
      <c r="AB39" s="16" t="str">
        <f t="shared" si="17"/>
        <v/>
      </c>
      <c r="AC39" s="2"/>
      <c r="AD39" s="2"/>
      <c r="AE39" s="2"/>
      <c r="AF39" s="16" t="str">
        <f>IF(E23="A Standard","",VLOOKUP(E23,Table5[],10)&amp;IF(AND(E23=G23,E23=F23)," x3",IF(OR(E23=F23,E23=G23)," x2","")))</f>
        <v/>
      </c>
      <c r="AG39" s="16" t="str">
        <f>IF(F23="A Standard","",IF(E23=F23,"",IF(AF39="","",", ")&amp;VLOOKUP(F23,Table5[],10)&amp;IF(F23=G23," x2","")))</f>
        <v/>
      </c>
      <c r="AH39" s="16" t="str">
        <f>IF(G23="A Standard","",IF(OR(G23=E23,G23=F23),"", IF(AND(AF39="",AG39=""),"",", ")&amp;VLOOKUP(G23,Table5[],10)))</f>
        <v/>
      </c>
      <c r="AI39" s="10">
        <f>D23*(VLOOKUP(B23,Table1[],5)+VLOOKUP(C23,Table3[],7)*VLOOKUP(B23,Table1[],9))*(1+IF(SUM(VLOOKUP(E23,Table5[],5),VLOOKUP(F23,Table5[],5),VLOOKUP(G23,Table5[],5))=0,VLOOKUP(H23,$AC$17:$AD$20,2),VLOOKUP(E23,Table5[],5)+VLOOKUP(F23,Table5[],5)+VLOOKUP(G23,Table5[],5)))</f>
        <v>0</v>
      </c>
      <c r="AJ39" s="2">
        <f>D23*VLOOKUP(B23,Table1[],4)*(1+VLOOKUP(E23,Table5[],4)+VLOOKUP(F23,Table5[],4)+VLOOKUP(G23,Table5[],4))</f>
        <v>0</v>
      </c>
      <c r="AK39" s="2">
        <f>D23*VLOOKUP(B23,Table1[],3)+D23*VLOOKUP(B23,Table1[],9)*VLOOKUP(AB39,Table3[],5)*(1+VLOOKUP(E23,Table5[],3)+VLOOKUP(F23,Table5[],3)+VLOOKUP(G23,Table5[],3))</f>
        <v>0</v>
      </c>
      <c r="AL39" t="str">
        <f>VLOOKUP(AB39,Table3[],8)</f>
        <v/>
      </c>
      <c r="AM39">
        <f>IF(AND('Ship Info'!$F$7,'Ship Info'!$C$5&gt;=100),1,IF($B$4&gt;=100,1,0))</f>
        <v>1</v>
      </c>
      <c r="AN39">
        <f>IF(B23=$Z$2,$AM$28,VLOOKUP(B23,Table4[],2))</f>
        <v>1</v>
      </c>
      <c r="AO39">
        <f t="shared" si="8"/>
        <v>0</v>
      </c>
      <c r="AP39">
        <f>VLOOKUP(B23,Table1[],6)*D23</f>
        <v>0</v>
      </c>
      <c r="AQ39" s="46" t="str">
        <f>IF(AA39="","",IF(E$5="Yes","See Notes",IF(B$4&lt;100,INDEX($U$64:$V$72,MATCH(VLOOKUP(AB39,Table3[],4)+AS39,$U$64:$U$72,0),2),INDEX($U$64:$V$72,MATCH(VLOOKUP(AB39,Table3[],3)+AS39,$U$64:$U$72,0),2))))</f>
        <v/>
      </c>
      <c r="AR39" t="str">
        <f>IF(D17="Yes","See Notes",INDEX(Table3[],MATCH(C23,Table3[Weapon],0),6)&amp;IF(VLOOKUP(AB39,Table3[],10)=0,IF(VLOOKUP(B23,Table1[],10)=0,"","+"&amp;LEFT(VLOOKUP(C23,Table3[],6),1)*VLOOKUP(B23,Table1[],10)),""))</f>
        <v/>
      </c>
      <c r="AS39">
        <f t="shared" si="16"/>
        <v>0</v>
      </c>
      <c r="AT39" s="92"/>
      <c r="AU39" s="2"/>
      <c r="AV39" s="2"/>
      <c r="AW39" s="2"/>
      <c r="AX39" s="2"/>
      <c r="AY39" s="2"/>
      <c r="AZ39" s="88"/>
      <c r="BA39" s="2"/>
      <c r="BB39" s="2" t="s">
        <v>1594</v>
      </c>
      <c r="BC39" s="2">
        <v>10</v>
      </c>
      <c r="BD39" s="2">
        <v>4</v>
      </c>
      <c r="BE39" s="2"/>
      <c r="BF39" s="2">
        <v>35</v>
      </c>
      <c r="BG39" s="2" t="s">
        <v>1601</v>
      </c>
      <c r="BH39" s="10">
        <v>10000000</v>
      </c>
      <c r="BI39" s="2" t="s">
        <v>1598</v>
      </c>
      <c r="BJ39" s="2"/>
      <c r="BK39" s="2"/>
      <c r="BL39" s="2">
        <v>7</v>
      </c>
      <c r="BM39" s="2">
        <f t="shared" si="9"/>
        <v>2</v>
      </c>
      <c r="BN39" s="2">
        <f t="shared" si="10"/>
        <v>1</v>
      </c>
      <c r="BO39" s="2">
        <f t="shared" si="11"/>
        <v>0</v>
      </c>
      <c r="BP39" s="2">
        <f t="shared" si="12"/>
        <v>2</v>
      </c>
      <c r="BQ39" s="2">
        <f t="shared" si="13"/>
        <v>2</v>
      </c>
      <c r="BR39" s="2">
        <f t="shared" si="14"/>
        <v>2</v>
      </c>
      <c r="BS39" s="2">
        <f t="shared" si="15"/>
        <v>2</v>
      </c>
    </row>
    <row r="40" spans="1:71" ht="16" thickBot="1">
      <c r="F40" s="178" t="s">
        <v>1130</v>
      </c>
      <c r="G40" s="197"/>
      <c r="H40" s="220">
        <v>0</v>
      </c>
      <c r="I40" s="235">
        <v>0</v>
      </c>
      <c r="J40" s="235">
        <v>0</v>
      </c>
      <c r="K40" s="235">
        <v>0</v>
      </c>
      <c r="L40" s="221">
        <v>0</v>
      </c>
      <c r="M40" s="198">
        <v>0</v>
      </c>
      <c r="N40" s="198">
        <v>0</v>
      </c>
      <c r="O40" s="198">
        <v>0</v>
      </c>
      <c r="Q40" s="69"/>
      <c r="R40" s="863"/>
      <c r="S40" s="863"/>
      <c r="V40" t="str">
        <f>IF('Ship Info'!$F$7,IF('Ship Info'!$C$5&lt;100,'8a-Weapons'!W40,'8a-Weapons'!X40), IF(Tonnage&lt;100,W40,X40))</f>
        <v>HP13</v>
      </c>
      <c r="W40" t="s">
        <v>61</v>
      </c>
      <c r="X40" s="46" t="s">
        <v>365</v>
      </c>
      <c r="Y40" s="92" t="str">
        <f t="shared" si="6"/>
        <v>HP13</v>
      </c>
      <c r="Z40" s="2" t="str">
        <f>VLOOKUP(B24,Table1[],12)</f>
        <v/>
      </c>
      <c r="AA40" s="2" t="str">
        <f t="shared" si="7"/>
        <v/>
      </c>
      <c r="AB40" s="16" t="str">
        <f t="shared" si="17"/>
        <v/>
      </c>
      <c r="AC40" s="2"/>
      <c r="AD40" s="2"/>
      <c r="AE40" s="2"/>
      <c r="AF40" s="16" t="str">
        <f>IF(E24="A Standard","",VLOOKUP(E24,Table5[],10)&amp;IF(AND(E24=G24,E24=F24)," x3",IF(OR(E24=F24,E24=G24)," x2","")))</f>
        <v/>
      </c>
      <c r="AG40" s="16" t="str">
        <f>IF(F24="A Standard","",IF(E24=F24,"",IF(AF40="","",", ")&amp;VLOOKUP(F24,Table5[],10)&amp;IF(F24=G24," x2","")))</f>
        <v/>
      </c>
      <c r="AH40" s="16" t="str">
        <f>IF(G24="A Standard","",IF(OR(G24=E24,G24=F24),"", IF(AND(AF40="",AG40=""),"",", ")&amp;VLOOKUP(G24,Table5[],10)))</f>
        <v/>
      </c>
      <c r="AI40" s="10">
        <f>D24*(VLOOKUP(B24,Table1[],5)+VLOOKUP(C24,Table3[],7)*VLOOKUP(B24,Table1[],9))*(1+IF(SUM(VLOOKUP(E24,Table5[],5),VLOOKUP(F24,Table5[],5),VLOOKUP(G24,Table5[],5))=0,VLOOKUP(H24,$AC$17:$AD$20,2),VLOOKUP(E24,Table5[],5)+VLOOKUP(F24,Table5[],5)+VLOOKUP(G24,Table5[],5)))</f>
        <v>0</v>
      </c>
      <c r="AJ40" s="2">
        <f>D24*VLOOKUP(B24,Table1[],4)*(1+VLOOKUP(E24,Table5[],4)+VLOOKUP(F24,Table5[],4)+VLOOKUP(G24,Table5[],4))</f>
        <v>0</v>
      </c>
      <c r="AK40" s="2">
        <f>D24*VLOOKUP(B24,Table1[],3)+D24*VLOOKUP(B24,Table1[],9)*VLOOKUP(AB40,Table3[],5)*(1+VLOOKUP(E24,Table5[],3)+VLOOKUP(F24,Table5[],3)+VLOOKUP(G24,Table5[],3))</f>
        <v>0</v>
      </c>
      <c r="AL40" t="str">
        <f>VLOOKUP(AB40,Table3[],8)</f>
        <v/>
      </c>
      <c r="AM40">
        <f>IF(AND('Ship Info'!$F$7,'Ship Info'!$C$5&gt;=100),1,IF($B$4&gt;=100,1,0))</f>
        <v>1</v>
      </c>
      <c r="AN40">
        <f>IF(B24=$Z$2,$AM$28,VLOOKUP(B24,Table4[],2))</f>
        <v>1</v>
      </c>
      <c r="AO40">
        <f t="shared" si="8"/>
        <v>0</v>
      </c>
      <c r="AP40">
        <f>VLOOKUP(B24,Table1[],6)*D24</f>
        <v>0</v>
      </c>
      <c r="AQ40" s="46" t="str">
        <f>IF(AA40="","",IF(E$5="Yes","See Notes",IF(B$4&lt;100,INDEX($U$64:$V$72,MATCH(VLOOKUP(AB40,Table3[],4)+AS40,$U$64:$U$72,0),2),INDEX($U$64:$V$72,MATCH(VLOOKUP(AB40,Table3[],3)+AS40,$U$64:$U$72,0),2))))</f>
        <v/>
      </c>
      <c r="AR40" t="str">
        <f>IF(D18="Yes","See Notes",INDEX(Table3[],MATCH(C24,Table3[Weapon],0),6)&amp;IF(VLOOKUP(AB40,Table3[],10)=0,IF(VLOOKUP(B24,Table1[],10)=0,"","+"&amp;LEFT(VLOOKUP(C24,Table3[],6),1)*VLOOKUP(B24,Table1[],10)),""))</f>
        <v/>
      </c>
      <c r="AS40">
        <f t="shared" si="16"/>
        <v>0</v>
      </c>
      <c r="AT40" s="92"/>
      <c r="AU40" s="2"/>
      <c r="AV40" s="2"/>
      <c r="AW40" s="2"/>
      <c r="AX40" s="2"/>
      <c r="AY40" s="2"/>
      <c r="AZ40" s="88"/>
      <c r="BA40" s="2"/>
      <c r="BB40" s="2" t="s">
        <v>655</v>
      </c>
      <c r="BC40" s="2">
        <v>12</v>
      </c>
      <c r="BD40" s="2">
        <v>4</v>
      </c>
      <c r="BE40" s="2">
        <v>1</v>
      </c>
      <c r="BF40" s="2">
        <v>20</v>
      </c>
      <c r="BG40" s="2" t="s">
        <v>1349</v>
      </c>
      <c r="BH40" s="10">
        <v>4000000</v>
      </c>
      <c r="BI40" s="2" t="s">
        <v>1358</v>
      </c>
      <c r="BJ40" s="2"/>
      <c r="BK40" s="2">
        <v>1</v>
      </c>
      <c r="BL40" s="2">
        <v>2</v>
      </c>
      <c r="BM40" s="2">
        <f t="shared" si="9"/>
        <v>2</v>
      </c>
      <c r="BN40" s="2">
        <f t="shared" si="10"/>
        <v>2</v>
      </c>
      <c r="BO40" s="2">
        <f t="shared" si="11"/>
        <v>0</v>
      </c>
      <c r="BP40" s="2">
        <f t="shared" si="12"/>
        <v>2</v>
      </c>
      <c r="BQ40" s="2">
        <f t="shared" si="13"/>
        <v>2</v>
      </c>
      <c r="BR40" s="2">
        <f t="shared" si="14"/>
        <v>2</v>
      </c>
      <c r="BS40" s="2">
        <f t="shared" si="15"/>
        <v>2</v>
      </c>
    </row>
    <row r="41" spans="1:71">
      <c r="F41" s="179" t="s">
        <v>1129</v>
      </c>
      <c r="G41" s="180" t="s">
        <v>620</v>
      </c>
      <c r="H41" s="181">
        <v>8</v>
      </c>
      <c r="I41" s="349">
        <v>1</v>
      </c>
      <c r="J41" s="349">
        <v>1</v>
      </c>
      <c r="K41" s="349">
        <v>1</v>
      </c>
      <c r="L41" s="182">
        <v>500000</v>
      </c>
      <c r="M41" s="181">
        <v>1</v>
      </c>
      <c r="N41" s="181">
        <v>2</v>
      </c>
      <c r="O41" s="181" t="str">
        <f>"+1"</f>
        <v>+1</v>
      </c>
      <c r="P41" s="177"/>
      <c r="R41" s="863"/>
      <c r="S41" s="863"/>
      <c r="V41" t="str">
        <f>IF('Ship Info'!$F$7,IF('Ship Info'!$C$5&lt;100,'8a-Weapons'!W41,'8a-Weapons'!X41), IF(Tonnage&lt;100,W41,X41))</f>
        <v>HP14</v>
      </c>
      <c r="W41" t="s">
        <v>61</v>
      </c>
      <c r="X41" s="46" t="s">
        <v>366</v>
      </c>
      <c r="Y41" s="92" t="str">
        <f t="shared" si="6"/>
        <v>HP14</v>
      </c>
      <c r="Z41" s="2" t="str">
        <f>VLOOKUP(B25,Table1[],12)</f>
        <v/>
      </c>
      <c r="AA41" s="2" t="str">
        <f t="shared" si="7"/>
        <v/>
      </c>
      <c r="AB41" s="16" t="str">
        <f t="shared" si="17"/>
        <v/>
      </c>
      <c r="AC41" s="2"/>
      <c r="AD41" s="2"/>
      <c r="AE41" s="2"/>
      <c r="AF41" s="16" t="str">
        <f>IF(E25="A Standard","",VLOOKUP(E25,Table5[],10)&amp;IF(AND(E25=G25,E25=F25)," x3",IF(OR(E25=F25,E25=G25)," x2","")))</f>
        <v/>
      </c>
      <c r="AG41" s="16" t="str">
        <f>IF(F25="A Standard","",IF(E25=F25,"",IF(AF41="","",", ")&amp;VLOOKUP(F25,Table5[],10)&amp;IF(F25=G25," x2","")))</f>
        <v/>
      </c>
      <c r="AH41" s="16" t="str">
        <f>IF(G25="A Standard","",IF(OR(G25=E25,G25=F25),"", IF(AND(AF41="",AG41=""),"",", ")&amp;VLOOKUP(G25,Table5[],10)))</f>
        <v/>
      </c>
      <c r="AI41" s="10">
        <f>D25*(VLOOKUP(B25,Table1[],5)+VLOOKUP(C25,Table3[],7)*VLOOKUP(B25,Table1[],9))*(1+IF(SUM(VLOOKUP(E25,Table5[],5),VLOOKUP(F25,Table5[],5),VLOOKUP(G25,Table5[],5))=0,VLOOKUP(H25,$AC$17:$AD$20,2),VLOOKUP(E25,Table5[],5)+VLOOKUP(F25,Table5[],5)+VLOOKUP(G25,Table5[],5)))</f>
        <v>0</v>
      </c>
      <c r="AJ41" s="2">
        <f>D25*VLOOKUP(B25,Table1[],4)*(1+VLOOKUP(E25,Table5[],4)+VLOOKUP(F25,Table5[],4)+VLOOKUP(G25,Table5[],4))</f>
        <v>0</v>
      </c>
      <c r="AK41" s="2">
        <f>D25*VLOOKUP(B25,Table1[],3)+D25*VLOOKUP(B25,Table1[],9)*VLOOKUP(AB41,Table3[],5)*(1+VLOOKUP(E25,Table5[],3)+VLOOKUP(F25,Table5[],3)+VLOOKUP(G25,Table5[],3))</f>
        <v>0</v>
      </c>
      <c r="AL41" t="str">
        <f>VLOOKUP(AB41,Table3[],8)</f>
        <v/>
      </c>
      <c r="AM41">
        <f>IF(AND('Ship Info'!$F$7,'Ship Info'!$C$5&gt;=100),1,IF($B$4&gt;=100,1,0))</f>
        <v>1</v>
      </c>
      <c r="AN41">
        <f>IF(B25=$Z$2,$AM$28,VLOOKUP(B25,Table4[],2))</f>
        <v>1</v>
      </c>
      <c r="AO41">
        <f t="shared" si="8"/>
        <v>0</v>
      </c>
      <c r="AP41">
        <f>VLOOKUP(B25,Table1[],6)*D25</f>
        <v>0</v>
      </c>
      <c r="AQ41" s="46" t="str">
        <f>IF(AA41="","",IF(E$5="Yes","See Notes",IF(B$4&lt;100,INDEX($U$64:$V$72,MATCH(VLOOKUP(AB41,Table3[],4)+AS41,$U$64:$U$72,0),2),INDEX($U$64:$V$72,MATCH(VLOOKUP(AB41,Table3[],3)+AS41,$U$64:$U$72,0),2))))</f>
        <v/>
      </c>
      <c r="AR41" t="str">
        <f>IF(D19="Yes","See Notes",INDEX(Table3[],MATCH(C25,Table3[Weapon],0),6)&amp;IF(VLOOKUP(AB41,Table3[],10)=0,IF(VLOOKUP(B25,Table1[],10)=0,"","+"&amp;LEFT(VLOOKUP(C25,Table3[],6),1)*VLOOKUP(B25,Table1[],10)),""))</f>
        <v/>
      </c>
      <c r="AS41">
        <f t="shared" si="16"/>
        <v>0</v>
      </c>
      <c r="AT41" s="92"/>
      <c r="AU41" s="2"/>
      <c r="AV41" s="2"/>
      <c r="AW41" s="2"/>
      <c r="AX41" s="2"/>
      <c r="AY41" s="2"/>
      <c r="AZ41" s="88"/>
      <c r="BA41" s="2"/>
      <c r="BB41" s="2" t="s">
        <v>1611</v>
      </c>
      <c r="BC41" s="2">
        <v>14</v>
      </c>
      <c r="BD41" s="2">
        <v>4</v>
      </c>
      <c r="BE41" s="2">
        <v>1</v>
      </c>
      <c r="BF41" s="2">
        <v>12</v>
      </c>
      <c r="BG41" s="2" t="s">
        <v>331</v>
      </c>
      <c r="BH41" s="10">
        <v>2000000</v>
      </c>
      <c r="BI41" s="2" t="s">
        <v>337</v>
      </c>
      <c r="BJ41" s="2"/>
      <c r="BK41" s="2"/>
      <c r="BL41" s="2">
        <v>1</v>
      </c>
      <c r="BM41" s="2">
        <f t="shared" si="9"/>
        <v>3</v>
      </c>
      <c r="BN41" s="2">
        <f t="shared" si="10"/>
        <v>2</v>
      </c>
      <c r="BO41" s="2">
        <f t="shared" si="11"/>
        <v>0</v>
      </c>
      <c r="BP41" s="2">
        <f t="shared" si="12"/>
        <v>2</v>
      </c>
      <c r="BQ41" s="2">
        <f t="shared" si="13"/>
        <v>2</v>
      </c>
      <c r="BR41" s="2">
        <f t="shared" si="14"/>
        <v>2</v>
      </c>
      <c r="BS41" s="2">
        <f t="shared" si="15"/>
        <v>2</v>
      </c>
    </row>
    <row r="42" spans="1:71">
      <c r="V42" t="str">
        <f>IF('Ship Info'!$F$7,IF('Ship Info'!$C$5&lt;100,'8a-Weapons'!W42,'8a-Weapons'!X42), IF(Tonnage&lt;100,W42,X42))</f>
        <v>HP15</v>
      </c>
      <c r="W42" t="s">
        <v>61</v>
      </c>
      <c r="X42" s="46" t="s">
        <v>367</v>
      </c>
      <c r="Y42" s="92" t="str">
        <f t="shared" si="6"/>
        <v>HP15</v>
      </c>
      <c r="Z42" s="2" t="str">
        <f>VLOOKUP(B26,Table1[],12)</f>
        <v/>
      </c>
      <c r="AA42" s="2" t="str">
        <f t="shared" si="7"/>
        <v/>
      </c>
      <c r="AB42" s="16" t="str">
        <f t="shared" si="17"/>
        <v/>
      </c>
      <c r="AC42" s="2"/>
      <c r="AD42" s="2"/>
      <c r="AE42" s="2"/>
      <c r="AF42" s="16" t="str">
        <f>IF(E26="A Standard","",VLOOKUP(E26,Table5[],10)&amp;IF(AND(E26=G26,E26=F26)," x3",IF(OR(E26=F26,E26=G26)," x2","")))</f>
        <v/>
      </c>
      <c r="AG42" s="16" t="str">
        <f>IF(F26="A Standard","",IF(E26=F26,"",IF(AF42="","",", ")&amp;VLOOKUP(F26,Table5[],10)&amp;IF(F26=G26," x2","")))</f>
        <v/>
      </c>
      <c r="AH42" s="16" t="str">
        <f>IF(G26="A Standard","",IF(OR(G26=E26,G26=F26),"", IF(AND(AF42="",AG42=""),"",", ")&amp;VLOOKUP(G26,Table5[],10)))</f>
        <v/>
      </c>
      <c r="AI42" s="10">
        <f>D26*(VLOOKUP(B26,Table1[],5)+VLOOKUP(C26,Table3[],7)*VLOOKUP(B26,Table1[],9))*(1+IF(SUM(VLOOKUP(E26,Table5[],5),VLOOKUP(F26,Table5[],5),VLOOKUP(G26,Table5[],5))=0,VLOOKUP(H26,$AC$17:$AD$20,2),VLOOKUP(E26,Table5[],5)+VLOOKUP(F26,Table5[],5)+VLOOKUP(G26,Table5[],5)))</f>
        <v>0</v>
      </c>
      <c r="AJ42" s="2">
        <f>D26*VLOOKUP(B26,Table1[],4)*(1+VLOOKUP(E26,Table5[],4)+VLOOKUP(F26,Table5[],4)+VLOOKUP(G26,Table5[],4))</f>
        <v>0</v>
      </c>
      <c r="AK42" s="2">
        <f>D26*VLOOKUP(B26,Table1[],3)+D26*VLOOKUP(B26,Table1[],9)*VLOOKUP(AB42,Table3[],5)*(1+VLOOKUP(E26,Table5[],3)+VLOOKUP(F26,Table5[],3)+VLOOKUP(G26,Table5[],3))</f>
        <v>0</v>
      </c>
      <c r="AL42" t="str">
        <f>VLOOKUP(AB42,Table3[],8)</f>
        <v/>
      </c>
      <c r="AM42">
        <f>IF(AND('Ship Info'!$F$7,'Ship Info'!$C$5&gt;=100),1,IF($B$4&gt;=100,1,0))</f>
        <v>1</v>
      </c>
      <c r="AN42">
        <f>IF(B26=$Z$2,$AM$28,VLOOKUP(B26,Table4[],2))</f>
        <v>1</v>
      </c>
      <c r="AO42">
        <f t="shared" si="8"/>
        <v>0</v>
      </c>
      <c r="AP42">
        <f>VLOOKUP(B26,Table1[],6)*D26</f>
        <v>0</v>
      </c>
      <c r="AQ42" s="46" t="str">
        <f>IF(AA42="","",IF(E$5="Yes","See Notes",IF(B$4&lt;100,INDEX($U$64:$V$72,MATCH(VLOOKUP(AB42,Table3[],4)+AS42,$U$64:$U$72,0),2),INDEX($U$64:$V$72,MATCH(VLOOKUP(AB42,Table3[],3)+AS42,$U$64:$U$72,0),2))))</f>
        <v/>
      </c>
      <c r="AR42" t="str">
        <f>IF(D20="Yes","See Notes",INDEX(Table3[],MATCH(C26,Table3[Weapon],0),6)&amp;IF(VLOOKUP(AB42,Table3[],10)=0,IF(VLOOKUP(B26,Table1[],10)=0,"","+"&amp;LEFT(VLOOKUP(C26,Table3[],6),1)*VLOOKUP(B26,Table1[],10)),""))</f>
        <v/>
      </c>
      <c r="AS42">
        <f t="shared" si="16"/>
        <v>0</v>
      </c>
      <c r="AT42" s="92"/>
      <c r="AU42" s="2"/>
      <c r="AV42" s="2"/>
      <c r="AW42" s="2"/>
      <c r="AX42" s="2"/>
      <c r="AY42" s="2"/>
      <c r="AZ42" s="88"/>
      <c r="BA42" s="2"/>
      <c r="BB42" s="132" t="s">
        <v>1603</v>
      </c>
      <c r="BC42" s="2">
        <v>12</v>
      </c>
      <c r="BD42" s="2">
        <v>5</v>
      </c>
      <c r="BE42" s="2"/>
      <c r="BF42" s="2">
        <v>100</v>
      </c>
      <c r="BG42" s="2" t="s">
        <v>1352</v>
      </c>
      <c r="BH42" s="10">
        <v>25000000</v>
      </c>
      <c r="BI42" s="2" t="str">
        <f>""</f>
        <v/>
      </c>
      <c r="BJ42" s="2"/>
      <c r="BK42" s="2">
        <v>1</v>
      </c>
      <c r="BL42" s="2">
        <v>6</v>
      </c>
      <c r="BM42" s="2">
        <f t="shared" si="9"/>
        <v>3</v>
      </c>
      <c r="BN42" s="2">
        <f t="shared" si="10"/>
        <v>2</v>
      </c>
      <c r="BO42" s="2">
        <f t="shared" si="11"/>
        <v>0</v>
      </c>
      <c r="BP42" s="2">
        <f t="shared" si="12"/>
        <v>2</v>
      </c>
      <c r="BQ42" s="2">
        <f t="shared" si="13"/>
        <v>2</v>
      </c>
      <c r="BR42" s="2">
        <f t="shared" si="14"/>
        <v>3</v>
      </c>
      <c r="BS42" s="2">
        <f t="shared" si="15"/>
        <v>2</v>
      </c>
    </row>
    <row r="43" spans="1:71">
      <c r="V43" t="str">
        <f>IF('Ship Info'!$F$7,IF('Ship Info'!$C$5&lt;100,'8a-Weapons'!W43,'8a-Weapons'!X43), IF(Tonnage&lt;100,W43,X43))</f>
        <v>HP16</v>
      </c>
      <c r="W43" t="s">
        <v>61</v>
      </c>
      <c r="X43" s="46" t="s">
        <v>368</v>
      </c>
      <c r="Y43" s="92" t="str">
        <f t="shared" si="6"/>
        <v>HP16</v>
      </c>
      <c r="Z43" s="2" t="str">
        <f>VLOOKUP(B27,Table1[],12)</f>
        <v/>
      </c>
      <c r="AA43" s="2" t="str">
        <f>IF(OR(Z43=0,Z43=""),"",D27)</f>
        <v/>
      </c>
      <c r="AB43" s="16" t="str">
        <f t="shared" si="17"/>
        <v/>
      </c>
      <c r="AC43" s="2"/>
      <c r="AD43" s="2"/>
      <c r="AE43" s="2"/>
      <c r="AF43" s="16" t="str">
        <f>IF(E27="A Standard","",VLOOKUP(E27,Table5[],10)&amp;IF(AND(E27=G27,E27=F27)," x3",IF(OR(E27=F27,E27=G27)," x2","")))</f>
        <v/>
      </c>
      <c r="AG43" s="16" t="str">
        <f>IF(F27="A Standard","",IF(E27=F27,"",IF(AF43="","",", ")&amp;VLOOKUP(F27,Table5[],10)&amp;IF(F27=G27," x2","")))</f>
        <v/>
      </c>
      <c r="AH43" s="16" t="str">
        <f>IF(G27="A Standard","",IF(OR(G27=E27,G27=F27),"", IF(AND(AF43="",AG43=""),"",", ")&amp;VLOOKUP(G27,Table5[],10)))</f>
        <v/>
      </c>
      <c r="AI43" s="10">
        <f>D27*(VLOOKUP(B27,Table1[],5)+VLOOKUP(C27,Table3[],7)*VLOOKUP(B27,Table1[],9))*(1+IF(SUM(VLOOKUP(E27,Table5[],5),VLOOKUP(F27,Table5[],5),VLOOKUP(G27,Table5[],5))=0,VLOOKUP(H27,$AC$17:$AD$20,2),VLOOKUP(E27,Table5[],5)+VLOOKUP(F27,Table5[],5)+VLOOKUP(G27,Table5[],5)))</f>
        <v>0</v>
      </c>
      <c r="AJ43" s="2">
        <f>D27*VLOOKUP(B27,Table1[],4)*(1+VLOOKUP(E27,Table5[],4)+VLOOKUP(F27,Table5[],4)+VLOOKUP(G27,Table5[],4))</f>
        <v>0</v>
      </c>
      <c r="AK43" s="2">
        <f>D27*VLOOKUP(B27,Table1[],3)+D27*VLOOKUP(B27,Table1[],9)*VLOOKUP(AB43,Table3[],5)*(1+VLOOKUP(E27,Table5[],3)+VLOOKUP(F27,Table5[],3)+VLOOKUP(G27,Table5[],3))</f>
        <v>0</v>
      </c>
      <c r="AL43" t="str">
        <f>VLOOKUP(AB43,Table3[],8)</f>
        <v/>
      </c>
      <c r="AM43">
        <f>IF(AND('Ship Info'!$F$7,'Ship Info'!$C$5&gt;=100),1,IF($B$4&gt;=100,1,0))</f>
        <v>1</v>
      </c>
      <c r="AN43">
        <f>IF(B27=$Z$2,$AM$28,VLOOKUP(B27,Table4[],2))</f>
        <v>1</v>
      </c>
      <c r="AO43">
        <f t="shared" si="8"/>
        <v>0</v>
      </c>
      <c r="AP43">
        <f>VLOOKUP(B27,Table1[],6)*D27</f>
        <v>0</v>
      </c>
      <c r="AQ43" s="46" t="str">
        <f>IF(AA43="","",IF(E$5="Yes","See Notes",IF(B$4&lt;100,INDEX($U$64:$V$72,MATCH(VLOOKUP(AB43,Table3[],4)+AS43,$U$64:$U$72,0),2),INDEX($U$64:$V$72,MATCH(VLOOKUP(AB43,Table3[],3)+AS43,$U$64:$U$72,0),2))))</f>
        <v/>
      </c>
      <c r="AR43" t="str">
        <f>IF(D21="Yes","See Notes",INDEX(Table3[],MATCH(C27,Table3[Weapon],0),6)&amp;IF(VLOOKUP(AB43,Table3[],10)=0,IF(VLOOKUP(B27,Table1[],10)=0,"","+"&amp;LEFT(VLOOKUP(C27,Table3[],6),1)*VLOOKUP(B27,Table1[],10)),""))</f>
        <v/>
      </c>
      <c r="AS43">
        <f t="shared" si="16"/>
        <v>0</v>
      </c>
      <c r="AT43" s="92"/>
      <c r="AU43" s="2"/>
      <c r="AV43" s="2"/>
      <c r="AW43" s="2"/>
      <c r="AX43" s="2"/>
      <c r="AY43" s="2"/>
      <c r="AZ43" s="88"/>
      <c r="BA43" s="2"/>
      <c r="BB43" s="2" t="s">
        <v>1612</v>
      </c>
      <c r="BC43" s="2">
        <v>12</v>
      </c>
      <c r="BD43" s="2">
        <v>4</v>
      </c>
      <c r="BE43" s="2"/>
      <c r="BF43" s="2">
        <v>80</v>
      </c>
      <c r="BG43" s="2" t="s">
        <v>1351</v>
      </c>
      <c r="BH43" s="10">
        <v>14000000</v>
      </c>
      <c r="BI43" s="2" t="str">
        <f>""</f>
        <v/>
      </c>
      <c r="BJ43" s="2"/>
      <c r="BK43" s="2">
        <v>1</v>
      </c>
      <c r="BL43" s="2">
        <v>5</v>
      </c>
      <c r="BM43" s="2">
        <f t="shared" si="9"/>
        <v>3</v>
      </c>
      <c r="BN43" s="2">
        <f t="shared" si="10"/>
        <v>2</v>
      </c>
      <c r="BO43" s="2">
        <f t="shared" si="11"/>
        <v>0</v>
      </c>
      <c r="BP43" s="2">
        <f t="shared" si="12"/>
        <v>2</v>
      </c>
      <c r="BQ43" s="2">
        <f t="shared" si="13"/>
        <v>3</v>
      </c>
      <c r="BR43" s="2">
        <f t="shared" si="14"/>
        <v>3</v>
      </c>
      <c r="BS43" s="2">
        <f t="shared" si="15"/>
        <v>2</v>
      </c>
    </row>
    <row r="44" spans="1:71">
      <c r="F44" s="172" t="s">
        <v>1133</v>
      </c>
      <c r="G44" s="183" t="s">
        <v>1132</v>
      </c>
      <c r="H44" s="173"/>
      <c r="I44" s="173"/>
      <c r="J44" s="173"/>
      <c r="K44" s="184"/>
      <c r="L44" s="184"/>
      <c r="M44" s="184"/>
      <c r="N44" s="184"/>
      <c r="O44" s="184"/>
      <c r="P44" s="184"/>
      <c r="Q44" s="160"/>
      <c r="V44" t="str">
        <f>IF('Ship Info'!$F$7,IF('Ship Info'!$C$5&lt;100,'8a-Weapons'!W44,'8a-Weapons'!X44), IF(Tonnage&lt;100,W44,X44))</f>
        <v>HP17</v>
      </c>
      <c r="W44" t="s">
        <v>61</v>
      </c>
      <c r="X44" s="46" t="s">
        <v>369</v>
      </c>
      <c r="Y44" s="92" t="str">
        <f t="shared" si="6"/>
        <v>HP17</v>
      </c>
      <c r="Z44" s="2" t="str">
        <f>VLOOKUP(B28,Table1[],12)</f>
        <v/>
      </c>
      <c r="AA44" s="2" t="str">
        <f t="shared" si="7"/>
        <v/>
      </c>
      <c r="AB44" s="16" t="str">
        <f t="shared" si="17"/>
        <v/>
      </c>
      <c r="AC44" s="2"/>
      <c r="AD44" s="2"/>
      <c r="AE44" s="2"/>
      <c r="AF44" s="16" t="str">
        <f>IF(E28="A Standard","",VLOOKUP(E28,Table5[],10)&amp;IF(AND(E28=G28,E28=F28)," x3",IF(OR(E28=F28,E28=G28)," x2","")))</f>
        <v/>
      </c>
      <c r="AG44" s="16" t="str">
        <f>IF(F28="A Standard","",IF(E28=F28,"",IF(AF44="","",", ")&amp;VLOOKUP(F28,Table5[],10)&amp;IF(F28=G28," x2","")))</f>
        <v/>
      </c>
      <c r="AH44" s="16" t="str">
        <f>IF(G28="A Standard","",IF(OR(G28=E28,G28=F28),"", IF(AND(AF44="",AG44=""),"",", ")&amp;VLOOKUP(G28,Table5[],10)))</f>
        <v/>
      </c>
      <c r="AI44" s="10">
        <f>D28*(VLOOKUP(B28,Table1[],5)+VLOOKUP(C28,Table3[],7)*VLOOKUP(B28,Table1[],9))*(1+IF(SUM(VLOOKUP(E28,Table5[],5),VLOOKUP(F28,Table5[],5),VLOOKUP(G28,Table5[],5))=0,VLOOKUP(H28,$AC$17:$AD$20,2),VLOOKUP(E28,Table5[],5)+VLOOKUP(F28,Table5[],5)+VLOOKUP(G28,Table5[],5)))</f>
        <v>0</v>
      </c>
      <c r="AJ44" s="2">
        <f>D28*VLOOKUP(B28,Table1[],4)*(1+VLOOKUP(E28,Table5[],4)+VLOOKUP(F28,Table5[],4)+VLOOKUP(G28,Table5[],4))</f>
        <v>0</v>
      </c>
      <c r="AK44" s="2">
        <f>D28*VLOOKUP(B28,Table1[],3)+D28*VLOOKUP(B28,Table1[],9)*VLOOKUP(AB44,Table3[],5)*(1+VLOOKUP(E28,Table5[],3)+VLOOKUP(F28,Table5[],3)+VLOOKUP(G28,Table5[],3))</f>
        <v>0</v>
      </c>
      <c r="AL44" t="str">
        <f>VLOOKUP(AB44,Table3[],8)</f>
        <v/>
      </c>
      <c r="AM44">
        <f>IF(AND('Ship Info'!$F$7,'Ship Info'!$C$5&gt;=100),1,IF($B$4&gt;=100,1,0))</f>
        <v>1</v>
      </c>
      <c r="AN44">
        <f>IF(B28=$Z$2,$AM$28,VLOOKUP(B28,Table4[],2))</f>
        <v>1</v>
      </c>
      <c r="AO44">
        <f t="shared" si="8"/>
        <v>0</v>
      </c>
      <c r="AP44">
        <f>VLOOKUP(B28,Table1[],6)*D28</f>
        <v>0</v>
      </c>
      <c r="AQ44" s="46" t="str">
        <f>IF(AA44="","",IF(E$5="Yes","See Notes",IF(B$4&lt;100,INDEX($U$64:$V$72,MATCH(VLOOKUP(AB44,Table3[],4)+AS44,$U$64:$U$72,0),2),INDEX($U$64:$V$72,MATCH(VLOOKUP(AB44,Table3[],3)+AS44,$U$64:$U$72,0),2))))</f>
        <v/>
      </c>
      <c r="AR44" t="str">
        <f>IF(D22="Yes","See Notes",INDEX(Table3[],MATCH(C28,Table3[Weapon],0),6)&amp;IF(VLOOKUP(AB44,Table3[],10)=0,IF(VLOOKUP(B28,Table1[],10)=0,"","+"&amp;LEFT(VLOOKUP(C28,Table3[],6),1)*VLOOKUP(B28,Table1[],10)),""))</f>
        <v/>
      </c>
      <c r="AS44">
        <f t="shared" si="16"/>
        <v>0</v>
      </c>
      <c r="AT44" s="92"/>
      <c r="AU44" s="2"/>
      <c r="AV44" s="2"/>
      <c r="AW44" s="2"/>
      <c r="AX44" s="2"/>
      <c r="AY44" s="2"/>
      <c r="AZ44" s="88"/>
      <c r="BA44" s="2"/>
      <c r="BB44" s="2" t="s">
        <v>1613</v>
      </c>
      <c r="BC44" s="2">
        <v>12</v>
      </c>
      <c r="BD44" s="2">
        <v>4</v>
      </c>
      <c r="BE44" s="2"/>
      <c r="BF44" s="2">
        <v>50</v>
      </c>
      <c r="BG44" s="2" t="s">
        <v>1350</v>
      </c>
      <c r="BH44" s="10">
        <v>8000000</v>
      </c>
      <c r="BI44" s="2" t="str">
        <f>""</f>
        <v/>
      </c>
      <c r="BJ44" s="2"/>
      <c r="BK44" s="2">
        <v>1</v>
      </c>
      <c r="BL44" s="2">
        <v>4</v>
      </c>
      <c r="BM44" s="2">
        <f t="shared" si="9"/>
        <v>3</v>
      </c>
      <c r="BN44" s="2">
        <f t="shared" si="10"/>
        <v>2</v>
      </c>
      <c r="BO44" s="2">
        <f t="shared" si="11"/>
        <v>0</v>
      </c>
      <c r="BP44" s="2">
        <f t="shared" si="12"/>
        <v>3</v>
      </c>
      <c r="BQ44" s="2">
        <f t="shared" si="13"/>
        <v>3</v>
      </c>
      <c r="BR44" s="2">
        <f t="shared" si="14"/>
        <v>3</v>
      </c>
      <c r="BS44" s="2">
        <f t="shared" si="15"/>
        <v>2</v>
      </c>
    </row>
    <row r="45" spans="1:71" ht="16" thickBot="1">
      <c r="F45" s="211" t="s">
        <v>325</v>
      </c>
      <c r="G45" s="185" t="s">
        <v>326</v>
      </c>
      <c r="H45" s="176" t="s">
        <v>26</v>
      </c>
      <c r="I45" s="185" t="s">
        <v>55</v>
      </c>
      <c r="J45" s="185" t="s">
        <v>1131</v>
      </c>
      <c r="K45" s="186"/>
      <c r="L45" s="185" t="s">
        <v>1</v>
      </c>
      <c r="M45" s="848" t="s">
        <v>171</v>
      </c>
      <c r="N45" s="848"/>
      <c r="O45" s="848"/>
      <c r="P45" s="848" t="s">
        <v>373</v>
      </c>
      <c r="Q45" s="849"/>
      <c r="V45" t="str">
        <f>IF('Ship Info'!$F$7,IF('Ship Info'!$C$5&lt;100,'8a-Weapons'!W45,'8a-Weapons'!X45), IF(Tonnage&lt;100,W45,X45))</f>
        <v>HP18</v>
      </c>
      <c r="W45" t="s">
        <v>61</v>
      </c>
      <c r="X45" s="46" t="s">
        <v>370</v>
      </c>
      <c r="Y45" s="92" t="str">
        <f t="shared" si="6"/>
        <v>HP18</v>
      </c>
      <c r="Z45" s="2" t="str">
        <f>VLOOKUP(B29,Table1[],12)</f>
        <v/>
      </c>
      <c r="AA45" s="2" t="str">
        <f t="shared" si="7"/>
        <v/>
      </c>
      <c r="AB45" s="16" t="str">
        <f t="shared" si="17"/>
        <v/>
      </c>
      <c r="AC45" s="2"/>
      <c r="AD45" s="2"/>
      <c r="AE45" s="2"/>
      <c r="AF45" s="16" t="str">
        <f>IF(E29="A Standard","",VLOOKUP(E29,Table5[],10)&amp;IF(AND(E29=G29,E29=F29)," x3",IF(OR(E29=F29,E29=G29)," x2","")))</f>
        <v/>
      </c>
      <c r="AG45" s="16" t="str">
        <f>IF(F29="A Standard","",IF(E29=F29,"",IF(AF45="","",", ")&amp;VLOOKUP(F29,Table5[],10)&amp;IF(F29=G29," x2","")))</f>
        <v/>
      </c>
      <c r="AH45" s="16" t="str">
        <f>IF(G29="A Standard","",IF(OR(G29=E29,G29=F29),"", IF(AND(AF45="",AG45=""),"",", ")&amp;VLOOKUP(G29,Table5[],10)))</f>
        <v/>
      </c>
      <c r="AI45" s="10">
        <f>D29*(VLOOKUP(B29,Table1[],5)+VLOOKUP(C29,Table3[],7)*VLOOKUP(B29,Table1[],9))*(1+IF(SUM(VLOOKUP(E29,Table5[],5),VLOOKUP(F29,Table5[],5),VLOOKUP(G29,Table5[],5))=0,VLOOKUP(H29,$AC$17:$AD$20,2),VLOOKUP(E29,Table5[],5)+VLOOKUP(F29,Table5[],5)+VLOOKUP(G29,Table5[],5)))</f>
        <v>0</v>
      </c>
      <c r="AJ45" s="2">
        <f>D29*VLOOKUP(B29,Table1[],4)*(1+VLOOKUP(E29,Table5[],4)+VLOOKUP(F29,Table5[],4)+VLOOKUP(G29,Table5[],4))</f>
        <v>0</v>
      </c>
      <c r="AK45" s="2">
        <f>D29*VLOOKUP(B29,Table1[],3)+D29*VLOOKUP(B29,Table1[],9)*VLOOKUP(AB45,Table3[],5)*(1+VLOOKUP(E29,Table5[],3)+VLOOKUP(F29,Table5[],3)+VLOOKUP(G29,Table5[],3))</f>
        <v>0</v>
      </c>
      <c r="AL45" t="str">
        <f>VLOOKUP(AB45,Table3[],8)</f>
        <v/>
      </c>
      <c r="AM45">
        <f>IF(AND('Ship Info'!$F$7,'Ship Info'!$C$5&gt;=100),1,IF($B$4&gt;=100,1,0))</f>
        <v>1</v>
      </c>
      <c r="AN45">
        <f>IF(B29=$Z$2,$AM$28,VLOOKUP(B29,Table4[],2))</f>
        <v>1</v>
      </c>
      <c r="AO45">
        <f t="shared" si="8"/>
        <v>0</v>
      </c>
      <c r="AP45">
        <f>VLOOKUP(B29,Table1[],6)*D29</f>
        <v>0</v>
      </c>
      <c r="AQ45" s="46" t="str">
        <f>IF(AA45="","",IF(E$5="Yes","See Notes",IF(B$4&lt;100,INDEX($U$64:$V$72,MATCH(VLOOKUP(AB45,Table3[],4)+AS45,$U$64:$U$72,0),2),INDEX($U$64:$V$72,MATCH(VLOOKUP(AB45,Table3[],3)+AS45,$U$64:$U$72,0),2))))</f>
        <v/>
      </c>
      <c r="AR45" t="str">
        <f>IF(D23="Yes","See Notes",INDEX(Table3[],MATCH(C29,Table3[Weapon],0),6)&amp;IF(VLOOKUP(AB45,Table3[],10)=0,IF(VLOOKUP(B29,Table1[],10)=0,"","+"&amp;LEFT(VLOOKUP(C29,Table3[],6),1)*VLOOKUP(B29,Table1[],10)),""))</f>
        <v/>
      </c>
      <c r="AS45">
        <f t="shared" si="16"/>
        <v>0</v>
      </c>
      <c r="AT45" s="92"/>
      <c r="AU45" s="2"/>
      <c r="AV45" s="2"/>
      <c r="AW45" s="2"/>
      <c r="AX45" s="2"/>
      <c r="AY45" s="2"/>
      <c r="AZ45" s="88"/>
      <c r="BA45" s="2"/>
      <c r="BB45" s="2" t="s">
        <v>1597</v>
      </c>
      <c r="BC45" s="2">
        <v>8</v>
      </c>
      <c r="BD45" s="2">
        <v>6</v>
      </c>
      <c r="BE45" s="2"/>
      <c r="BF45" s="2">
        <v>10</v>
      </c>
      <c r="BG45" s="2" t="s">
        <v>331</v>
      </c>
      <c r="BH45" s="10">
        <v>4000000</v>
      </c>
      <c r="BI45" s="2"/>
      <c r="BJ45" s="2"/>
      <c r="BK45" s="2">
        <v>1</v>
      </c>
      <c r="BL45" s="2">
        <v>4</v>
      </c>
      <c r="BM45" s="2">
        <f t="shared" si="9"/>
        <v>3</v>
      </c>
      <c r="BN45" s="2">
        <f t="shared" si="10"/>
        <v>2</v>
      </c>
      <c r="BO45" s="2">
        <f t="shared" si="11"/>
        <v>0</v>
      </c>
      <c r="BP45" s="2">
        <f t="shared" si="12"/>
        <v>4</v>
      </c>
      <c r="BQ45" s="2">
        <f t="shared" si="13"/>
        <v>3</v>
      </c>
      <c r="BR45" s="2">
        <f t="shared" si="14"/>
        <v>3</v>
      </c>
      <c r="BS45" s="2">
        <f t="shared" si="15"/>
        <v>2</v>
      </c>
    </row>
    <row r="46" spans="1:71" ht="16" thickBot="1">
      <c r="F46" s="197"/>
      <c r="G46" s="198" t="s">
        <v>1103</v>
      </c>
      <c r="H46" s="198">
        <v>0</v>
      </c>
      <c r="I46" s="235">
        <v>0</v>
      </c>
      <c r="J46" s="837">
        <v>0</v>
      </c>
      <c r="K46" s="837"/>
      <c r="L46" s="221">
        <v>0</v>
      </c>
      <c r="M46" s="839"/>
      <c r="N46" s="839"/>
      <c r="O46" s="839"/>
      <c r="P46" s="839" t="s">
        <v>1103</v>
      </c>
      <c r="Q46" s="839"/>
      <c r="V46" t="str">
        <f>IF('Ship Info'!$F$7,IF('Ship Info'!$C$5&lt;100,'8a-Weapons'!W46,'8a-Weapons'!X46), IF(Tonnage&lt;100,W46,X46))</f>
        <v>HP19</v>
      </c>
      <c r="W46" t="s">
        <v>61</v>
      </c>
      <c r="X46" s="46" t="s">
        <v>371</v>
      </c>
      <c r="Y46" s="92" t="str">
        <f t="shared" si="6"/>
        <v>HP19</v>
      </c>
      <c r="Z46" s="2" t="str">
        <f>VLOOKUP(B30,Table1[],12)</f>
        <v/>
      </c>
      <c r="AA46" s="2" t="str">
        <f t="shared" si="7"/>
        <v/>
      </c>
      <c r="AB46" s="16" t="str">
        <f t="shared" si="17"/>
        <v/>
      </c>
      <c r="AC46" s="2"/>
      <c r="AD46" s="2"/>
      <c r="AE46" s="2"/>
      <c r="AF46" s="16" t="str">
        <f>IF(E30="A Standard","",VLOOKUP(E30,Table5[],10)&amp;IF(AND(E30=G30,E30=F30)," x3",IF(OR(E30=F30,E30=G30)," x2","")))</f>
        <v/>
      </c>
      <c r="AG46" s="16" t="str">
        <f>IF(F30="A Standard","",IF(E30=F30,"",IF(AF46="","",", ")&amp;VLOOKUP(F30,Table5[],10)&amp;IF(F30=G30," x2","")))</f>
        <v/>
      </c>
      <c r="AH46" s="16" t="str">
        <f>IF(G30="A Standard","",IF(OR(G30=E30,G30=F30),"", IF(AND(AF46="",AG46=""),"",", ")&amp;VLOOKUP(G30,Table5[],10)))</f>
        <v/>
      </c>
      <c r="AI46" s="10">
        <f>D30*(VLOOKUP(B30,Table1[],5)+VLOOKUP(C30,Table3[],7)*VLOOKUP(B30,Table1[],9))*(1+IF(SUM(VLOOKUP(E30,Table5[],5),VLOOKUP(F30,Table5[],5),VLOOKUP(G30,Table5[],5))=0,VLOOKUP(H30,$AC$17:$AD$20,2),VLOOKUP(E30,Table5[],5)+VLOOKUP(F30,Table5[],5)+VLOOKUP(G30,Table5[],5)))</f>
        <v>0</v>
      </c>
      <c r="AJ46" s="2">
        <f>D30*VLOOKUP(B30,Table1[],4)*(1+VLOOKUP(E30,Table5[],4)+VLOOKUP(F30,Table5[],4)+VLOOKUP(G30,Table5[],4))</f>
        <v>0</v>
      </c>
      <c r="AK46" s="2">
        <f>D30*VLOOKUP(B30,Table1[],3)+D30*VLOOKUP(B30,Table1[],9)*VLOOKUP(AB46,Table3[],5)*(1+VLOOKUP(E30,Table5[],3)+VLOOKUP(F30,Table5[],3)+VLOOKUP(G30,Table5[],3))</f>
        <v>0</v>
      </c>
      <c r="AL46" t="str">
        <f>VLOOKUP(AB46,Table3[],8)</f>
        <v/>
      </c>
      <c r="AM46">
        <f>IF(AND('Ship Info'!$F$7,'Ship Info'!$C$5&gt;=100),1,IF($B$4&gt;=100,1,0))</f>
        <v>1</v>
      </c>
      <c r="AN46">
        <f>IF(B30=$Z$2,$AM$28,VLOOKUP(B30,Table4[],2))</f>
        <v>1</v>
      </c>
      <c r="AO46">
        <f t="shared" si="8"/>
        <v>0</v>
      </c>
      <c r="AP46">
        <f>VLOOKUP(B30,Table1[],6)*D30</f>
        <v>0</v>
      </c>
      <c r="AQ46" s="46" t="str">
        <f>IF(AA46="","",IF(E$5="Yes","See Notes",IF(B$4&lt;100,INDEX($U$64:$V$72,MATCH(VLOOKUP(AB46,Table3[],4)+AS46,$U$64:$U$72,0),2),INDEX($U$64:$V$72,MATCH(VLOOKUP(AB46,Table3[],3)+AS46,$U$64:$U$72,0),2))))</f>
        <v/>
      </c>
      <c r="AR46" t="str">
        <f>IF(D24="Yes","See Notes",INDEX(Table3[],MATCH(C30,Table3[Weapon],0),6)&amp;IF(VLOOKUP(AB46,Table3[],10)=0,IF(VLOOKUP(B30,Table1[],10)=0,"","+"&amp;LEFT(VLOOKUP(C30,Table3[],6),1)*VLOOKUP(B30,Table1[],10)),""))</f>
        <v/>
      </c>
      <c r="AS46">
        <f t="shared" si="16"/>
        <v>0</v>
      </c>
      <c r="AT46" t="s">
        <v>61</v>
      </c>
      <c r="AU46" s="2" t="s">
        <v>336</v>
      </c>
      <c r="AV46" t="s">
        <v>309</v>
      </c>
      <c r="AW46" s="2" t="s">
        <v>255</v>
      </c>
      <c r="AX46" t="s">
        <v>346</v>
      </c>
      <c r="AY46" s="2" t="s">
        <v>349</v>
      </c>
      <c r="AZ46" t="s">
        <v>352</v>
      </c>
      <c r="BA46" s="2"/>
      <c r="BB46" s="2" t="s">
        <v>1614</v>
      </c>
      <c r="BC46" s="2">
        <v>13</v>
      </c>
      <c r="BD46" s="2">
        <v>3</v>
      </c>
      <c r="BE46" s="2">
        <v>1</v>
      </c>
      <c r="BF46" s="2">
        <v>10</v>
      </c>
      <c r="BG46" s="2" t="s">
        <v>332</v>
      </c>
      <c r="BH46" s="10">
        <v>4000000</v>
      </c>
      <c r="BI46" s="2" t="str">
        <f>""</f>
        <v/>
      </c>
      <c r="BJ46" s="2"/>
      <c r="BK46" s="2">
        <v>1</v>
      </c>
      <c r="BL46" s="2">
        <v>2</v>
      </c>
      <c r="BM46" s="2">
        <f t="shared" ref="BM46:BM109" si="18">IF($BL46=1,BM45+1,BM45)</f>
        <v>3</v>
      </c>
      <c r="BN46" s="2">
        <f t="shared" ref="BN46:BN109" si="19">IF($BL46=2,BN45+1,BN45)</f>
        <v>3</v>
      </c>
      <c r="BO46" s="2">
        <f t="shared" ref="BO46:BO109" si="20">IF($BL46=3,BO45+1,BO45)</f>
        <v>0</v>
      </c>
      <c r="BP46" s="2">
        <f t="shared" ref="BP46:BP109" si="21">IF($BL46=4,BP45+1,BP45)</f>
        <v>4</v>
      </c>
      <c r="BQ46" s="2">
        <f t="shared" ref="BQ46:BQ109" si="22">IF($BL46=5,BQ45+1,BQ45)</f>
        <v>3</v>
      </c>
      <c r="BR46" s="2">
        <f t="shared" ref="BR46:BR109" si="23">IF($BL46=6,BR45+1,BR45)</f>
        <v>3</v>
      </c>
      <c r="BS46" s="2">
        <f t="shared" ref="BS46:BS109" si="24">IF($BL46=7,BS45+1,BS45)</f>
        <v>2</v>
      </c>
    </row>
    <row r="47" spans="1:71">
      <c r="F47" s="180" t="s">
        <v>1137</v>
      </c>
      <c r="G47" s="181" t="s">
        <v>328</v>
      </c>
      <c r="H47" s="181">
        <v>12</v>
      </c>
      <c r="I47" s="349">
        <v>10</v>
      </c>
      <c r="J47" s="853" t="s">
        <v>1194</v>
      </c>
      <c r="K47" s="854"/>
      <c r="L47" s="182">
        <v>6000000</v>
      </c>
      <c r="M47" s="852" t="s">
        <v>339</v>
      </c>
      <c r="N47" s="852"/>
      <c r="O47" s="852"/>
      <c r="P47" s="850" t="s">
        <v>1139</v>
      </c>
      <c r="Q47" s="851"/>
      <c r="V47" t="str">
        <f>IF('Ship Info'!$F$7,IF('Ship Info'!$C$5&lt;100,'8a-Weapons'!W47,'8a-Weapons'!X47), IF(Tonnage&lt;100,W47,X47))</f>
        <v>HP20</v>
      </c>
      <c r="W47" s="28" t="s">
        <v>61</v>
      </c>
      <c r="X47" s="79" t="s">
        <v>372</v>
      </c>
      <c r="Y47" s="141" t="str">
        <f t="shared" si="6"/>
        <v>HP20</v>
      </c>
      <c r="Z47" s="131" t="str">
        <f>VLOOKUP(B31,Table1[],12)</f>
        <v/>
      </c>
      <c r="AA47" s="131" t="str">
        <f t="shared" si="7"/>
        <v/>
      </c>
      <c r="AB47" s="146" t="str">
        <f t="shared" si="17"/>
        <v/>
      </c>
      <c r="AC47" s="131"/>
      <c r="AD47" s="131"/>
      <c r="AE47" s="131"/>
      <c r="AF47" s="146" t="str">
        <f>IF(E31="A Standard","",VLOOKUP(E31,Table5[],10)&amp;IF(AND(E31=G31,E31=F31)," x3",IF(OR(E31=F31,E31=G31)," x2","")))</f>
        <v/>
      </c>
      <c r="AG47" s="146" t="str">
        <f>IF(F31="A Standard","",IF(E31=F31,"",IF(AF47="","",", ")&amp;VLOOKUP(F31,Table5[],10)&amp;IF(F31=G31," x2","")))</f>
        <v/>
      </c>
      <c r="AH47" s="146" t="str">
        <f>IF(G31="A Standard","",IF(OR(G31=E31,G31=F31),"", IF(AND(AF47="",AG47=""),"",", ")&amp;VLOOKUP(G31,Table5[],10)))</f>
        <v/>
      </c>
      <c r="AI47" s="10">
        <f>D31*(VLOOKUP(B31,Table1[],5)+VLOOKUP(C31,Table3[],7)*VLOOKUP(B31,Table1[],9))*(1+IF(SUM(VLOOKUP(E31,Table5[],5),VLOOKUP(F31,Table5[],5),VLOOKUP(G31,Table5[],5))=0,VLOOKUP(H31,$AC$17:$AD$20,2),VLOOKUP(E31,Table5[],5)+VLOOKUP(F31,Table5[],5)+VLOOKUP(G31,Table5[],5)))</f>
        <v>0</v>
      </c>
      <c r="AJ47" s="131">
        <f>D31*VLOOKUP(B31,Table1[],4)*(1+VLOOKUP(E31,Table5[],4)+VLOOKUP(F31,Table5[],4)+VLOOKUP(G31,Table5[],4))</f>
        <v>0</v>
      </c>
      <c r="AK47" s="131">
        <f>D31*VLOOKUP(B31,Table1[],3)+D31*VLOOKUP(B31,Table1[],9)*VLOOKUP(AB47,Table3[],5)*(1+VLOOKUP(E31,Table5[],3)+VLOOKUP(F31,Table5[],3)+VLOOKUP(G31,Table5[],3))</f>
        <v>0</v>
      </c>
      <c r="AL47" s="28" t="str">
        <f>VLOOKUP(AB47,Table3[],8)</f>
        <v/>
      </c>
      <c r="AM47">
        <f>IF(AND('Ship Info'!$F$7,'Ship Info'!$C$5&gt;=100),1,IF($B$4&gt;=100,1,0))</f>
        <v>1</v>
      </c>
      <c r="AN47" s="28">
        <f>IF(B31=$Z$2,$AM$28,VLOOKUP(B31,Table4[],2))</f>
        <v>1</v>
      </c>
      <c r="AO47" s="28">
        <f t="shared" si="8"/>
        <v>0</v>
      </c>
      <c r="AP47" s="28">
        <f>VLOOKUP(B31,Table1[],6)*D31</f>
        <v>0</v>
      </c>
      <c r="AQ47" s="46" t="str">
        <f>IF(AA47="","",IF(E$5="Yes","See Notes",IF(B$4&lt;100,INDEX($U$64:$V$72,MATCH(VLOOKUP(AB47,Table3[],4)+AS47,$U$64:$U$72,0),2),INDEX($U$64:$V$72,MATCH(VLOOKUP(AB47,Table3[],3)+AS47,$U$64:$U$72,0),2))))</f>
        <v/>
      </c>
      <c r="AR47" t="str">
        <f>IF(D25="Yes","See Notes",INDEX(Table3[],MATCH(C31,Table3[Weapon],0),6)&amp;IF(VLOOKUP(AB47,Table3[],10)=0,IF(VLOOKUP(B31,Table1[],10)=0,"","+"&amp;LEFT(VLOOKUP(C31,Table3[],6),1)*VLOOKUP(B31,Table1[],10)),""))</f>
        <v/>
      </c>
      <c r="AS47">
        <f t="shared" si="16"/>
        <v>0</v>
      </c>
      <c r="AT47" s="2" t="str">
        <f>""</f>
        <v/>
      </c>
      <c r="AU47" s="2" t="str">
        <f>""</f>
        <v/>
      </c>
      <c r="AV47" s="2" t="str">
        <f>""</f>
        <v/>
      </c>
      <c r="AW47" s="2" t="str">
        <f>""</f>
        <v/>
      </c>
      <c r="AX47" s="2" t="str">
        <f>""</f>
        <v/>
      </c>
      <c r="AY47" s="2" t="str">
        <f>""</f>
        <v/>
      </c>
      <c r="AZ47" s="2" t="str">
        <f>""</f>
        <v/>
      </c>
      <c r="BA47" s="2"/>
      <c r="BB47" s="2" t="s">
        <v>2345</v>
      </c>
      <c r="BC47" s="2">
        <v>16</v>
      </c>
      <c r="BD47" s="2">
        <v>4</v>
      </c>
      <c r="BE47" s="2"/>
      <c r="BF47" s="2">
        <v>100</v>
      </c>
      <c r="BG47" s="2" t="s">
        <v>1601</v>
      </c>
      <c r="BH47" s="10">
        <v>110000000</v>
      </c>
      <c r="BI47" s="2" t="s">
        <v>2346</v>
      </c>
      <c r="BJ47" s="2"/>
      <c r="BK47" s="2">
        <v>1</v>
      </c>
      <c r="BL47" s="2">
        <v>6</v>
      </c>
      <c r="BM47" s="2">
        <f t="shared" si="18"/>
        <v>3</v>
      </c>
      <c r="BN47" s="2">
        <f t="shared" si="19"/>
        <v>3</v>
      </c>
      <c r="BO47" s="2">
        <f t="shared" si="20"/>
        <v>0</v>
      </c>
      <c r="BP47" s="2">
        <f t="shared" si="21"/>
        <v>4</v>
      </c>
      <c r="BQ47" s="2">
        <f t="shared" si="22"/>
        <v>3</v>
      </c>
      <c r="BR47" s="2">
        <f t="shared" si="23"/>
        <v>4</v>
      </c>
      <c r="BS47" s="2">
        <f t="shared" si="24"/>
        <v>2</v>
      </c>
    </row>
    <row r="48" spans="1:71">
      <c r="F48" s="172" t="s">
        <v>1133</v>
      </c>
      <c r="G48" s="183" t="s">
        <v>1136</v>
      </c>
      <c r="H48" s="173"/>
      <c r="I48" s="173"/>
      <c r="J48" s="173"/>
      <c r="K48" s="184"/>
      <c r="L48" s="184"/>
      <c r="M48" s="184"/>
      <c r="N48" s="184"/>
      <c r="O48" s="184"/>
      <c r="P48" s="184"/>
      <c r="Q48" s="160"/>
      <c r="AT48" s="2" t="str">
        <f>""</f>
        <v/>
      </c>
      <c r="AU48" s="2" t="s">
        <v>614</v>
      </c>
      <c r="AV48" s="2" t="s">
        <v>655</v>
      </c>
      <c r="AW48" s="2" t="s">
        <v>443</v>
      </c>
      <c r="AX48" t="s">
        <v>1690</v>
      </c>
      <c r="AY48" t="s">
        <v>1689</v>
      </c>
      <c r="AZ48" t="s">
        <v>1688</v>
      </c>
      <c r="BA48" s="2"/>
      <c r="BB48" s="2" t="s">
        <v>2344</v>
      </c>
      <c r="BC48" s="2">
        <v>17</v>
      </c>
      <c r="BD48" s="2">
        <v>4</v>
      </c>
      <c r="BE48" s="2"/>
      <c r="BF48" s="2">
        <v>80</v>
      </c>
      <c r="BG48" s="2" t="s">
        <v>1601</v>
      </c>
      <c r="BH48" s="10">
        <v>120000000</v>
      </c>
      <c r="BI48" s="2" t="s">
        <v>2346</v>
      </c>
      <c r="BJ48" s="2"/>
      <c r="BK48" s="2">
        <v>1</v>
      </c>
      <c r="BL48" s="2">
        <v>5</v>
      </c>
      <c r="BM48" s="2">
        <f t="shared" si="18"/>
        <v>3</v>
      </c>
      <c r="BN48" s="2">
        <f t="shared" si="19"/>
        <v>3</v>
      </c>
      <c r="BO48" s="2">
        <f t="shared" si="20"/>
        <v>0</v>
      </c>
      <c r="BP48" s="2">
        <f t="shared" si="21"/>
        <v>4</v>
      </c>
      <c r="BQ48" s="2">
        <f t="shared" si="22"/>
        <v>4</v>
      </c>
      <c r="BR48" s="2">
        <f t="shared" si="23"/>
        <v>4</v>
      </c>
      <c r="BS48" s="2">
        <f t="shared" si="24"/>
        <v>2</v>
      </c>
    </row>
    <row r="49" spans="6:71" ht="16" thickBot="1">
      <c r="F49" s="211" t="s">
        <v>325</v>
      </c>
      <c r="G49" s="185" t="s">
        <v>326</v>
      </c>
      <c r="H49" s="176" t="s">
        <v>26</v>
      </c>
      <c r="I49" s="185" t="s">
        <v>55</v>
      </c>
      <c r="J49" s="185" t="s">
        <v>1131</v>
      </c>
      <c r="K49" s="186"/>
      <c r="L49" s="185" t="s">
        <v>1</v>
      </c>
      <c r="M49" s="848" t="s">
        <v>171</v>
      </c>
      <c r="N49" s="848"/>
      <c r="O49" s="848"/>
      <c r="P49" s="848" t="s">
        <v>373</v>
      </c>
      <c r="Q49" s="849"/>
      <c r="V49" s="44">
        <v>1</v>
      </c>
      <c r="W49" s="45">
        <v>2</v>
      </c>
      <c r="X49" s="47">
        <v>3</v>
      </c>
      <c r="AT49" s="2" t="str">
        <f>""</f>
        <v/>
      </c>
      <c r="AU49" s="2" t="s">
        <v>1694</v>
      </c>
      <c r="AV49" s="2" t="s">
        <v>1614</v>
      </c>
      <c r="AW49" s="2" t="s">
        <v>444</v>
      </c>
      <c r="AX49" s="2" t="s">
        <v>1613</v>
      </c>
      <c r="AY49" s="2" t="s">
        <v>1612</v>
      </c>
      <c r="AZ49" s="132" t="s">
        <v>1603</v>
      </c>
      <c r="BA49" s="2"/>
      <c r="BB49" s="2" t="s">
        <v>2343</v>
      </c>
      <c r="BC49" s="2">
        <v>18</v>
      </c>
      <c r="BD49" s="2">
        <v>4</v>
      </c>
      <c r="BE49" s="2"/>
      <c r="BF49" s="2">
        <v>60</v>
      </c>
      <c r="BG49" s="2" t="s">
        <v>1601</v>
      </c>
      <c r="BH49" s="10">
        <v>125000000</v>
      </c>
      <c r="BI49" s="2" t="s">
        <v>2346</v>
      </c>
      <c r="BJ49" s="2"/>
      <c r="BK49" s="2">
        <v>1</v>
      </c>
      <c r="BL49" s="2">
        <v>4</v>
      </c>
      <c r="BM49" s="2">
        <f t="shared" si="18"/>
        <v>3</v>
      </c>
      <c r="BN49" s="2">
        <f t="shared" si="19"/>
        <v>3</v>
      </c>
      <c r="BO49" s="2">
        <f t="shared" si="20"/>
        <v>0</v>
      </c>
      <c r="BP49" s="2">
        <f t="shared" si="21"/>
        <v>5</v>
      </c>
      <c r="BQ49" s="2">
        <f t="shared" si="22"/>
        <v>4</v>
      </c>
      <c r="BR49" s="2">
        <f t="shared" si="23"/>
        <v>4</v>
      </c>
      <c r="BS49" s="2">
        <f t="shared" si="24"/>
        <v>2</v>
      </c>
    </row>
    <row r="50" spans="6:71" ht="16" thickBot="1">
      <c r="F50" s="197"/>
      <c r="G50" s="198" t="s">
        <v>1103</v>
      </c>
      <c r="H50" s="198">
        <v>0</v>
      </c>
      <c r="I50" s="235">
        <v>0</v>
      </c>
      <c r="J50" s="837">
        <v>0</v>
      </c>
      <c r="K50" s="837"/>
      <c r="L50" s="221">
        <v>0</v>
      </c>
      <c r="M50" s="839"/>
      <c r="N50" s="839"/>
      <c r="O50" s="839"/>
      <c r="P50" s="839" t="s">
        <v>1103</v>
      </c>
      <c r="Q50" s="839"/>
      <c r="V50" s="78">
        <f>VLOOKUP(E6,Table3[],2)</f>
        <v>0</v>
      </c>
      <c r="W50">
        <f>VLOOKUP(F6,Table3[],2)</f>
        <v>0</v>
      </c>
      <c r="X50" s="46">
        <f>VLOOKUP(G6,Table3[],2)</f>
        <v>0</v>
      </c>
      <c r="Z50" s="21" t="s">
        <v>377</v>
      </c>
      <c r="AA50" t="s">
        <v>26</v>
      </c>
      <c r="AB50" t="s">
        <v>322</v>
      </c>
      <c r="AC50" t="s">
        <v>117</v>
      </c>
      <c r="AD50" t="s">
        <v>1</v>
      </c>
      <c r="AE50" t="s">
        <v>171</v>
      </c>
      <c r="AF50" t="s">
        <v>1085</v>
      </c>
      <c r="AG50" t="s">
        <v>1086</v>
      </c>
      <c r="AH50" t="s">
        <v>860</v>
      </c>
      <c r="AI50" t="s">
        <v>1112</v>
      </c>
      <c r="AJ50" t="s">
        <v>1115</v>
      </c>
      <c r="AK50" t="s">
        <v>1116</v>
      </c>
      <c r="AL50" t="s">
        <v>1117</v>
      </c>
      <c r="AM50" t="s">
        <v>1118</v>
      </c>
      <c r="AN50" t="s">
        <v>1119</v>
      </c>
      <c r="AT50" s="2" t="str">
        <f>""</f>
        <v/>
      </c>
      <c r="AU50" s="2" t="s">
        <v>1611</v>
      </c>
      <c r="AV50" s="2" t="s">
        <v>657</v>
      </c>
      <c r="AW50" s="2" t="s">
        <v>445</v>
      </c>
      <c r="AX50" s="2" t="s">
        <v>1616</v>
      </c>
      <c r="AY50" s="2" t="s">
        <v>1615</v>
      </c>
      <c r="AZ50" s="2" t="s">
        <v>1604</v>
      </c>
      <c r="BA50" s="2"/>
      <c r="BB50" s="2" t="s">
        <v>657</v>
      </c>
      <c r="BC50" s="2">
        <v>12</v>
      </c>
      <c r="BD50" s="2">
        <v>4</v>
      </c>
      <c r="BE50" s="2">
        <v>1</v>
      </c>
      <c r="BF50" s="2">
        <v>10</v>
      </c>
      <c r="BG50" s="2" t="s">
        <v>1389</v>
      </c>
      <c r="BH50" s="10">
        <v>6000000</v>
      </c>
      <c r="BI50" s="2" t="s">
        <v>339</v>
      </c>
      <c r="BJ50" s="2"/>
      <c r="BK50" s="2">
        <v>1</v>
      </c>
      <c r="BL50" s="2">
        <v>2</v>
      </c>
      <c r="BM50" s="2">
        <f t="shared" si="18"/>
        <v>3</v>
      </c>
      <c r="BN50" s="2">
        <f t="shared" si="19"/>
        <v>4</v>
      </c>
      <c r="BO50" s="2">
        <f t="shared" si="20"/>
        <v>0</v>
      </c>
      <c r="BP50" s="2">
        <f t="shared" si="21"/>
        <v>5</v>
      </c>
      <c r="BQ50" s="2">
        <f t="shared" si="22"/>
        <v>4</v>
      </c>
      <c r="BR50" s="2">
        <f t="shared" si="23"/>
        <v>4</v>
      </c>
      <c r="BS50" s="2">
        <f t="shared" si="24"/>
        <v>2</v>
      </c>
    </row>
    <row r="51" spans="6:71">
      <c r="F51" s="211" t="s">
        <v>1133</v>
      </c>
      <c r="G51" s="212" t="s">
        <v>858</v>
      </c>
      <c r="H51" s="213"/>
      <c r="I51" s="213"/>
      <c r="J51" s="213"/>
      <c r="K51" s="186"/>
      <c r="L51" s="186"/>
      <c r="M51" s="186"/>
      <c r="N51" s="186"/>
      <c r="O51" s="186"/>
      <c r="P51" s="186"/>
      <c r="Q51" s="187"/>
      <c r="V51" s="78">
        <f>VLOOKUP(E7,Table3[],2)</f>
        <v>0</v>
      </c>
      <c r="W51">
        <f>VLOOKUP(F7,Table3[],2)</f>
        <v>0</v>
      </c>
      <c r="X51" s="46">
        <f>VLOOKUP(G7,Table3[],2)</f>
        <v>0</v>
      </c>
      <c r="Z51" t="str">
        <f>""</f>
        <v/>
      </c>
      <c r="AA51">
        <v>0</v>
      </c>
      <c r="AB51">
        <v>0</v>
      </c>
      <c r="AC51">
        <v>0</v>
      </c>
      <c r="AD51">
        <v>0</v>
      </c>
      <c r="AE51" t="str">
        <f>""</f>
        <v/>
      </c>
      <c r="AH51" s="2">
        <v>0</v>
      </c>
      <c r="AI51" t="s">
        <v>19</v>
      </c>
      <c r="AT51" s="2" t="str">
        <f>""</f>
        <v/>
      </c>
      <c r="AU51" s="2" t="s">
        <v>615</v>
      </c>
      <c r="AV51" s="2" t="s">
        <v>1620</v>
      </c>
      <c r="AW51" s="2" t="str">
        <f>""</f>
        <v/>
      </c>
      <c r="AX51" s="2" t="s">
        <v>632</v>
      </c>
      <c r="AY51" s="2" t="s">
        <v>1617</v>
      </c>
      <c r="AZ51" s="2" t="s">
        <v>1605</v>
      </c>
      <c r="BA51" s="2"/>
      <c r="BB51" s="2" t="s">
        <v>1354</v>
      </c>
      <c r="BC51" s="2">
        <v>12</v>
      </c>
      <c r="BD51" s="2">
        <v>5</v>
      </c>
      <c r="BE51" s="2"/>
      <c r="BF51" s="2">
        <v>40</v>
      </c>
      <c r="BG51" s="2" t="s">
        <v>1355</v>
      </c>
      <c r="BH51" s="10">
        <v>40000000</v>
      </c>
      <c r="BI51" s="2" t="s">
        <v>339</v>
      </c>
      <c r="BJ51" s="2"/>
      <c r="BK51" s="2">
        <v>1</v>
      </c>
      <c r="BL51" s="2">
        <v>6</v>
      </c>
      <c r="BM51" s="2">
        <f t="shared" si="18"/>
        <v>3</v>
      </c>
      <c r="BN51" s="2">
        <f t="shared" si="19"/>
        <v>4</v>
      </c>
      <c r="BO51" s="2">
        <f t="shared" si="20"/>
        <v>0</v>
      </c>
      <c r="BP51" s="2">
        <f t="shared" si="21"/>
        <v>5</v>
      </c>
      <c r="BQ51" s="2">
        <f t="shared" si="22"/>
        <v>4</v>
      </c>
      <c r="BR51" s="2">
        <f t="shared" si="23"/>
        <v>5</v>
      </c>
      <c r="BS51" s="2">
        <f t="shared" si="24"/>
        <v>2</v>
      </c>
    </row>
    <row r="52" spans="6:71" ht="16" thickBot="1">
      <c r="F52" s="211" t="s">
        <v>325</v>
      </c>
      <c r="G52" s="185" t="s">
        <v>326</v>
      </c>
      <c r="H52" s="176" t="s">
        <v>26</v>
      </c>
      <c r="I52" s="185" t="s">
        <v>55</v>
      </c>
      <c r="J52" s="185" t="s">
        <v>1131</v>
      </c>
      <c r="K52" s="186"/>
      <c r="L52" s="185" t="s">
        <v>1</v>
      </c>
      <c r="M52" s="848" t="s">
        <v>171</v>
      </c>
      <c r="N52" s="848"/>
      <c r="O52" s="848"/>
      <c r="P52" s="848" t="s">
        <v>373</v>
      </c>
      <c r="Q52" s="849"/>
      <c r="V52" s="78">
        <f>VLOOKUP(E8,Table3[],2)</f>
        <v>0</v>
      </c>
      <c r="W52">
        <f>VLOOKUP(F8,Table3[],2)</f>
        <v>0</v>
      </c>
      <c r="X52" s="46">
        <f>VLOOKUP(G8,Table3[],2)</f>
        <v>0</v>
      </c>
      <c r="Z52" s="16" t="s">
        <v>395</v>
      </c>
      <c r="AA52">
        <v>0</v>
      </c>
      <c r="AB52">
        <v>0</v>
      </c>
      <c r="AC52">
        <v>0</v>
      </c>
      <c r="AD52">
        <v>0</v>
      </c>
      <c r="AE52" t="str">
        <f>""</f>
        <v/>
      </c>
      <c r="AH52" s="2">
        <v>0</v>
      </c>
      <c r="AI52" s="16" t="s">
        <v>19</v>
      </c>
      <c r="AT52" s="2" t="str">
        <f>""</f>
        <v/>
      </c>
      <c r="AU52" s="2" t="s">
        <v>616</v>
      </c>
      <c r="AV52" s="2" t="s">
        <v>656</v>
      </c>
      <c r="AW52" s="2" t="str">
        <f>""</f>
        <v/>
      </c>
      <c r="AX52" s="2" t="s">
        <v>1619</v>
      </c>
      <c r="AY52" s="2" t="s">
        <v>1618</v>
      </c>
      <c r="AZ52" s="2" t="s">
        <v>1380</v>
      </c>
      <c r="BA52" s="2"/>
      <c r="BB52" s="2" t="s">
        <v>1615</v>
      </c>
      <c r="BC52" s="2">
        <v>12</v>
      </c>
      <c r="BD52" s="2">
        <v>4</v>
      </c>
      <c r="BE52" s="2"/>
      <c r="BF52" s="2">
        <v>30</v>
      </c>
      <c r="BG52" s="2" t="s">
        <v>1348</v>
      </c>
      <c r="BH52" s="10">
        <v>25000000</v>
      </c>
      <c r="BI52" s="2" t="s">
        <v>339</v>
      </c>
      <c r="BJ52" s="2"/>
      <c r="BK52" s="2">
        <v>1</v>
      </c>
      <c r="BL52" s="2">
        <v>5</v>
      </c>
      <c r="BM52" s="2">
        <f t="shared" si="18"/>
        <v>3</v>
      </c>
      <c r="BN52" s="2">
        <f t="shared" si="19"/>
        <v>4</v>
      </c>
      <c r="BO52" s="2">
        <f t="shared" si="20"/>
        <v>0</v>
      </c>
      <c r="BP52" s="2">
        <f t="shared" si="21"/>
        <v>5</v>
      </c>
      <c r="BQ52" s="2">
        <f t="shared" si="22"/>
        <v>5</v>
      </c>
      <c r="BR52" s="2">
        <f t="shared" si="23"/>
        <v>5</v>
      </c>
      <c r="BS52" s="2">
        <f t="shared" si="24"/>
        <v>2</v>
      </c>
    </row>
    <row r="53" spans="6:71" ht="16" thickBot="1">
      <c r="F53" s="197"/>
      <c r="G53" s="198" t="s">
        <v>1103</v>
      </c>
      <c r="H53" s="198">
        <v>0</v>
      </c>
      <c r="I53" s="235">
        <v>0</v>
      </c>
      <c r="J53" s="837">
        <v>0</v>
      </c>
      <c r="K53" s="837"/>
      <c r="L53" s="221">
        <v>0</v>
      </c>
      <c r="M53" s="839"/>
      <c r="N53" s="839"/>
      <c r="O53" s="839"/>
      <c r="P53" s="839" t="s">
        <v>1103</v>
      </c>
      <c r="Q53" s="839"/>
      <c r="V53" s="86">
        <f>VLOOKUP(E9,Table3[],2)</f>
        <v>0</v>
      </c>
      <c r="W53" s="28">
        <f>VLOOKUP(F9,Table3[],2)</f>
        <v>0</v>
      </c>
      <c r="X53" s="79">
        <f>VLOOKUP(G9,Table3[],2)</f>
        <v>0</v>
      </c>
      <c r="Z53" s="142" t="s">
        <v>1089</v>
      </c>
      <c r="AA53">
        <v>0</v>
      </c>
      <c r="AB53">
        <v>0</v>
      </c>
      <c r="AC53">
        <v>0.2</v>
      </c>
      <c r="AD53">
        <v>-0.25</v>
      </c>
      <c r="AE53" t="s">
        <v>380</v>
      </c>
      <c r="AH53" s="2">
        <v>3</v>
      </c>
      <c r="AI53" s="142" t="s">
        <v>643</v>
      </c>
      <c r="AT53" s="2" t="str">
        <f>""</f>
        <v/>
      </c>
      <c r="AU53" s="2" t="s">
        <v>1625</v>
      </c>
      <c r="AV53" s="2" t="s">
        <v>1628</v>
      </c>
      <c r="AW53" s="2" t="str">
        <f>""</f>
        <v/>
      </c>
      <c r="AX53" s="2" t="s">
        <v>1622</v>
      </c>
      <c r="AY53" s="2" t="s">
        <v>1621</v>
      </c>
      <c r="AZ53" s="2" t="s">
        <v>1606</v>
      </c>
      <c r="BA53" s="2"/>
      <c r="BB53" s="2" t="s">
        <v>1616</v>
      </c>
      <c r="BC53" s="2">
        <v>12</v>
      </c>
      <c r="BD53" s="2">
        <v>4</v>
      </c>
      <c r="BE53" s="2"/>
      <c r="BF53" s="2">
        <v>20</v>
      </c>
      <c r="BG53" s="2" t="s">
        <v>1192</v>
      </c>
      <c r="BH53" s="10">
        <v>15000000</v>
      </c>
      <c r="BI53" s="2" t="s">
        <v>339</v>
      </c>
      <c r="BJ53" s="2"/>
      <c r="BK53" s="2">
        <v>1</v>
      </c>
      <c r="BL53" s="2">
        <v>4</v>
      </c>
      <c r="BM53" s="2">
        <f t="shared" si="18"/>
        <v>3</v>
      </c>
      <c r="BN53" s="2">
        <f t="shared" si="19"/>
        <v>4</v>
      </c>
      <c r="BO53" s="2">
        <f t="shared" si="20"/>
        <v>0</v>
      </c>
      <c r="BP53" s="2">
        <f t="shared" si="21"/>
        <v>6</v>
      </c>
      <c r="BQ53" s="2">
        <f t="shared" si="22"/>
        <v>5</v>
      </c>
      <c r="BR53" s="2">
        <f t="shared" si="23"/>
        <v>5</v>
      </c>
      <c r="BS53" s="2">
        <f t="shared" si="24"/>
        <v>2</v>
      </c>
    </row>
    <row r="54" spans="6:71">
      <c r="Z54" s="16" t="s">
        <v>1090</v>
      </c>
      <c r="AA54">
        <v>0</v>
      </c>
      <c r="AB54">
        <v>0</v>
      </c>
      <c r="AC54">
        <v>0</v>
      </c>
      <c r="AD54">
        <v>-0.25</v>
      </c>
      <c r="AE54" t="s">
        <v>383</v>
      </c>
      <c r="AH54" s="2">
        <v>3</v>
      </c>
      <c r="AI54" s="16" t="s">
        <v>644</v>
      </c>
      <c r="AL54" t="s">
        <v>1041</v>
      </c>
      <c r="AT54" s="2" t="str">
        <f>""</f>
        <v/>
      </c>
      <c r="AU54" s="2" t="s">
        <v>1629</v>
      </c>
      <c r="AV54" s="2" t="s">
        <v>631</v>
      </c>
      <c r="AW54" s="2" t="str">
        <f>""</f>
        <v/>
      </c>
      <c r="AX54" s="2" t="s">
        <v>1624</v>
      </c>
      <c r="AY54" s="2" t="s">
        <v>1623</v>
      </c>
      <c r="AZ54" s="2" t="s">
        <v>1379</v>
      </c>
      <c r="BA54" s="2"/>
      <c r="BB54" s="2" t="s">
        <v>615</v>
      </c>
      <c r="BC54" s="2">
        <v>8</v>
      </c>
      <c r="BD54" s="2">
        <v>1</v>
      </c>
      <c r="BE54" s="2">
        <v>1</v>
      </c>
      <c r="BF54" s="2">
        <v>4</v>
      </c>
      <c r="BG54" s="2" t="s">
        <v>335</v>
      </c>
      <c r="BH54" s="10">
        <v>150000</v>
      </c>
      <c r="BI54" s="2" t="s">
        <v>1337</v>
      </c>
      <c r="BJ54" s="2"/>
      <c r="BK54" s="2"/>
      <c r="BL54" s="2">
        <v>1</v>
      </c>
      <c r="BM54" s="2">
        <f t="shared" si="18"/>
        <v>4</v>
      </c>
      <c r="BN54" s="2">
        <f t="shared" si="19"/>
        <v>4</v>
      </c>
      <c r="BO54" s="2">
        <f t="shared" si="20"/>
        <v>0</v>
      </c>
      <c r="BP54" s="2">
        <f t="shared" si="21"/>
        <v>6</v>
      </c>
      <c r="BQ54" s="2">
        <f t="shared" si="22"/>
        <v>5</v>
      </c>
      <c r="BR54" s="2">
        <f t="shared" si="23"/>
        <v>5</v>
      </c>
      <c r="BS54" s="2">
        <f t="shared" si="24"/>
        <v>2</v>
      </c>
    </row>
    <row r="55" spans="6:71" ht="32">
      <c r="G55" s="155" t="s">
        <v>925</v>
      </c>
      <c r="V55" s="44" t="s">
        <v>769</v>
      </c>
      <c r="W55" s="47">
        <f>SUM(W56:W61)</f>
        <v>0</v>
      </c>
      <c r="Z55" s="16" t="s">
        <v>1091</v>
      </c>
      <c r="AA55">
        <v>0</v>
      </c>
      <c r="AB55">
        <v>0.3</v>
      </c>
      <c r="AC55">
        <v>0</v>
      </c>
      <c r="AD55">
        <v>-0.25</v>
      </c>
      <c r="AE55" t="s">
        <v>382</v>
      </c>
      <c r="AH55" s="2">
        <v>3</v>
      </c>
      <c r="AI55" s="16" t="s">
        <v>645</v>
      </c>
      <c r="AT55" s="2" t="str">
        <f>""</f>
        <v/>
      </c>
      <c r="AU55" s="76" t="s">
        <v>628</v>
      </c>
      <c r="AV55" s="2" t="s">
        <v>658</v>
      </c>
      <c r="AW55" s="2" t="str">
        <f>""</f>
        <v/>
      </c>
      <c r="AX55" s="2" t="s">
        <v>1627</v>
      </c>
      <c r="AY55" s="131" t="s">
        <v>1626</v>
      </c>
      <c r="AZ55" s="2" t="s">
        <v>1607</v>
      </c>
      <c r="BA55" s="2"/>
      <c r="BB55" s="2" t="s">
        <v>1604</v>
      </c>
      <c r="BC55" s="2">
        <v>8</v>
      </c>
      <c r="BD55" s="2">
        <v>4</v>
      </c>
      <c r="BE55" s="2"/>
      <c r="BF55" s="2">
        <v>35</v>
      </c>
      <c r="BG55" s="2" t="s">
        <v>1360</v>
      </c>
      <c r="BH55" s="10">
        <v>80000000</v>
      </c>
      <c r="BI55" s="2" t="s">
        <v>1361</v>
      </c>
      <c r="BJ55" s="2"/>
      <c r="BK55" s="2">
        <v>1</v>
      </c>
      <c r="BL55" s="2">
        <v>6</v>
      </c>
      <c r="BM55" s="2">
        <f t="shared" si="18"/>
        <v>4</v>
      </c>
      <c r="BN55" s="2">
        <f t="shared" si="19"/>
        <v>4</v>
      </c>
      <c r="BO55" s="2">
        <f t="shared" si="20"/>
        <v>0</v>
      </c>
      <c r="BP55" s="2">
        <f t="shared" si="21"/>
        <v>6</v>
      </c>
      <c r="BQ55" s="2">
        <f t="shared" si="22"/>
        <v>5</v>
      </c>
      <c r="BR55" s="2">
        <f t="shared" si="23"/>
        <v>6</v>
      </c>
      <c r="BS55" s="2">
        <f t="shared" si="24"/>
        <v>2</v>
      </c>
    </row>
    <row r="56" spans="6:71">
      <c r="V56" s="78" t="s">
        <v>807</v>
      </c>
      <c r="W56" s="46">
        <f>COUNTIF(AO28:AO47,"&gt;0")</f>
        <v>0</v>
      </c>
      <c r="Z56" s="16" t="s">
        <v>1092</v>
      </c>
      <c r="AA56">
        <v>1</v>
      </c>
      <c r="AB56">
        <v>0</v>
      </c>
      <c r="AC56">
        <v>0</v>
      </c>
      <c r="AD56">
        <v>-0.1</v>
      </c>
      <c r="AE56" t="s">
        <v>727</v>
      </c>
      <c r="AH56" s="2">
        <v>3</v>
      </c>
      <c r="AI56" s="16" t="s">
        <v>646</v>
      </c>
      <c r="AT56" s="2" t="str">
        <f>""</f>
        <v/>
      </c>
      <c r="AU56" s="2" t="s">
        <v>629</v>
      </c>
      <c r="AV56" s="2" t="s">
        <v>659</v>
      </c>
      <c r="AW56" s="2" t="str">
        <f>""</f>
        <v/>
      </c>
      <c r="AX56" s="2" t="s">
        <v>1631</v>
      </c>
      <c r="AY56" s="2" t="s">
        <v>1630</v>
      </c>
      <c r="BA56" s="2"/>
      <c r="BB56" s="2" t="s">
        <v>1617</v>
      </c>
      <c r="BC56" s="2">
        <v>8</v>
      </c>
      <c r="BD56" s="2">
        <v>3</v>
      </c>
      <c r="BE56" s="2"/>
      <c r="BF56" s="2">
        <v>25</v>
      </c>
      <c r="BG56" s="2" t="s">
        <v>1362</v>
      </c>
      <c r="BH56" s="10">
        <v>60000000</v>
      </c>
      <c r="BI56" s="2" t="s">
        <v>1361</v>
      </c>
      <c r="BJ56" s="2"/>
      <c r="BK56" s="2">
        <v>1</v>
      </c>
      <c r="BL56" s="2">
        <v>5</v>
      </c>
      <c r="BM56" s="2">
        <f t="shared" si="18"/>
        <v>4</v>
      </c>
      <c r="BN56" s="2">
        <f t="shared" si="19"/>
        <v>4</v>
      </c>
      <c r="BO56" s="2">
        <f t="shared" si="20"/>
        <v>0</v>
      </c>
      <c r="BP56" s="2">
        <f t="shared" si="21"/>
        <v>6</v>
      </c>
      <c r="BQ56" s="2">
        <f t="shared" si="22"/>
        <v>6</v>
      </c>
      <c r="BR56" s="2">
        <f t="shared" si="23"/>
        <v>6</v>
      </c>
      <c r="BS56" s="2">
        <f t="shared" si="24"/>
        <v>2</v>
      </c>
    </row>
    <row r="57" spans="6:71">
      <c r="V57" s="78" t="s">
        <v>1121</v>
      </c>
      <c r="W57" s="46">
        <f>COUNTIF(H12:H31,"&gt;3")</f>
        <v>0</v>
      </c>
      <c r="Z57" s="16" t="s">
        <v>1093</v>
      </c>
      <c r="AA57">
        <v>2</v>
      </c>
      <c r="AB57">
        <v>0</v>
      </c>
      <c r="AC57">
        <v>0</v>
      </c>
      <c r="AD57">
        <v>-0.2</v>
      </c>
      <c r="AE57" t="s">
        <v>728</v>
      </c>
      <c r="AH57" s="2">
        <v>3</v>
      </c>
      <c r="AI57" s="16" t="s">
        <v>647</v>
      </c>
      <c r="AT57" s="2" t="str">
        <f>""</f>
        <v/>
      </c>
      <c r="AU57" s="2" t="s">
        <v>390</v>
      </c>
      <c r="AV57" s="2" t="str">
        <f>""</f>
        <v/>
      </c>
      <c r="AW57" s="2" t="str">
        <f>""</f>
        <v/>
      </c>
      <c r="AX57" t="s">
        <v>1693</v>
      </c>
      <c r="AY57" t="s">
        <v>1692</v>
      </c>
      <c r="AZ57" t="s">
        <v>1691</v>
      </c>
      <c r="BA57" s="2"/>
      <c r="BB57" s="2" t="s">
        <v>1353</v>
      </c>
      <c r="BC57" s="2">
        <v>8</v>
      </c>
      <c r="BD57" s="2">
        <v>3</v>
      </c>
      <c r="BE57" s="2"/>
      <c r="BF57" s="2">
        <v>15</v>
      </c>
      <c r="BG57" s="2" t="s">
        <v>1343</v>
      </c>
      <c r="BH57" s="10">
        <v>40000000</v>
      </c>
      <c r="BI57" s="2" t="s">
        <v>1361</v>
      </c>
      <c r="BJ57" s="2"/>
      <c r="BK57" s="2">
        <v>1</v>
      </c>
      <c r="BL57" s="2">
        <v>4</v>
      </c>
      <c r="BM57" s="2">
        <f t="shared" si="18"/>
        <v>4</v>
      </c>
      <c r="BN57" s="2">
        <f t="shared" si="19"/>
        <v>4</v>
      </c>
      <c r="BO57" s="2">
        <f t="shared" si="20"/>
        <v>0</v>
      </c>
      <c r="BP57" s="2">
        <f t="shared" si="21"/>
        <v>7</v>
      </c>
      <c r="BQ57" s="2">
        <f t="shared" si="22"/>
        <v>6</v>
      </c>
      <c r="BR57" s="2">
        <f t="shared" si="23"/>
        <v>6</v>
      </c>
      <c r="BS57" s="2">
        <f t="shared" si="24"/>
        <v>2</v>
      </c>
    </row>
    <row r="58" spans="6:71">
      <c r="V58" s="78" t="s">
        <v>1125</v>
      </c>
      <c r="W58" s="46">
        <f>IF(J8&gt;J6,1,0)</f>
        <v>0</v>
      </c>
      <c r="Z58" s="16" t="s">
        <v>1094</v>
      </c>
      <c r="AA58">
        <v>3</v>
      </c>
      <c r="AB58">
        <v>0</v>
      </c>
      <c r="AC58">
        <v>0</v>
      </c>
      <c r="AD58">
        <v>-0.3</v>
      </c>
      <c r="AE58" t="s">
        <v>729</v>
      </c>
      <c r="AH58" s="2">
        <v>3</v>
      </c>
      <c r="AI58" s="16" t="s">
        <v>648</v>
      </c>
      <c r="AT58" s="2" t="str">
        <f>""</f>
        <v/>
      </c>
      <c r="AU58" s="2" t="s">
        <v>630</v>
      </c>
      <c r="AV58" s="2" t="str">
        <f>""</f>
        <v/>
      </c>
      <c r="AW58" s="2" t="str">
        <f>""</f>
        <v/>
      </c>
      <c r="AX58" s="2" t="s">
        <v>1633</v>
      </c>
      <c r="AY58" s="2" t="s">
        <v>1632</v>
      </c>
      <c r="AZ58" s="2" t="s">
        <v>1608</v>
      </c>
      <c r="BA58" s="2"/>
      <c r="BB58" s="2" t="s">
        <v>1605</v>
      </c>
      <c r="BC58" s="2">
        <v>13</v>
      </c>
      <c r="BD58" s="2">
        <v>5</v>
      </c>
      <c r="BE58" s="2"/>
      <c r="BF58" s="2">
        <v>150</v>
      </c>
      <c r="BG58" s="2" t="s">
        <v>1360</v>
      </c>
      <c r="BH58" s="10">
        <v>250000000</v>
      </c>
      <c r="BI58" s="2" t="s">
        <v>347</v>
      </c>
      <c r="BJ58" s="2"/>
      <c r="BK58" s="2">
        <v>1</v>
      </c>
      <c r="BL58" s="2">
        <v>6</v>
      </c>
      <c r="BM58" s="2">
        <f t="shared" si="18"/>
        <v>4</v>
      </c>
      <c r="BN58" s="2">
        <f t="shared" si="19"/>
        <v>4</v>
      </c>
      <c r="BO58" s="2">
        <f t="shared" si="20"/>
        <v>0</v>
      </c>
      <c r="BP58" s="2">
        <f t="shared" si="21"/>
        <v>7</v>
      </c>
      <c r="BQ58" s="2">
        <f t="shared" si="22"/>
        <v>6</v>
      </c>
      <c r="BR58" s="2">
        <f t="shared" si="23"/>
        <v>7</v>
      </c>
      <c r="BS58" s="2">
        <f t="shared" si="24"/>
        <v>2</v>
      </c>
    </row>
    <row r="59" spans="6:71">
      <c r="V59" s="78" t="s">
        <v>809</v>
      </c>
      <c r="W59" s="46">
        <f>IF(MAX(K12:K36)&gt;K2,1,0)</f>
        <v>0</v>
      </c>
      <c r="Z59" s="16" t="s">
        <v>1160</v>
      </c>
      <c r="AA59">
        <v>1</v>
      </c>
      <c r="AB59">
        <v>0</v>
      </c>
      <c r="AC59">
        <v>0</v>
      </c>
      <c r="AD59">
        <v>0</v>
      </c>
      <c r="AE59" t="s">
        <v>415</v>
      </c>
      <c r="AH59" s="2">
        <v>1</v>
      </c>
      <c r="AI59" s="16" t="s">
        <v>1163</v>
      </c>
      <c r="AL59" t="s">
        <v>732</v>
      </c>
      <c r="AT59" s="2" t="str">
        <f>""</f>
        <v/>
      </c>
      <c r="AU59" s="2" t="str">
        <f>""</f>
        <v/>
      </c>
      <c r="AV59" s="2" t="str">
        <f>""</f>
        <v/>
      </c>
      <c r="AW59" s="2" t="str">
        <f>""</f>
        <v/>
      </c>
      <c r="AX59" s="2" t="s">
        <v>1638</v>
      </c>
      <c r="AY59" s="2" t="s">
        <v>1637</v>
      </c>
      <c r="AZ59" s="2" t="s">
        <v>1609</v>
      </c>
      <c r="BA59" s="2"/>
      <c r="BB59" s="2" t="s">
        <v>1618</v>
      </c>
      <c r="BC59" s="2">
        <v>12</v>
      </c>
      <c r="BD59" s="2">
        <v>5</v>
      </c>
      <c r="BE59" s="2"/>
      <c r="BF59" s="2">
        <v>30</v>
      </c>
      <c r="BG59" s="2" t="s">
        <v>1364</v>
      </c>
      <c r="BH59" s="10">
        <v>60000000</v>
      </c>
      <c r="BI59" s="2" t="s">
        <v>347</v>
      </c>
      <c r="BJ59" s="2"/>
      <c r="BK59" s="2">
        <v>1</v>
      </c>
      <c r="BL59" s="2">
        <v>5</v>
      </c>
      <c r="BM59" s="2">
        <f t="shared" si="18"/>
        <v>4</v>
      </c>
      <c r="BN59" s="2">
        <f t="shared" si="19"/>
        <v>4</v>
      </c>
      <c r="BO59" s="2">
        <f t="shared" si="20"/>
        <v>0</v>
      </c>
      <c r="BP59" s="2">
        <f t="shared" si="21"/>
        <v>7</v>
      </c>
      <c r="BQ59" s="2">
        <f t="shared" si="22"/>
        <v>7</v>
      </c>
      <c r="BR59" s="2">
        <f t="shared" si="23"/>
        <v>7</v>
      </c>
      <c r="BS59" s="2">
        <f t="shared" si="24"/>
        <v>2</v>
      </c>
    </row>
    <row r="60" spans="6:71">
      <c r="V60" s="78" t="s">
        <v>1218</v>
      </c>
      <c r="W60" s="46">
        <f>IF(N36&gt;VLOOKUP(B36,Z113:AG121,8),1,0)</f>
        <v>0</v>
      </c>
      <c r="Z60" s="16" t="s">
        <v>1095</v>
      </c>
      <c r="AA60">
        <v>1</v>
      </c>
      <c r="AB60">
        <v>-0.25</v>
      </c>
      <c r="AC60">
        <v>0</v>
      </c>
      <c r="AD60">
        <v>0</v>
      </c>
      <c r="AE60" t="s">
        <v>381</v>
      </c>
      <c r="AH60" s="2">
        <v>1</v>
      </c>
      <c r="AI60" s="16" t="s">
        <v>649</v>
      </c>
      <c r="AX60" s="2" t="s">
        <v>1641</v>
      </c>
      <c r="AY60" s="2" t="s">
        <v>1640</v>
      </c>
      <c r="AZ60" s="2" t="s">
        <v>1639</v>
      </c>
      <c r="BA60" s="2"/>
      <c r="BB60" s="2" t="s">
        <v>1619</v>
      </c>
      <c r="BC60" s="2">
        <v>11</v>
      </c>
      <c r="BD60" s="2">
        <v>5</v>
      </c>
      <c r="BE60" s="2"/>
      <c r="BF60" s="2">
        <v>20</v>
      </c>
      <c r="BG60" s="2" t="s">
        <v>1363</v>
      </c>
      <c r="BH60" s="10">
        <v>50000000</v>
      </c>
      <c r="BI60" s="2" t="s">
        <v>347</v>
      </c>
      <c r="BJ60" s="2"/>
      <c r="BK60" s="2">
        <v>1</v>
      </c>
      <c r="BL60" s="2">
        <v>4</v>
      </c>
      <c r="BM60" s="2">
        <f t="shared" si="18"/>
        <v>4</v>
      </c>
      <c r="BN60" s="2">
        <f t="shared" si="19"/>
        <v>4</v>
      </c>
      <c r="BO60" s="2">
        <f t="shared" si="20"/>
        <v>0</v>
      </c>
      <c r="BP60" s="2">
        <f t="shared" si="21"/>
        <v>8</v>
      </c>
      <c r="BQ60" s="2">
        <f t="shared" si="22"/>
        <v>7</v>
      </c>
      <c r="BR60" s="2">
        <f t="shared" si="23"/>
        <v>7</v>
      </c>
      <c r="BS60" s="2">
        <f t="shared" si="24"/>
        <v>2</v>
      </c>
    </row>
    <row r="61" spans="6:71">
      <c r="V61" s="86" t="s">
        <v>1230</v>
      </c>
      <c r="W61" s="79">
        <f>SUM(BA113:BA132)</f>
        <v>0</v>
      </c>
      <c r="Z61" s="16" t="s">
        <v>1161</v>
      </c>
      <c r="AA61">
        <v>1</v>
      </c>
      <c r="AB61">
        <v>0</v>
      </c>
      <c r="AC61">
        <v>0</v>
      </c>
      <c r="AD61">
        <v>0</v>
      </c>
      <c r="AE61" t="s">
        <v>378</v>
      </c>
      <c r="AH61" s="2">
        <v>1</v>
      </c>
      <c r="AI61" s="16" t="s">
        <v>1164</v>
      </c>
      <c r="AL61" t="s">
        <v>733</v>
      </c>
      <c r="AX61" s="2" t="s">
        <v>1642</v>
      </c>
      <c r="AY61" s="2" t="s">
        <v>1643</v>
      </c>
      <c r="AZ61" s="2" t="s">
        <v>1610</v>
      </c>
      <c r="BA61" s="2"/>
      <c r="BB61" s="2" t="s">
        <v>1620</v>
      </c>
      <c r="BC61" s="2">
        <v>7</v>
      </c>
      <c r="BD61" s="2">
        <v>8</v>
      </c>
      <c r="BE61" s="2">
        <v>8</v>
      </c>
      <c r="BF61" s="2">
        <v>0</v>
      </c>
      <c r="BG61" s="2" t="s">
        <v>331</v>
      </c>
      <c r="BH61" s="10">
        <v>4000000</v>
      </c>
      <c r="BI61" s="2" t="s">
        <v>333</v>
      </c>
      <c r="BJ61" s="2"/>
      <c r="BK61" s="2">
        <v>1</v>
      </c>
      <c r="BL61" s="2">
        <v>2</v>
      </c>
      <c r="BM61" s="2">
        <f t="shared" si="18"/>
        <v>4</v>
      </c>
      <c r="BN61" s="2">
        <f t="shared" si="19"/>
        <v>5</v>
      </c>
      <c r="BO61" s="2">
        <f t="shared" si="20"/>
        <v>0</v>
      </c>
      <c r="BP61" s="2">
        <f t="shared" si="21"/>
        <v>8</v>
      </c>
      <c r="BQ61" s="2">
        <f t="shared" si="22"/>
        <v>7</v>
      </c>
      <c r="BR61" s="2">
        <f t="shared" si="23"/>
        <v>7</v>
      </c>
      <c r="BS61" s="2">
        <f t="shared" si="24"/>
        <v>2</v>
      </c>
    </row>
    <row r="62" spans="6:71" ht="15" customHeight="1">
      <c r="Z62" s="16" t="s">
        <v>1162</v>
      </c>
      <c r="AA62">
        <v>1</v>
      </c>
      <c r="AB62">
        <v>0</v>
      </c>
      <c r="AC62">
        <v>0</v>
      </c>
      <c r="AD62">
        <v>0</v>
      </c>
      <c r="AE62" t="s">
        <v>379</v>
      </c>
      <c r="AH62" s="2">
        <v>1</v>
      </c>
      <c r="AI62" s="16" t="s">
        <v>1165</v>
      </c>
      <c r="AL62" t="s">
        <v>734</v>
      </c>
      <c r="BA62" s="2"/>
      <c r="BB62" s="2" t="s">
        <v>1380</v>
      </c>
      <c r="BC62" s="2">
        <v>7</v>
      </c>
      <c r="BD62" s="2">
        <v>8</v>
      </c>
      <c r="BE62" s="2"/>
      <c r="BF62" s="2">
        <v>50</v>
      </c>
      <c r="BG62" s="2" t="s">
        <v>331</v>
      </c>
      <c r="BH62" s="10">
        <v>25000000</v>
      </c>
      <c r="BI62" s="2" t="s">
        <v>333</v>
      </c>
      <c r="BJ62" s="2"/>
      <c r="BK62" s="2">
        <v>1</v>
      </c>
      <c r="BL62" s="2">
        <v>6</v>
      </c>
      <c r="BM62" s="2">
        <f t="shared" si="18"/>
        <v>4</v>
      </c>
      <c r="BN62" s="2">
        <f t="shared" si="19"/>
        <v>5</v>
      </c>
      <c r="BO62" s="2">
        <f t="shared" si="20"/>
        <v>0</v>
      </c>
      <c r="BP62" s="2">
        <f t="shared" si="21"/>
        <v>8</v>
      </c>
      <c r="BQ62" s="2">
        <f t="shared" si="22"/>
        <v>7</v>
      </c>
      <c r="BR62" s="2">
        <f t="shared" si="23"/>
        <v>8</v>
      </c>
      <c r="BS62" s="2">
        <f t="shared" si="24"/>
        <v>2</v>
      </c>
    </row>
    <row r="63" spans="6:71">
      <c r="U63" t="str">
        <f>""</f>
        <v/>
      </c>
      <c r="V63" s="121" t="str">
        <f>""</f>
        <v/>
      </c>
      <c r="Z63" s="16" t="s">
        <v>1096</v>
      </c>
      <c r="AA63">
        <v>1</v>
      </c>
      <c r="AB63">
        <v>0</v>
      </c>
      <c r="AC63">
        <v>-0.1</v>
      </c>
      <c r="AD63">
        <v>0</v>
      </c>
      <c r="AE63" t="s">
        <v>384</v>
      </c>
      <c r="AH63" s="2">
        <v>1</v>
      </c>
      <c r="AI63" s="16" t="s">
        <v>650</v>
      </c>
      <c r="AT63" s="92"/>
      <c r="AU63" s="2"/>
      <c r="AV63" s="2"/>
      <c r="AW63" s="2"/>
      <c r="AX63" s="2"/>
      <c r="AY63" s="2"/>
      <c r="AZ63" s="88"/>
      <c r="BA63" s="2"/>
      <c r="BB63" s="2" t="s">
        <v>1621</v>
      </c>
      <c r="BC63" s="2">
        <v>7</v>
      </c>
      <c r="BD63" s="2">
        <v>8</v>
      </c>
      <c r="BE63" s="2"/>
      <c r="BF63" s="2">
        <v>10</v>
      </c>
      <c r="BG63" s="2" t="s">
        <v>331</v>
      </c>
      <c r="BH63" s="10">
        <v>20000000</v>
      </c>
      <c r="BI63" s="2" t="s">
        <v>333</v>
      </c>
      <c r="BJ63" s="2"/>
      <c r="BK63" s="2">
        <v>1</v>
      </c>
      <c r="BL63" s="2">
        <v>5</v>
      </c>
      <c r="BM63" s="2">
        <f t="shared" si="18"/>
        <v>4</v>
      </c>
      <c r="BN63" s="2">
        <f t="shared" si="19"/>
        <v>5</v>
      </c>
      <c r="BO63" s="2">
        <f t="shared" si="20"/>
        <v>0</v>
      </c>
      <c r="BP63" s="2">
        <f t="shared" si="21"/>
        <v>8</v>
      </c>
      <c r="BQ63" s="2">
        <f t="shared" si="22"/>
        <v>8</v>
      </c>
      <c r="BR63" s="2">
        <f t="shared" si="23"/>
        <v>8</v>
      </c>
      <c r="BS63" s="2">
        <f t="shared" si="24"/>
        <v>2</v>
      </c>
    </row>
    <row r="64" spans="6:71">
      <c r="U64">
        <v>1</v>
      </c>
      <c r="V64" s="123" t="s">
        <v>330</v>
      </c>
      <c r="Z64" s="16" t="s">
        <v>1097</v>
      </c>
      <c r="AA64">
        <v>2</v>
      </c>
      <c r="AB64">
        <v>0</v>
      </c>
      <c r="AC64">
        <v>0</v>
      </c>
      <c r="AD64">
        <v>0</v>
      </c>
      <c r="AE64" t="s">
        <v>730</v>
      </c>
      <c r="AH64" s="2">
        <v>2</v>
      </c>
      <c r="AI64" s="16" t="s">
        <v>651</v>
      </c>
      <c r="AL64" t="s">
        <v>735</v>
      </c>
      <c r="AT64" s="92"/>
      <c r="AU64" s="2"/>
      <c r="AV64" s="2"/>
      <c r="AW64" s="2"/>
      <c r="AX64" s="2"/>
      <c r="AY64" s="2"/>
      <c r="AZ64" s="88"/>
      <c r="BA64" s="2"/>
      <c r="BB64" s="2" t="s">
        <v>1622</v>
      </c>
      <c r="BC64" s="2">
        <v>7</v>
      </c>
      <c r="BD64" s="2">
        <v>8</v>
      </c>
      <c r="BE64" s="2"/>
      <c r="BF64" s="2">
        <v>5</v>
      </c>
      <c r="BG64" s="2" t="s">
        <v>331</v>
      </c>
      <c r="BH64" s="10">
        <v>12000000</v>
      </c>
      <c r="BI64" s="2" t="s">
        <v>333</v>
      </c>
      <c r="BJ64" s="2"/>
      <c r="BK64" s="2">
        <v>1</v>
      </c>
      <c r="BL64" s="2">
        <v>4</v>
      </c>
      <c r="BM64" s="2">
        <f t="shared" si="18"/>
        <v>4</v>
      </c>
      <c r="BN64" s="2">
        <f t="shared" si="19"/>
        <v>5</v>
      </c>
      <c r="BO64" s="2">
        <f t="shared" si="20"/>
        <v>0</v>
      </c>
      <c r="BP64" s="2">
        <f t="shared" si="21"/>
        <v>9</v>
      </c>
      <c r="BQ64" s="2">
        <f t="shared" si="22"/>
        <v>8</v>
      </c>
      <c r="BR64" s="2">
        <f t="shared" si="23"/>
        <v>8</v>
      </c>
      <c r="BS64" s="2">
        <f t="shared" si="24"/>
        <v>2</v>
      </c>
    </row>
    <row r="65" spans="21:71">
      <c r="U65">
        <v>2</v>
      </c>
      <c r="V65" s="123" t="s">
        <v>633</v>
      </c>
      <c r="Z65" t="s">
        <v>1098</v>
      </c>
      <c r="AA65">
        <v>2</v>
      </c>
      <c r="AB65">
        <v>0</v>
      </c>
      <c r="AC65">
        <v>0</v>
      </c>
      <c r="AD65">
        <v>0</v>
      </c>
      <c r="AE65" t="s">
        <v>731</v>
      </c>
      <c r="AH65" s="2">
        <v>2</v>
      </c>
      <c r="AI65" t="s">
        <v>652</v>
      </c>
      <c r="AL65" t="s">
        <v>731</v>
      </c>
      <c r="AT65" s="92"/>
      <c r="AU65" s="2"/>
      <c r="AV65" s="2"/>
      <c r="AW65" s="2"/>
      <c r="AX65" s="2"/>
      <c r="AY65" s="2"/>
      <c r="AZ65" s="88"/>
      <c r="BA65" s="2"/>
      <c r="BB65" s="2" t="s">
        <v>616</v>
      </c>
      <c r="BC65" s="2">
        <v>7</v>
      </c>
      <c r="BD65" s="2">
        <v>8</v>
      </c>
      <c r="BE65" s="2">
        <v>8</v>
      </c>
      <c r="BF65" s="2">
        <v>0</v>
      </c>
      <c r="BG65" s="2" t="s">
        <v>331</v>
      </c>
      <c r="BH65" s="10">
        <v>750000</v>
      </c>
      <c r="BI65" s="2" t="s">
        <v>333</v>
      </c>
      <c r="BJ65" s="2"/>
      <c r="BK65" s="2">
        <v>1</v>
      </c>
      <c r="BL65" s="2">
        <v>1</v>
      </c>
      <c r="BM65" s="2">
        <f t="shared" si="18"/>
        <v>5</v>
      </c>
      <c r="BN65" s="2">
        <f t="shared" si="19"/>
        <v>5</v>
      </c>
      <c r="BO65" s="2">
        <f t="shared" si="20"/>
        <v>0</v>
      </c>
      <c r="BP65" s="2">
        <f t="shared" si="21"/>
        <v>9</v>
      </c>
      <c r="BQ65" s="2">
        <f t="shared" si="22"/>
        <v>8</v>
      </c>
      <c r="BR65" s="2">
        <f t="shared" si="23"/>
        <v>8</v>
      </c>
      <c r="BS65" s="2">
        <f t="shared" si="24"/>
        <v>2</v>
      </c>
    </row>
    <row r="66" spans="21:71">
      <c r="U66">
        <v>3</v>
      </c>
      <c r="V66" s="123" t="s">
        <v>1134</v>
      </c>
      <c r="Z66" s="16" t="s">
        <v>1099</v>
      </c>
      <c r="AA66">
        <v>2</v>
      </c>
      <c r="AB66">
        <v>0</v>
      </c>
      <c r="AC66">
        <v>0</v>
      </c>
      <c r="AD66">
        <v>0</v>
      </c>
      <c r="AE66" t="s">
        <v>385</v>
      </c>
      <c r="AH66" s="2">
        <v>2</v>
      </c>
      <c r="AI66" s="16" t="s">
        <v>653</v>
      </c>
      <c r="AL66" t="s">
        <v>2257</v>
      </c>
      <c r="AT66" s="92"/>
      <c r="AU66" s="2"/>
      <c r="AV66" s="2"/>
      <c r="AW66" s="2"/>
      <c r="AX66" s="2"/>
      <c r="AY66" s="2"/>
      <c r="AZ66" s="88"/>
      <c r="BA66" s="2"/>
      <c r="BB66" s="2" t="s">
        <v>1606</v>
      </c>
      <c r="BC66" s="2">
        <v>16</v>
      </c>
      <c r="BD66" s="2">
        <v>5</v>
      </c>
      <c r="BE66" s="2"/>
      <c r="BF66" s="2">
        <v>180</v>
      </c>
      <c r="BG66" s="2" t="s">
        <v>1193</v>
      </c>
      <c r="BH66" s="10">
        <v>100000000</v>
      </c>
      <c r="BI66" s="2" t="str">
        <f>""</f>
        <v/>
      </c>
      <c r="BJ66" s="2"/>
      <c r="BK66" s="2">
        <v>1</v>
      </c>
      <c r="BL66" s="2">
        <v>6</v>
      </c>
      <c r="BM66" s="2">
        <f t="shared" si="18"/>
        <v>5</v>
      </c>
      <c r="BN66" s="2">
        <f t="shared" si="19"/>
        <v>5</v>
      </c>
      <c r="BO66" s="2">
        <f t="shared" si="20"/>
        <v>0</v>
      </c>
      <c r="BP66" s="2">
        <f t="shared" si="21"/>
        <v>9</v>
      </c>
      <c r="BQ66" s="2">
        <f t="shared" si="22"/>
        <v>8</v>
      </c>
      <c r="BR66" s="2">
        <f t="shared" si="23"/>
        <v>9</v>
      </c>
      <c r="BS66" s="2">
        <f t="shared" si="24"/>
        <v>2</v>
      </c>
    </row>
    <row r="67" spans="21:71">
      <c r="U67">
        <v>4</v>
      </c>
      <c r="V67" s="123" t="s">
        <v>328</v>
      </c>
      <c r="Z67" s="16" t="s">
        <v>1100</v>
      </c>
      <c r="AA67">
        <v>2</v>
      </c>
      <c r="AB67">
        <v>0</v>
      </c>
      <c r="AC67">
        <v>0</v>
      </c>
      <c r="AD67">
        <v>0</v>
      </c>
      <c r="AE67" t="s">
        <v>387</v>
      </c>
      <c r="AH67" s="2">
        <v>2</v>
      </c>
      <c r="AI67" s="16" t="s">
        <v>654</v>
      </c>
      <c r="AL67" t="s">
        <v>737</v>
      </c>
      <c r="AT67" s="92"/>
      <c r="AU67" s="2"/>
      <c r="AV67" s="2"/>
      <c r="AW67" s="2"/>
      <c r="AX67" s="2"/>
      <c r="AY67" s="2"/>
      <c r="AZ67" s="88"/>
      <c r="BA67" s="2"/>
      <c r="BB67" s="131" t="s">
        <v>1623</v>
      </c>
      <c r="BC67" s="2">
        <v>16</v>
      </c>
      <c r="BD67" s="2">
        <v>5</v>
      </c>
      <c r="BE67" s="2"/>
      <c r="BF67" s="2">
        <v>60</v>
      </c>
      <c r="BG67" s="2" t="s">
        <v>1193</v>
      </c>
      <c r="BH67" s="10">
        <v>35000000</v>
      </c>
      <c r="BI67" s="2" t="str">
        <f>""</f>
        <v/>
      </c>
      <c r="BJ67" s="2"/>
      <c r="BK67" s="2">
        <v>1</v>
      </c>
      <c r="BL67" s="2">
        <v>5</v>
      </c>
      <c r="BM67" s="2">
        <f t="shared" si="18"/>
        <v>5</v>
      </c>
      <c r="BN67" s="2">
        <f t="shared" si="19"/>
        <v>5</v>
      </c>
      <c r="BO67" s="2">
        <f t="shared" si="20"/>
        <v>0</v>
      </c>
      <c r="BP67" s="2">
        <f t="shared" si="21"/>
        <v>9</v>
      </c>
      <c r="BQ67" s="2">
        <f t="shared" si="22"/>
        <v>9</v>
      </c>
      <c r="BR67" s="2">
        <f t="shared" si="23"/>
        <v>9</v>
      </c>
      <c r="BS67" s="2">
        <f t="shared" si="24"/>
        <v>2</v>
      </c>
    </row>
    <row r="68" spans="21:71">
      <c r="U68">
        <v>5</v>
      </c>
      <c r="V68" s="123" t="s">
        <v>334</v>
      </c>
      <c r="Z68" t="s">
        <v>1017</v>
      </c>
      <c r="AA68">
        <v>-1</v>
      </c>
      <c r="AB68">
        <v>0</v>
      </c>
      <c r="AC68">
        <v>0.2</v>
      </c>
      <c r="AD68">
        <v>5</v>
      </c>
      <c r="AE68" t="s">
        <v>380</v>
      </c>
      <c r="AH68" s="2">
        <v>3</v>
      </c>
      <c r="AI68" t="s">
        <v>1032</v>
      </c>
      <c r="AT68" s="92"/>
      <c r="AU68" s="2"/>
      <c r="AV68" s="2"/>
      <c r="AW68" s="2"/>
      <c r="AX68" s="2"/>
      <c r="AY68" s="2"/>
      <c r="AZ68" s="88"/>
      <c r="BA68" s="2"/>
      <c r="BB68" s="2" t="s">
        <v>1624</v>
      </c>
      <c r="BC68" s="2">
        <v>16</v>
      </c>
      <c r="BD68" s="2">
        <v>5</v>
      </c>
      <c r="BE68" s="2"/>
      <c r="BF68" s="2">
        <v>40</v>
      </c>
      <c r="BG68" s="2" t="s">
        <v>1194</v>
      </c>
      <c r="BH68" s="10">
        <v>18000000</v>
      </c>
      <c r="BI68" s="2" t="str">
        <f>""</f>
        <v/>
      </c>
      <c r="BJ68" s="2"/>
      <c r="BK68" s="2">
        <v>1</v>
      </c>
      <c r="BL68" s="2">
        <v>4</v>
      </c>
      <c r="BM68" s="2">
        <f t="shared" si="18"/>
        <v>5</v>
      </c>
      <c r="BN68" s="2">
        <f t="shared" si="19"/>
        <v>5</v>
      </c>
      <c r="BO68" s="2">
        <f t="shared" si="20"/>
        <v>0</v>
      </c>
      <c r="BP68" s="2">
        <f t="shared" si="21"/>
        <v>10</v>
      </c>
      <c r="BQ68" s="2">
        <f t="shared" si="22"/>
        <v>9</v>
      </c>
      <c r="BR68" s="2">
        <f t="shared" si="23"/>
        <v>9</v>
      </c>
      <c r="BS68" s="2">
        <f t="shared" si="24"/>
        <v>2</v>
      </c>
    </row>
    <row r="69" spans="21:71">
      <c r="U69">
        <v>6</v>
      </c>
      <c r="V69" s="123" t="s">
        <v>1135</v>
      </c>
      <c r="Z69" t="s">
        <v>1018</v>
      </c>
      <c r="AA69">
        <v>-1</v>
      </c>
      <c r="AB69">
        <v>0</v>
      </c>
      <c r="AC69">
        <v>0</v>
      </c>
      <c r="AD69">
        <v>5</v>
      </c>
      <c r="AE69" t="s">
        <v>383</v>
      </c>
      <c r="AH69" s="2">
        <v>3</v>
      </c>
      <c r="AI69" t="s">
        <v>1033</v>
      </c>
      <c r="AL69" t="s">
        <v>1041</v>
      </c>
      <c r="AT69" s="92"/>
      <c r="AU69" s="2"/>
      <c r="AV69" s="2"/>
      <c r="AW69" s="2"/>
      <c r="AX69" s="2"/>
      <c r="AY69" s="2"/>
      <c r="AZ69" s="88"/>
      <c r="BA69" s="2"/>
      <c r="BB69" s="2" t="s">
        <v>1369</v>
      </c>
      <c r="BC69" s="2">
        <v>10</v>
      </c>
      <c r="BD69" s="2">
        <v>3</v>
      </c>
      <c r="BE69" s="2"/>
      <c r="BF69" s="2">
        <v>75</v>
      </c>
      <c r="BG69" s="2" t="s">
        <v>1370</v>
      </c>
      <c r="BH69" s="10">
        <v>50000000</v>
      </c>
      <c r="BI69" s="2" t="s">
        <v>1341</v>
      </c>
      <c r="BJ69" s="2"/>
      <c r="BK69" s="2">
        <v>1</v>
      </c>
      <c r="BL69" s="2">
        <v>6</v>
      </c>
      <c r="BM69" s="2">
        <f t="shared" si="18"/>
        <v>5</v>
      </c>
      <c r="BN69" s="2">
        <f t="shared" si="19"/>
        <v>5</v>
      </c>
      <c r="BO69" s="2">
        <f t="shared" si="20"/>
        <v>0</v>
      </c>
      <c r="BP69" s="2">
        <f t="shared" si="21"/>
        <v>10</v>
      </c>
      <c r="BQ69" s="2">
        <f t="shared" si="22"/>
        <v>9</v>
      </c>
      <c r="BR69" s="2">
        <f t="shared" si="23"/>
        <v>10</v>
      </c>
      <c r="BS69" s="2">
        <f t="shared" si="24"/>
        <v>2</v>
      </c>
    </row>
    <row r="70" spans="21:71">
      <c r="U70">
        <v>7</v>
      </c>
      <c r="V70" s="123" t="s">
        <v>1156</v>
      </c>
      <c r="W70" s="52" t="s">
        <v>1157</v>
      </c>
      <c r="Z70" t="s">
        <v>1019</v>
      </c>
      <c r="AA70">
        <v>-1</v>
      </c>
      <c r="AB70">
        <v>0.3</v>
      </c>
      <c r="AC70">
        <v>0</v>
      </c>
      <c r="AD70">
        <v>5</v>
      </c>
      <c r="AE70" t="s">
        <v>382</v>
      </c>
      <c r="AH70" s="2">
        <v>3</v>
      </c>
      <c r="AI70" t="s">
        <v>1034</v>
      </c>
      <c r="AT70" s="92"/>
      <c r="AU70" s="2"/>
      <c r="AV70" s="2"/>
      <c r="AW70" s="2"/>
      <c r="AX70" s="2"/>
      <c r="AY70" s="2"/>
      <c r="AZ70" s="88"/>
      <c r="BA70" s="2"/>
      <c r="BB70" s="2" t="s">
        <v>1366</v>
      </c>
      <c r="BC70" s="2">
        <v>10</v>
      </c>
      <c r="BD70" s="2">
        <v>3</v>
      </c>
      <c r="BE70" s="2"/>
      <c r="BF70" s="2">
        <v>50</v>
      </c>
      <c r="BG70" s="2" t="s">
        <v>1368</v>
      </c>
      <c r="BH70" s="10">
        <v>35000000</v>
      </c>
      <c r="BI70" s="2" t="s">
        <v>1341</v>
      </c>
      <c r="BJ70" s="2"/>
      <c r="BK70" s="2">
        <v>1</v>
      </c>
      <c r="BL70" s="2">
        <v>5</v>
      </c>
      <c r="BM70" s="2">
        <f t="shared" si="18"/>
        <v>5</v>
      </c>
      <c r="BN70" s="2">
        <f t="shared" si="19"/>
        <v>5</v>
      </c>
      <c r="BO70" s="2">
        <f t="shared" si="20"/>
        <v>0</v>
      </c>
      <c r="BP70" s="2">
        <f t="shared" si="21"/>
        <v>10</v>
      </c>
      <c r="BQ70" s="2">
        <f t="shared" si="22"/>
        <v>10</v>
      </c>
      <c r="BR70" s="2">
        <f t="shared" si="23"/>
        <v>10</v>
      </c>
      <c r="BS70" s="2">
        <f t="shared" si="24"/>
        <v>2</v>
      </c>
    </row>
    <row r="71" spans="21:71">
      <c r="U71">
        <v>8</v>
      </c>
      <c r="V71" s="122" t="s">
        <v>332</v>
      </c>
      <c r="W71" s="2">
        <f>IF(OR(G46=V71,G50=V71,G53=V71),1,0)</f>
        <v>0</v>
      </c>
      <c r="Z71" t="s">
        <v>1020</v>
      </c>
      <c r="AA71">
        <v>-2</v>
      </c>
      <c r="AB71">
        <v>0</v>
      </c>
      <c r="AC71">
        <v>1.4</v>
      </c>
      <c r="AD71">
        <v>10</v>
      </c>
      <c r="AE71" t="s">
        <v>1026</v>
      </c>
      <c r="AH71" s="2">
        <v>3</v>
      </c>
      <c r="AI71" t="s">
        <v>1035</v>
      </c>
      <c r="AT71" s="92"/>
      <c r="AU71" s="2"/>
      <c r="AV71" s="2"/>
      <c r="AW71" s="2"/>
      <c r="AX71" s="2"/>
      <c r="AY71" s="2"/>
      <c r="AZ71" s="88"/>
      <c r="BA71" s="2"/>
      <c r="BB71" s="2" t="s">
        <v>1339</v>
      </c>
      <c r="BC71" s="2">
        <v>10</v>
      </c>
      <c r="BD71" s="2">
        <v>3</v>
      </c>
      <c r="BE71" s="2"/>
      <c r="BF71" s="2">
        <v>35</v>
      </c>
      <c r="BG71" s="2" t="s">
        <v>1342</v>
      </c>
      <c r="BH71" s="10">
        <v>25000000</v>
      </c>
      <c r="BI71" s="2" t="s">
        <v>1341</v>
      </c>
      <c r="BJ71" s="2"/>
      <c r="BK71" s="2">
        <v>1</v>
      </c>
      <c r="BL71" s="2">
        <v>4</v>
      </c>
      <c r="BM71" s="2">
        <f t="shared" si="18"/>
        <v>5</v>
      </c>
      <c r="BN71" s="2">
        <f t="shared" si="19"/>
        <v>5</v>
      </c>
      <c r="BO71" s="2">
        <f t="shared" si="20"/>
        <v>0</v>
      </c>
      <c r="BP71" s="2">
        <f t="shared" si="21"/>
        <v>11</v>
      </c>
      <c r="BQ71" s="2">
        <f t="shared" si="22"/>
        <v>10</v>
      </c>
      <c r="BR71" s="2">
        <f t="shared" si="23"/>
        <v>10</v>
      </c>
      <c r="BS71" s="2">
        <f t="shared" si="24"/>
        <v>2</v>
      </c>
    </row>
    <row r="72" spans="21:71">
      <c r="U72">
        <v>9</v>
      </c>
      <c r="V72" s="123" t="s">
        <v>332</v>
      </c>
      <c r="Z72" t="s">
        <v>1021</v>
      </c>
      <c r="AA72">
        <v>-2</v>
      </c>
      <c r="AB72">
        <v>0.3</v>
      </c>
      <c r="AC72">
        <v>1.2</v>
      </c>
      <c r="AD72">
        <v>10</v>
      </c>
      <c r="AE72" t="s">
        <v>1027</v>
      </c>
      <c r="AH72" s="2">
        <v>3</v>
      </c>
      <c r="AI72" t="s">
        <v>1036</v>
      </c>
      <c r="AT72" s="92"/>
      <c r="AU72" s="2"/>
      <c r="AV72" s="2"/>
      <c r="AW72" s="2"/>
      <c r="AX72" s="2"/>
      <c r="AY72" s="2"/>
      <c r="AZ72" s="88"/>
      <c r="BA72" s="2"/>
      <c r="BB72" s="2" t="s">
        <v>1371</v>
      </c>
      <c r="BC72" s="2">
        <v>10</v>
      </c>
      <c r="BD72" s="2">
        <v>4</v>
      </c>
      <c r="BE72" s="2"/>
      <c r="BF72" s="2">
        <v>25</v>
      </c>
      <c r="BG72" s="2" t="s">
        <v>1372</v>
      </c>
      <c r="BH72" s="10">
        <v>24000000</v>
      </c>
      <c r="BI72" s="2" t="s">
        <v>1341</v>
      </c>
      <c r="BJ72" s="2"/>
      <c r="BK72" s="2">
        <v>1</v>
      </c>
      <c r="BL72" s="2">
        <v>6</v>
      </c>
      <c r="BM72" s="2">
        <f t="shared" si="18"/>
        <v>5</v>
      </c>
      <c r="BN72" s="2">
        <f t="shared" si="19"/>
        <v>5</v>
      </c>
      <c r="BO72" s="2">
        <f t="shared" si="20"/>
        <v>0</v>
      </c>
      <c r="BP72" s="2">
        <f t="shared" si="21"/>
        <v>11</v>
      </c>
      <c r="BQ72" s="2">
        <f t="shared" si="22"/>
        <v>10</v>
      </c>
      <c r="BR72" s="2">
        <f t="shared" si="23"/>
        <v>11</v>
      </c>
      <c r="BS72" s="2">
        <f t="shared" si="24"/>
        <v>2</v>
      </c>
    </row>
    <row r="73" spans="21:71">
      <c r="Z73" t="s">
        <v>1022</v>
      </c>
      <c r="AA73">
        <v>-2</v>
      </c>
      <c r="AB73">
        <v>0</v>
      </c>
      <c r="AC73">
        <v>1.2</v>
      </c>
      <c r="AD73">
        <v>10</v>
      </c>
      <c r="AE73" t="s">
        <v>1028</v>
      </c>
      <c r="AH73" s="2">
        <v>3</v>
      </c>
      <c r="AI73" t="s">
        <v>1037</v>
      </c>
      <c r="AL73" t="s">
        <v>1041</v>
      </c>
      <c r="AT73" s="92"/>
      <c r="AU73" s="2"/>
      <c r="AV73" s="2"/>
      <c r="AW73" s="2"/>
      <c r="AX73" s="2"/>
      <c r="AY73" s="2"/>
      <c r="AZ73" s="88"/>
      <c r="BA73" s="2"/>
      <c r="BB73" s="2" t="s">
        <v>1367</v>
      </c>
      <c r="BC73" s="2">
        <v>10</v>
      </c>
      <c r="BD73" s="2">
        <v>4</v>
      </c>
      <c r="BE73" s="2"/>
      <c r="BF73" s="2">
        <v>15</v>
      </c>
      <c r="BG73" s="2" t="s">
        <v>1346</v>
      </c>
      <c r="BH73" s="10">
        <v>20000000</v>
      </c>
      <c r="BI73" s="2" t="s">
        <v>1341</v>
      </c>
      <c r="BJ73" s="2"/>
      <c r="BK73" s="2">
        <v>1</v>
      </c>
      <c r="BL73" s="2">
        <v>5</v>
      </c>
      <c r="BM73" s="2">
        <f t="shared" si="18"/>
        <v>5</v>
      </c>
      <c r="BN73" s="2">
        <f t="shared" si="19"/>
        <v>5</v>
      </c>
      <c r="BO73" s="2">
        <f t="shared" si="20"/>
        <v>0</v>
      </c>
      <c r="BP73" s="2">
        <f t="shared" si="21"/>
        <v>11</v>
      </c>
      <c r="BQ73" s="2">
        <f t="shared" si="22"/>
        <v>11</v>
      </c>
      <c r="BR73" s="2">
        <f t="shared" si="23"/>
        <v>11</v>
      </c>
      <c r="BS73" s="2">
        <f t="shared" si="24"/>
        <v>2</v>
      </c>
    </row>
    <row r="74" spans="21:71">
      <c r="V74" s="3" t="s">
        <v>1602</v>
      </c>
      <c r="Z74" t="s">
        <v>1023</v>
      </c>
      <c r="AA74">
        <v>-2</v>
      </c>
      <c r="AB74">
        <v>0</v>
      </c>
      <c r="AC74">
        <v>1</v>
      </c>
      <c r="AD74">
        <v>10</v>
      </c>
      <c r="AE74" t="s">
        <v>1029</v>
      </c>
      <c r="AH74" s="2">
        <v>3</v>
      </c>
      <c r="AI74" t="s">
        <v>1038</v>
      </c>
      <c r="AL74" t="s">
        <v>1042</v>
      </c>
      <c r="AT74" s="92"/>
      <c r="AU74" s="2"/>
      <c r="AV74" s="2"/>
      <c r="AW74" s="2"/>
      <c r="AX74" s="2"/>
      <c r="AY74" s="2"/>
      <c r="AZ74" s="88"/>
      <c r="BA74" s="2"/>
      <c r="BB74" s="2" t="s">
        <v>1340</v>
      </c>
      <c r="BC74" s="2">
        <v>10</v>
      </c>
      <c r="BD74" s="2">
        <v>4</v>
      </c>
      <c r="BE74" s="2"/>
      <c r="BF74" s="2">
        <v>5</v>
      </c>
      <c r="BG74" s="2" t="s">
        <v>1343</v>
      </c>
      <c r="BH74" s="10">
        <v>16000000</v>
      </c>
      <c r="BI74" s="2" t="s">
        <v>1341</v>
      </c>
      <c r="BJ74" s="2"/>
      <c r="BK74" s="2">
        <v>1</v>
      </c>
      <c r="BL74" s="2">
        <v>4</v>
      </c>
      <c r="BM74" s="2">
        <f t="shared" si="18"/>
        <v>5</v>
      </c>
      <c r="BN74" s="2">
        <f t="shared" si="19"/>
        <v>5</v>
      </c>
      <c r="BO74" s="2">
        <f t="shared" si="20"/>
        <v>0</v>
      </c>
      <c r="BP74" s="2">
        <f t="shared" si="21"/>
        <v>12</v>
      </c>
      <c r="BQ74" s="2">
        <f t="shared" si="22"/>
        <v>11</v>
      </c>
      <c r="BR74" s="2">
        <f t="shared" si="23"/>
        <v>11</v>
      </c>
      <c r="BS74" s="2">
        <f t="shared" si="24"/>
        <v>2</v>
      </c>
    </row>
    <row r="75" spans="21:71">
      <c r="V75">
        <f>SUM(V78:V97)*-1</f>
        <v>0</v>
      </c>
      <c r="Z75" t="s">
        <v>1024</v>
      </c>
      <c r="AA75">
        <v>-2</v>
      </c>
      <c r="AB75">
        <v>0.3</v>
      </c>
      <c r="AC75">
        <v>1</v>
      </c>
      <c r="AD75">
        <v>10</v>
      </c>
      <c r="AE75" t="s">
        <v>1030</v>
      </c>
      <c r="AH75" s="2">
        <v>3</v>
      </c>
      <c r="AI75" t="s">
        <v>1039</v>
      </c>
      <c r="AL75" t="s">
        <v>1041</v>
      </c>
      <c r="AT75" s="92"/>
      <c r="AU75" s="2"/>
      <c r="AV75" s="2"/>
      <c r="AW75" s="2"/>
      <c r="AX75" s="2"/>
      <c r="AY75" s="2"/>
      <c r="AZ75" s="88"/>
      <c r="BA75" s="2"/>
      <c r="BB75" s="2" t="s">
        <v>656</v>
      </c>
      <c r="BC75" s="2">
        <v>11</v>
      </c>
      <c r="BD75" s="2">
        <v>6</v>
      </c>
      <c r="BE75" s="2">
        <v>2</v>
      </c>
      <c r="BF75" s="2">
        <v>15</v>
      </c>
      <c r="BG75" s="2" t="s">
        <v>1356</v>
      </c>
      <c r="BH75" s="10">
        <v>8000000</v>
      </c>
      <c r="BI75" s="2" t="s">
        <v>337</v>
      </c>
      <c r="BJ75" s="2"/>
      <c r="BK75" s="2">
        <v>1</v>
      </c>
      <c r="BL75" s="2">
        <v>2</v>
      </c>
      <c r="BM75" s="2">
        <f t="shared" si="18"/>
        <v>5</v>
      </c>
      <c r="BN75" s="2">
        <f t="shared" si="19"/>
        <v>6</v>
      </c>
      <c r="BO75" s="2">
        <f t="shared" si="20"/>
        <v>0</v>
      </c>
      <c r="BP75" s="2">
        <f t="shared" si="21"/>
        <v>12</v>
      </c>
      <c r="BQ75" s="2">
        <f t="shared" si="22"/>
        <v>11</v>
      </c>
      <c r="BR75" s="2">
        <f t="shared" si="23"/>
        <v>11</v>
      </c>
      <c r="BS75" s="2">
        <f t="shared" si="24"/>
        <v>2</v>
      </c>
    </row>
    <row r="76" spans="21:71">
      <c r="Z76" t="s">
        <v>1025</v>
      </c>
      <c r="AA76">
        <v>-2</v>
      </c>
      <c r="AB76">
        <v>0.6</v>
      </c>
      <c r="AC76">
        <v>1</v>
      </c>
      <c r="AD76">
        <v>10</v>
      </c>
      <c r="AE76" t="s">
        <v>1031</v>
      </c>
      <c r="AH76" s="2">
        <v>3</v>
      </c>
      <c r="AI76" t="s">
        <v>1040</v>
      </c>
      <c r="AT76" s="92"/>
      <c r="AU76" s="2"/>
      <c r="AV76" s="2"/>
      <c r="AW76" s="2"/>
      <c r="AX76" s="2"/>
      <c r="AY76" s="2"/>
      <c r="AZ76" s="88"/>
      <c r="BA76" s="2"/>
      <c r="BB76" s="2" t="s">
        <v>1625</v>
      </c>
      <c r="BC76" s="2">
        <v>12</v>
      </c>
      <c r="BD76" s="2">
        <v>6</v>
      </c>
      <c r="BE76" s="2">
        <v>2</v>
      </c>
      <c r="BF76" s="2">
        <v>8</v>
      </c>
      <c r="BG76" s="2" t="s">
        <v>1195</v>
      </c>
      <c r="BH76" s="10">
        <v>4000000</v>
      </c>
      <c r="BI76" s="2" t="s">
        <v>337</v>
      </c>
      <c r="BJ76" s="2"/>
      <c r="BK76" s="2"/>
      <c r="BL76" s="2">
        <v>1</v>
      </c>
      <c r="BM76" s="2">
        <f t="shared" si="18"/>
        <v>6</v>
      </c>
      <c r="BN76" s="2">
        <f t="shared" si="19"/>
        <v>6</v>
      </c>
      <c r="BO76" s="2">
        <f t="shared" si="20"/>
        <v>0</v>
      </c>
      <c r="BP76" s="2">
        <f t="shared" si="21"/>
        <v>12</v>
      </c>
      <c r="BQ76" s="2">
        <f t="shared" si="22"/>
        <v>11</v>
      </c>
      <c r="BR76" s="2">
        <f t="shared" si="23"/>
        <v>11</v>
      </c>
      <c r="BS76" s="2">
        <f t="shared" si="24"/>
        <v>2</v>
      </c>
    </row>
    <row r="77" spans="21:71">
      <c r="W77" s="1"/>
      <c r="X77" s="1" t="s">
        <v>785</v>
      </c>
      <c r="Y77" s="1" t="s">
        <v>1102</v>
      </c>
      <c r="Z77" s="1" t="s">
        <v>373</v>
      </c>
      <c r="AB77" s="1" t="s">
        <v>1111</v>
      </c>
      <c r="AT77" s="92"/>
      <c r="AU77" s="2"/>
      <c r="AV77" s="2"/>
      <c r="AW77" s="2"/>
      <c r="AX77" s="2"/>
      <c r="AY77" s="2"/>
      <c r="AZ77" s="88"/>
      <c r="BA77" s="2"/>
      <c r="BB77" s="2" t="s">
        <v>1379</v>
      </c>
      <c r="BC77" s="2">
        <v>13</v>
      </c>
      <c r="BD77" s="2">
        <v>7</v>
      </c>
      <c r="BE77" s="2"/>
      <c r="BF77" s="2">
        <v>80</v>
      </c>
      <c r="BG77" s="2" t="s">
        <v>1352</v>
      </c>
      <c r="BH77" s="10">
        <v>60000000</v>
      </c>
      <c r="BI77" s="2" t="s">
        <v>337</v>
      </c>
      <c r="BJ77" s="2"/>
      <c r="BK77" s="2">
        <v>1</v>
      </c>
      <c r="BL77" s="2">
        <v>6</v>
      </c>
      <c r="BM77" s="2">
        <f t="shared" si="18"/>
        <v>6</v>
      </c>
      <c r="BN77" s="2">
        <f t="shared" si="19"/>
        <v>6</v>
      </c>
      <c r="BO77" s="2">
        <f t="shared" si="20"/>
        <v>0</v>
      </c>
      <c r="BP77" s="2">
        <f t="shared" si="21"/>
        <v>12</v>
      </c>
      <c r="BQ77" s="2">
        <f t="shared" si="22"/>
        <v>11</v>
      </c>
      <c r="BR77" s="2">
        <f t="shared" si="23"/>
        <v>12</v>
      </c>
      <c r="BS77" s="2">
        <f t="shared" si="24"/>
        <v>2</v>
      </c>
    </row>
    <row r="78" spans="21:71">
      <c r="V78">
        <f>IF(Z78=3,D12,0)</f>
        <v>0</v>
      </c>
      <c r="W78" s="1">
        <v>1</v>
      </c>
      <c r="X78" s="135">
        <f>VLOOKUP(B12,Table2[],8)</f>
        <v>1</v>
      </c>
      <c r="Y78" s="130">
        <f>VLOOKUP(B12,Table1[],8)</f>
        <v>1</v>
      </c>
      <c r="Z78" s="87">
        <f>IF(AND('Ship Info'!$F$7,'Ship Info'!$C$5&gt;=100),Y78,IF($B$4&lt;100,X78,Y78))</f>
        <v>1</v>
      </c>
      <c r="AA78" s="135" t="str">
        <f>""</f>
        <v/>
      </c>
      <c r="AB78" s="45" t="str">
        <f>IF($Z78=0,AB$99,IF($Z78=1,AB$100,IF($Z78=2,AB$101,IF($Z78=3,AB$102,IF($Z78=4,AB$103,IF($Z78=5,AB$104,AB$105))))))</f>
        <v>Beam Laser</v>
      </c>
      <c r="AC78" s="45" t="str">
        <f t="shared" ref="AC78:AL80" si="25">IF($Z78=0,AC$99,IF($Z78=1,AC$100,IF($Z78=2,AC$101,IF($Z78=3,AC$102,IF($Z78=4,AC$103,IF($Z78=5,AC$104,AC$105))))))</f>
        <v>Burst Laser</v>
      </c>
      <c r="AD78" s="45" t="str">
        <f t="shared" si="25"/>
        <v>Fusion Gun</v>
      </c>
      <c r="AE78" s="45" t="str">
        <f t="shared" si="25"/>
        <v>Laser Drill</v>
      </c>
      <c r="AF78" s="45" t="str">
        <f t="shared" si="25"/>
        <v>Missile Rack</v>
      </c>
      <c r="AG78" s="45" t="str">
        <f t="shared" si="25"/>
        <v>Particle Beam</v>
      </c>
      <c r="AH78" s="45" t="str">
        <f t="shared" si="25"/>
        <v>Plasma Gun</v>
      </c>
      <c r="AI78" s="45" t="str">
        <f t="shared" si="25"/>
        <v>Plasma-pulse Cannon (T)</v>
      </c>
      <c r="AJ78" s="45" t="str">
        <f t="shared" si="25"/>
        <v>Pulse Laser</v>
      </c>
      <c r="AK78" s="45" t="str">
        <f t="shared" si="25"/>
        <v>Railgun</v>
      </c>
      <c r="AL78" s="45" t="str">
        <f t="shared" si="25"/>
        <v>Sandcaster</v>
      </c>
      <c r="AM78" s="45" t="str">
        <f t="shared" ref="AM78:AO80" si="26">IF($Z78=0,AM$99,IF($Z78=1,AM$100,IF($Z78=2,AM$101,IF($Z78=3,AM$102,IF($Z78=4,AM$103,IF($Z78=5,AM$104,AM$105))))))</f>
        <v>Torpedo Interceptor Cluster</v>
      </c>
      <c r="AN78" s="45" t="str">
        <f t="shared" si="26"/>
        <v/>
      </c>
      <c r="AO78" s="45" t="str">
        <f t="shared" si="26"/>
        <v/>
      </c>
      <c r="AT78" s="92"/>
      <c r="AU78" s="2"/>
      <c r="AV78" s="2"/>
      <c r="AW78" s="2"/>
      <c r="AX78" s="2"/>
      <c r="AY78" s="2"/>
      <c r="AZ78" s="88"/>
      <c r="BA78" s="2"/>
      <c r="BB78" s="2" t="s">
        <v>1626</v>
      </c>
      <c r="BC78" s="2">
        <v>12</v>
      </c>
      <c r="BD78" s="2">
        <v>6</v>
      </c>
      <c r="BE78" s="2"/>
      <c r="BF78" s="2">
        <v>50</v>
      </c>
      <c r="BG78" s="2" t="s">
        <v>1365</v>
      </c>
      <c r="BH78" s="10">
        <v>40000000</v>
      </c>
      <c r="BI78" s="2" t="s">
        <v>337</v>
      </c>
      <c r="BJ78" s="2"/>
      <c r="BK78" s="2">
        <v>1</v>
      </c>
      <c r="BL78" s="2">
        <v>5</v>
      </c>
      <c r="BM78" s="2">
        <f t="shared" si="18"/>
        <v>6</v>
      </c>
      <c r="BN78" s="2">
        <f t="shared" si="19"/>
        <v>6</v>
      </c>
      <c r="BO78" s="2">
        <f t="shared" si="20"/>
        <v>0</v>
      </c>
      <c r="BP78" s="2">
        <f t="shared" si="21"/>
        <v>12</v>
      </c>
      <c r="BQ78" s="2">
        <f t="shared" si="22"/>
        <v>12</v>
      </c>
      <c r="BR78" s="2">
        <f t="shared" si="23"/>
        <v>12</v>
      </c>
      <c r="BS78" s="2">
        <f t="shared" si="24"/>
        <v>2</v>
      </c>
    </row>
    <row r="79" spans="21:71">
      <c r="V79">
        <f t="shared" ref="V79:V97" si="27">IF(Z79=3,D13,0)</f>
        <v>0</v>
      </c>
      <c r="W79" s="103">
        <v>2</v>
      </c>
      <c r="X79" s="136">
        <f>VLOOKUP(B13,Table2[],8)</f>
        <v>0</v>
      </c>
      <c r="Y79" s="27">
        <f>VLOOKUP(B13,Table1[],8)</f>
        <v>0</v>
      </c>
      <c r="Z79" s="87">
        <f>IF(AND('Ship Info'!$F$7,'Ship Info'!$C$5&gt;=100),Y79,IF($B$4&lt;100,X79,Y79))</f>
        <v>0</v>
      </c>
      <c r="AA79" s="136" t="str">
        <f>""</f>
        <v/>
      </c>
      <c r="AB79" s="22" t="str">
        <f>IF($Z79=0,AB$99,IF($Z79=1,AB$100,IF($Z79=2,AB$101,IF($Z79=3,AB$102,IF($Z79=4,AB$103,IF($Z79=5,AB$104,AB$105))))))</f>
        <v/>
      </c>
      <c r="AC79" s="22" t="str">
        <f t="shared" si="25"/>
        <v/>
      </c>
      <c r="AD79" s="22" t="str">
        <f t="shared" si="25"/>
        <v/>
      </c>
      <c r="AE79" s="22" t="str">
        <f t="shared" si="25"/>
        <v/>
      </c>
      <c r="AF79" s="22" t="str">
        <f t="shared" si="25"/>
        <v/>
      </c>
      <c r="AG79" s="22" t="str">
        <f t="shared" si="25"/>
        <v/>
      </c>
      <c r="AH79" s="22" t="str">
        <f t="shared" si="25"/>
        <v/>
      </c>
      <c r="AI79" s="22" t="str">
        <f t="shared" si="25"/>
        <v/>
      </c>
      <c r="AJ79" s="22" t="str">
        <f t="shared" si="25"/>
        <v/>
      </c>
      <c r="AK79" s="22" t="str">
        <f t="shared" si="25"/>
        <v/>
      </c>
      <c r="AL79" s="22" t="str">
        <f t="shared" si="25"/>
        <v/>
      </c>
      <c r="AM79" s="22" t="str">
        <f t="shared" si="26"/>
        <v/>
      </c>
      <c r="AN79" s="22" t="str">
        <f t="shared" si="26"/>
        <v/>
      </c>
      <c r="AO79" s="22" t="str">
        <f t="shared" si="26"/>
        <v/>
      </c>
      <c r="AT79" s="92"/>
      <c r="AU79" s="2"/>
      <c r="AV79" s="2"/>
      <c r="AW79" s="2"/>
      <c r="AX79" s="2"/>
      <c r="AY79" s="2"/>
      <c r="AZ79" s="88"/>
      <c r="BA79" s="2"/>
      <c r="BB79" s="2" t="s">
        <v>1627</v>
      </c>
      <c r="BC79" s="2">
        <v>11</v>
      </c>
      <c r="BD79" s="2">
        <v>6</v>
      </c>
      <c r="BE79" s="2"/>
      <c r="BF79" s="2">
        <v>30</v>
      </c>
      <c r="BG79" s="2" t="s">
        <v>1347</v>
      </c>
      <c r="BH79" s="10">
        <v>20000000</v>
      </c>
      <c r="BI79" s="2" t="s">
        <v>337</v>
      </c>
      <c r="BJ79" s="2"/>
      <c r="BK79" s="2">
        <v>1</v>
      </c>
      <c r="BL79" s="2">
        <v>4</v>
      </c>
      <c r="BM79" s="2">
        <f t="shared" si="18"/>
        <v>6</v>
      </c>
      <c r="BN79" s="2">
        <f t="shared" si="19"/>
        <v>6</v>
      </c>
      <c r="BO79" s="2">
        <f t="shared" si="20"/>
        <v>0</v>
      </c>
      <c r="BP79" s="2">
        <f t="shared" si="21"/>
        <v>13</v>
      </c>
      <c r="BQ79" s="2">
        <f t="shared" si="22"/>
        <v>12</v>
      </c>
      <c r="BR79" s="2">
        <f t="shared" si="23"/>
        <v>12</v>
      </c>
      <c r="BS79" s="2">
        <f t="shared" si="24"/>
        <v>2</v>
      </c>
    </row>
    <row r="80" spans="21:71">
      <c r="V80">
        <f t="shared" si="27"/>
        <v>0</v>
      </c>
      <c r="W80" s="1">
        <v>3</v>
      </c>
      <c r="X80" s="92">
        <f>VLOOKUP(B14,Table2[],8)</f>
        <v>0</v>
      </c>
      <c r="Y80" s="2">
        <f>VLOOKUP(B14,Table1[],8)</f>
        <v>0</v>
      </c>
      <c r="Z80" s="87">
        <f>IF(AND('Ship Info'!$F$7,'Ship Info'!$C$5&gt;=100),Y80,IF($B$4&lt;100,X80,Y80))</f>
        <v>0</v>
      </c>
      <c r="AA80" s="92" t="str">
        <f>""</f>
        <v/>
      </c>
      <c r="AB80" t="str">
        <f>IF($Z80=0,AB$99,IF($Z80=1,AB$100,IF($Z80=2,AB$101,IF($Z80=3,AB$102,IF($Z80=4,AB$103,IF($Z80=5,AB$104,AB$105))))))</f>
        <v/>
      </c>
      <c r="AC80" t="str">
        <f t="shared" si="25"/>
        <v/>
      </c>
      <c r="AD80" t="str">
        <f t="shared" si="25"/>
        <v/>
      </c>
      <c r="AE80" t="str">
        <f t="shared" si="25"/>
        <v/>
      </c>
      <c r="AF80" t="str">
        <f t="shared" si="25"/>
        <v/>
      </c>
      <c r="AG80" t="str">
        <f t="shared" si="25"/>
        <v/>
      </c>
      <c r="AH80" t="str">
        <f t="shared" si="25"/>
        <v/>
      </c>
      <c r="AI80" t="str">
        <f t="shared" si="25"/>
        <v/>
      </c>
      <c r="AJ80" t="str">
        <f t="shared" si="25"/>
        <v/>
      </c>
      <c r="AK80" t="str">
        <f t="shared" si="25"/>
        <v/>
      </c>
      <c r="AL80" t="str">
        <f t="shared" si="25"/>
        <v/>
      </c>
      <c r="AM80" t="str">
        <f t="shared" si="26"/>
        <v/>
      </c>
      <c r="AN80" t="str">
        <f t="shared" si="26"/>
        <v/>
      </c>
      <c r="AO80" t="str">
        <f t="shared" si="26"/>
        <v/>
      </c>
      <c r="AT80" s="92"/>
      <c r="AU80" s="2"/>
      <c r="AV80" s="2"/>
      <c r="AW80" s="2"/>
      <c r="AX80" s="2"/>
      <c r="AY80" s="2"/>
      <c r="AZ80" s="88"/>
      <c r="BA80" s="2"/>
      <c r="BB80" s="2" t="s">
        <v>1628</v>
      </c>
      <c r="BC80" s="2">
        <v>11</v>
      </c>
      <c r="BD80" s="2">
        <v>4</v>
      </c>
      <c r="BE80" s="2">
        <v>1</v>
      </c>
      <c r="BF80" s="2">
        <v>12</v>
      </c>
      <c r="BG80" s="2" t="s">
        <v>1356</v>
      </c>
      <c r="BH80" s="10">
        <v>5000000</v>
      </c>
      <c r="BI80" s="2" t="s">
        <v>1357</v>
      </c>
      <c r="BJ80" s="2"/>
      <c r="BK80" s="2">
        <v>1</v>
      </c>
      <c r="BL80" s="2">
        <v>2</v>
      </c>
      <c r="BM80" s="2">
        <f t="shared" si="18"/>
        <v>6</v>
      </c>
      <c r="BN80" s="2">
        <f t="shared" si="19"/>
        <v>7</v>
      </c>
      <c r="BO80" s="2">
        <f t="shared" si="20"/>
        <v>0</v>
      </c>
      <c r="BP80" s="2">
        <f t="shared" si="21"/>
        <v>13</v>
      </c>
      <c r="BQ80" s="2">
        <f t="shared" si="22"/>
        <v>12</v>
      </c>
      <c r="BR80" s="2">
        <f t="shared" si="23"/>
        <v>12</v>
      </c>
      <c r="BS80" s="2">
        <f t="shared" si="24"/>
        <v>2</v>
      </c>
    </row>
    <row r="81" spans="22:71">
      <c r="V81">
        <f t="shared" si="27"/>
        <v>0</v>
      </c>
      <c r="W81" s="103">
        <v>4</v>
      </c>
      <c r="X81" s="136">
        <f>VLOOKUP(B15,Table2[],8)</f>
        <v>0</v>
      </c>
      <c r="Y81" s="27">
        <f>VLOOKUP(B15,Table1[],8)</f>
        <v>0</v>
      </c>
      <c r="Z81" s="87">
        <f>IF(AND('Ship Info'!$F$7,'Ship Info'!$C$5&gt;=100),Y81,IF($B$4&lt;100,X81,Y81))</f>
        <v>0</v>
      </c>
      <c r="AA81" s="136" t="str">
        <f>""</f>
        <v/>
      </c>
      <c r="AB81" s="22" t="str">
        <f>IF($Z81=0,AB$99,IF($Z81=1,AB$100,IF($Z81=2,AB$101,IF($Z81=3,AB$102,IF($Z81=4,AB$103,IF($Z81=5,AB$104,IF($Z81=6,AB$105,IF($Z81=7,AB$106,AB$107))))))))</f>
        <v/>
      </c>
      <c r="AC81" s="22" t="str">
        <f t="shared" ref="AC81:AD97" si="28">IF($Z81=0,AC$99,IF($Z81=1,AC$100,IF($Z81=2,AC$101,IF($Z81=3,AC$102,IF($Z81=4,AC$103,IF($Z81=5,AC$104,IF($Z81=6,AC$105,IF($Z81=7,AC$106,AC$107))))))))</f>
        <v/>
      </c>
      <c r="AD81" s="22" t="str">
        <f t="shared" si="28"/>
        <v/>
      </c>
      <c r="AE81" s="22" t="str">
        <f t="shared" ref="AE81:AR83" si="29">IF($Z81=0,AE$99,IF($Z81=1,AE$100,IF($Z81=2,AE$101,IF($Z81=3,AE$102,IF($Z81=4,AE$103,IF($Z81=5,AE$104,IF($Z81=6,AE$105,AE$106)))))))</f>
        <v/>
      </c>
      <c r="AF81" s="22" t="str">
        <f t="shared" si="29"/>
        <v/>
      </c>
      <c r="AG81" s="22" t="str">
        <f t="shared" si="29"/>
        <v/>
      </c>
      <c r="AH81" s="22" t="str">
        <f t="shared" si="29"/>
        <v/>
      </c>
      <c r="AI81" s="22" t="str">
        <f t="shared" si="29"/>
        <v/>
      </c>
      <c r="AJ81" s="22" t="str">
        <f t="shared" si="29"/>
        <v/>
      </c>
      <c r="AK81" s="22" t="str">
        <f t="shared" si="29"/>
        <v/>
      </c>
      <c r="AL81" s="22" t="str">
        <f t="shared" si="29"/>
        <v/>
      </c>
      <c r="AM81" s="22" t="str">
        <f t="shared" si="29"/>
        <v/>
      </c>
      <c r="AN81" s="22" t="str">
        <f t="shared" si="29"/>
        <v/>
      </c>
      <c r="AO81" s="22" t="str">
        <f t="shared" si="29"/>
        <v/>
      </c>
      <c r="AP81" s="22" t="str">
        <f t="shared" si="29"/>
        <v/>
      </c>
      <c r="AQ81" s="22" t="str">
        <f t="shared" si="29"/>
        <v/>
      </c>
      <c r="AR81" s="22" t="str">
        <f t="shared" si="29"/>
        <v/>
      </c>
      <c r="AS81" s="22" t="str">
        <f>IF($Z81=0,AS$99,IF($Z81=1,AS$100,IF($Z81=2,AS$101,IF($Z81=3,AS$102,IF($Z81=4,AS$103,IF($Z81=5,AS$104,IF($Z81=6,AS$105,AS$106)))))))</f>
        <v/>
      </c>
      <c r="AT81" s="22" t="str">
        <f>IF($Z81=0,AT$99,IF($Z81=1,AT$100,IF($Z81=2,AT$101,IF($Z81=3,AT$102,IF($Z81=4,AT$103,IF($Z81=5,AT$104,IF($Z81=6,AT$105,AT$106)))))))</f>
        <v/>
      </c>
      <c r="AU81" s="22" t="str">
        <f t="shared" ref="AU81:AZ96" si="30">IF($Z81=0,AU$99,IF($Z81=1,AU$100,IF($Z81=2,AU$101,IF($Z81=3,AU$102,IF($Z81=4,AU$103,IF($Z81=5,AU$104,IF($Z81=6,AU$105,AU$106)))))))</f>
        <v/>
      </c>
      <c r="AV81" s="22" t="str">
        <f t="shared" si="30"/>
        <v/>
      </c>
      <c r="AW81" s="22" t="str">
        <f t="shared" si="30"/>
        <v/>
      </c>
      <c r="AX81" s="22" t="str">
        <f t="shared" si="30"/>
        <v/>
      </c>
      <c r="AY81" s="22" t="str">
        <f t="shared" si="30"/>
        <v/>
      </c>
      <c r="AZ81" s="22" t="str">
        <f t="shared" si="30"/>
        <v/>
      </c>
      <c r="BA81" s="2"/>
      <c r="BB81" s="2" t="s">
        <v>1629</v>
      </c>
      <c r="BC81" s="2">
        <v>11</v>
      </c>
      <c r="BD81" s="2">
        <v>4</v>
      </c>
      <c r="BE81" s="2">
        <v>1</v>
      </c>
      <c r="BF81" s="2">
        <v>6</v>
      </c>
      <c r="BG81" s="2" t="s">
        <v>1195</v>
      </c>
      <c r="BH81" s="10">
        <v>2500000</v>
      </c>
      <c r="BI81" s="2" t="str">
        <f>""</f>
        <v/>
      </c>
      <c r="BJ81" s="2"/>
      <c r="BK81" s="2"/>
      <c r="BL81" s="2">
        <v>1</v>
      </c>
      <c r="BM81" s="2">
        <f t="shared" si="18"/>
        <v>7</v>
      </c>
      <c r="BN81" s="2">
        <f t="shared" si="19"/>
        <v>7</v>
      </c>
      <c r="BO81" s="2">
        <f t="shared" si="20"/>
        <v>0</v>
      </c>
      <c r="BP81" s="2">
        <f t="shared" si="21"/>
        <v>13</v>
      </c>
      <c r="BQ81" s="2">
        <f t="shared" si="22"/>
        <v>12</v>
      </c>
      <c r="BR81" s="2">
        <f t="shared" si="23"/>
        <v>12</v>
      </c>
      <c r="BS81" s="2">
        <f t="shared" si="24"/>
        <v>2</v>
      </c>
    </row>
    <row r="82" spans="22:71">
      <c r="V82">
        <f t="shared" si="27"/>
        <v>0</v>
      </c>
      <c r="W82" s="1">
        <v>5</v>
      </c>
      <c r="X82" s="92">
        <f>VLOOKUP(B16,Table2[],8)</f>
        <v>0</v>
      </c>
      <c r="Y82" s="2">
        <f>VLOOKUP(B16,Table1[],8)</f>
        <v>0</v>
      </c>
      <c r="Z82" s="87">
        <f>IF(AND('Ship Info'!$F$7,'Ship Info'!$C$5&gt;=100),Y82,IF($B$4&lt;100,X82,Y82))</f>
        <v>0</v>
      </c>
      <c r="AA82" s="92" t="str">
        <f>""</f>
        <v/>
      </c>
      <c r="AB82" t="str">
        <f t="shared" ref="AB82:AB97" si="31">IF($Z82=0,AB$99,IF($Z82=1,AB$100,IF($Z82=2,AB$101,IF($Z82=3,AB$102,IF($Z82=4,AB$103,IF($Z82=5,AB$104,IF($Z82=6,AB$105,IF($Z82=7,AB$106,AB$107))))))))</f>
        <v/>
      </c>
      <c r="AC82" t="str">
        <f t="shared" si="28"/>
        <v/>
      </c>
      <c r="AD82" t="str">
        <f t="shared" si="28"/>
        <v/>
      </c>
      <c r="AE82" t="str">
        <f>IF($Z82=0,AE$99,IF($Z82=1,AE$100,IF($Z82=2,AE$101,IF($Z82=3,AE$102,IF($Z82=4,AE$103,IF($Z82=5,AE$104,IF($Z82=6,AE$105,AE$106)))))))</f>
        <v/>
      </c>
      <c r="AF82" s="145" t="str">
        <f t="shared" si="29"/>
        <v/>
      </c>
      <c r="AG82" s="145" t="str">
        <f t="shared" si="29"/>
        <v/>
      </c>
      <c r="AH82" s="145" t="str">
        <f t="shared" si="29"/>
        <v/>
      </c>
      <c r="AI82" s="145" t="str">
        <f t="shared" si="29"/>
        <v/>
      </c>
      <c r="AJ82" s="145" t="str">
        <f t="shared" si="29"/>
        <v/>
      </c>
      <c r="AK82" s="145" t="str">
        <f t="shared" si="29"/>
        <v/>
      </c>
      <c r="AL82" s="145" t="str">
        <f t="shared" si="29"/>
        <v/>
      </c>
      <c r="AM82" s="145" t="str">
        <f t="shared" ref="AM82:AR83" si="32">IF($Z82=0,AM$99,IF($Z82=1,AM$100,IF($Z82=2,AM$101,IF($Z82=3,AM$102,IF($Z82=4,AM$103,IF($Z82=5,AM$104,IF($Z82=6,AM$105,AM$106)))))))</f>
        <v/>
      </c>
      <c r="AN82" s="145" t="str">
        <f t="shared" si="32"/>
        <v/>
      </c>
      <c r="AO82" s="145" t="str">
        <f t="shared" si="32"/>
        <v/>
      </c>
      <c r="AP82" s="145" t="str">
        <f>IF($Z82=0,AP$99,IF($Z82=1,AP$100,IF($Z82=2,AP$101,IF($Z82=3,AP$102,IF($Z82=4,AP$103,IF($Z82=5,AP$104,IF($Z82=6,AP$105,AP$106)))))))</f>
        <v/>
      </c>
      <c r="AQ82" s="145" t="str">
        <f>IF($Z82=0,AQ$99,IF($Z82=1,AQ$100,IF($Z82=2,AQ$101,IF($Z82=3,AQ$102,IF($Z82=4,AQ$103,IF($Z82=5,AQ$104,IF($Z82=6,AQ$105,AQ$106)))))))</f>
        <v/>
      </c>
      <c r="AR82" t="str">
        <f>IF($Z82=0,AR$99,IF($Z82=1,AR$100,IF($Z82=2,AR$101,IF($Z82=3,AR$102,IF($Z82=4,AR$103,IF($Z82=5,AR$104,IF($Z82=6,AR$105,AR$106)))))))</f>
        <v/>
      </c>
      <c r="AS82" t="str">
        <f>IF($Z82=0,AS$99,IF($Z82=1,AS$100,IF($Z82=2,AS$101,IF($Z82=3,AS$102,IF($Z82=4,AS$103,IF($Z82=5,AS$104,IF($Z82=6,AS$105,AS$106)))))))</f>
        <v/>
      </c>
      <c r="AT82" t="str">
        <f t="shared" ref="AT82:AY97" si="33">IF($Z82=0,AT$99,IF($Z82=1,AT$100,IF($Z82=2,AT$101,IF($Z82=3,AT$102,IF($Z82=4,AT$103,IF($Z82=5,AT$104,IF($Z82=6,AT$105,AT$106)))))))</f>
        <v/>
      </c>
      <c r="AU82" t="str">
        <f t="shared" si="30"/>
        <v/>
      </c>
      <c r="AV82" t="str">
        <f t="shared" si="30"/>
        <v/>
      </c>
      <c r="AW82" t="str">
        <f t="shared" si="30"/>
        <v/>
      </c>
      <c r="AX82" t="str">
        <f t="shared" si="30"/>
        <v/>
      </c>
      <c r="AY82" t="str">
        <f t="shared" si="30"/>
        <v/>
      </c>
      <c r="AZ82" t="str">
        <f t="shared" si="30"/>
        <v/>
      </c>
      <c r="BA82" s="2"/>
      <c r="BB82" s="2" t="s">
        <v>631</v>
      </c>
      <c r="BC82" s="2">
        <v>13</v>
      </c>
      <c r="BD82" s="2">
        <v>4</v>
      </c>
      <c r="BE82" s="2">
        <v>1</v>
      </c>
      <c r="BF82" s="2">
        <v>20</v>
      </c>
      <c r="BG82" s="2" t="s">
        <v>1345</v>
      </c>
      <c r="BH82" s="10">
        <v>6000000</v>
      </c>
      <c r="BI82" s="2" t="s">
        <v>338</v>
      </c>
      <c r="BJ82" s="2"/>
      <c r="BK82" s="2">
        <v>1</v>
      </c>
      <c r="BL82" s="2">
        <v>2</v>
      </c>
      <c r="BM82" s="2">
        <f t="shared" si="18"/>
        <v>7</v>
      </c>
      <c r="BN82" s="2">
        <f t="shared" si="19"/>
        <v>8</v>
      </c>
      <c r="BO82" s="2">
        <f t="shared" si="20"/>
        <v>0</v>
      </c>
      <c r="BP82" s="2">
        <f t="shared" si="21"/>
        <v>13</v>
      </c>
      <c r="BQ82" s="2">
        <f t="shared" si="22"/>
        <v>12</v>
      </c>
      <c r="BR82" s="2">
        <f t="shared" si="23"/>
        <v>12</v>
      </c>
      <c r="BS82" s="2">
        <f t="shared" si="24"/>
        <v>2</v>
      </c>
    </row>
    <row r="83" spans="22:71" ht="15" customHeight="1">
      <c r="V83">
        <f t="shared" si="27"/>
        <v>0</v>
      </c>
      <c r="W83" s="103">
        <v>6</v>
      </c>
      <c r="X83" s="136">
        <f>VLOOKUP(B17,Table2[],8)</f>
        <v>0</v>
      </c>
      <c r="Y83" s="27">
        <f>VLOOKUP(B17,Table1[],8)</f>
        <v>0</v>
      </c>
      <c r="Z83" s="87">
        <f>IF(AND('Ship Info'!$F$7,'Ship Info'!$C$5&gt;=100),Y83,IF($B$4&lt;100,X83,Y83))</f>
        <v>0</v>
      </c>
      <c r="AA83" s="136" t="str">
        <f>""</f>
        <v/>
      </c>
      <c r="AB83" s="22" t="str">
        <f t="shared" si="31"/>
        <v/>
      </c>
      <c r="AC83" s="22" t="str">
        <f t="shared" si="28"/>
        <v/>
      </c>
      <c r="AD83" s="22" t="str">
        <f t="shared" si="28"/>
        <v/>
      </c>
      <c r="AE83" s="22" t="str">
        <f t="shared" si="29"/>
        <v/>
      </c>
      <c r="AF83" s="22" t="str">
        <f t="shared" si="29"/>
        <v/>
      </c>
      <c r="AG83" s="22" t="str">
        <f t="shared" si="29"/>
        <v/>
      </c>
      <c r="AH83" s="22" t="str">
        <f t="shared" si="29"/>
        <v/>
      </c>
      <c r="AI83" s="22" t="str">
        <f t="shared" si="29"/>
        <v/>
      </c>
      <c r="AJ83" s="22" t="str">
        <f t="shared" si="29"/>
        <v/>
      </c>
      <c r="AK83" s="22" t="str">
        <f t="shared" si="29"/>
        <v/>
      </c>
      <c r="AL83" s="22" t="str">
        <f t="shared" si="29"/>
        <v/>
      </c>
      <c r="AM83" s="22" t="str">
        <f t="shared" si="32"/>
        <v/>
      </c>
      <c r="AN83" s="22" t="str">
        <f t="shared" si="32"/>
        <v/>
      </c>
      <c r="AO83" s="22" t="str">
        <f t="shared" si="32"/>
        <v/>
      </c>
      <c r="AP83" s="22" t="str">
        <f t="shared" si="32"/>
        <v/>
      </c>
      <c r="AQ83" s="22" t="str">
        <f t="shared" si="32"/>
        <v/>
      </c>
      <c r="AR83" s="22" t="str">
        <f t="shared" si="32"/>
        <v/>
      </c>
      <c r="AS83" s="22" t="str">
        <f t="shared" ref="AS83:AS97" si="34">IF($Z83=0,AS$99,IF($Z83=1,AS$100,IF($Z83=2,AS$101,IF($Z83=3,AS$102,IF($Z83=4,AS$103,IF($Z83=5,AS$104,IF($Z83=6,AS$105,AS$106)))))))</f>
        <v/>
      </c>
      <c r="AT83" s="22" t="str">
        <f t="shared" si="33"/>
        <v/>
      </c>
      <c r="AU83" s="22" t="str">
        <f t="shared" si="30"/>
        <v/>
      </c>
      <c r="AV83" s="22" t="str">
        <f t="shared" si="30"/>
        <v/>
      </c>
      <c r="AW83" s="22" t="str">
        <f t="shared" si="30"/>
        <v/>
      </c>
      <c r="AX83" s="22" t="str">
        <f t="shared" si="30"/>
        <v/>
      </c>
      <c r="AY83" s="22" t="str">
        <f t="shared" si="30"/>
        <v/>
      </c>
      <c r="AZ83" s="22" t="str">
        <f t="shared" si="30"/>
        <v/>
      </c>
      <c r="BA83" s="2"/>
      <c r="BB83" s="76" t="s">
        <v>628</v>
      </c>
      <c r="BC83" s="2">
        <v>13</v>
      </c>
      <c r="BD83" s="2">
        <v>4</v>
      </c>
      <c r="BE83" s="2">
        <v>1</v>
      </c>
      <c r="BF83" s="2">
        <v>10</v>
      </c>
      <c r="BG83" s="2" t="s">
        <v>335</v>
      </c>
      <c r="BH83" s="10">
        <v>3000000</v>
      </c>
      <c r="BI83" s="2" t="s">
        <v>338</v>
      </c>
      <c r="BJ83" s="2"/>
      <c r="BK83" s="2"/>
      <c r="BL83" s="2">
        <v>1</v>
      </c>
      <c r="BM83" s="2">
        <f t="shared" si="18"/>
        <v>8</v>
      </c>
      <c r="BN83" s="2">
        <f t="shared" si="19"/>
        <v>8</v>
      </c>
      <c r="BO83" s="2">
        <f t="shared" si="20"/>
        <v>0</v>
      </c>
      <c r="BP83" s="2">
        <f t="shared" si="21"/>
        <v>13</v>
      </c>
      <c r="BQ83" s="2">
        <f t="shared" si="22"/>
        <v>12</v>
      </c>
      <c r="BR83" s="2">
        <f t="shared" si="23"/>
        <v>12</v>
      </c>
      <c r="BS83" s="2">
        <f t="shared" si="24"/>
        <v>2</v>
      </c>
    </row>
    <row r="84" spans="22:71">
      <c r="V84">
        <f t="shared" si="27"/>
        <v>0</v>
      </c>
      <c r="W84" s="1">
        <v>7</v>
      </c>
      <c r="X84" s="92">
        <f>VLOOKUP(B18,Table2[],8)</f>
        <v>0</v>
      </c>
      <c r="Y84" s="2">
        <f>VLOOKUP(B18,Table1[],8)</f>
        <v>0</v>
      </c>
      <c r="Z84" s="87">
        <f>IF(AND('Ship Info'!$F$7,'Ship Info'!$C$5&gt;=100),Y84,IF($B$4&lt;100,X84,Y84))</f>
        <v>0</v>
      </c>
      <c r="AA84" s="92" t="str">
        <f>""</f>
        <v/>
      </c>
      <c r="AB84" t="str">
        <f t="shared" si="31"/>
        <v/>
      </c>
      <c r="AC84" t="str">
        <f t="shared" si="28"/>
        <v/>
      </c>
      <c r="AD84" t="str">
        <f t="shared" si="28"/>
        <v/>
      </c>
      <c r="AE84" s="145" t="str">
        <f t="shared" ref="AE84:AL84" si="35">IF($Z84=0,AE$99,IF($Z84=1,AE$100,IF($Z84=2,AE$101,IF($Z84=3,AE$102,IF($Z84=4,AE$103,IF($Z84=5,AE104,IF($Z84=6,AE$105,AE$106)))))))</f>
        <v/>
      </c>
      <c r="AF84" s="145" t="str">
        <f t="shared" si="35"/>
        <v/>
      </c>
      <c r="AG84" s="145" t="str">
        <f t="shared" si="35"/>
        <v/>
      </c>
      <c r="AH84" s="145" t="str">
        <f t="shared" si="35"/>
        <v/>
      </c>
      <c r="AI84" s="145" t="str">
        <f t="shared" si="35"/>
        <v/>
      </c>
      <c r="AJ84" s="145" t="str">
        <f t="shared" si="35"/>
        <v/>
      </c>
      <c r="AK84" s="145" t="str">
        <f t="shared" si="35"/>
        <v/>
      </c>
      <c r="AL84" s="145" t="str">
        <f t="shared" si="35"/>
        <v/>
      </c>
      <c r="AM84" s="145" t="str">
        <f t="shared" ref="AM84:AR84" si="36">IF($Z84=0,AM$99,IF($Z84=1,AM$100,IF($Z84=2,AM$101,IF($Z84=3,AM$102,IF($Z84=4,AM$103,IF($Z84=5,AM104,IF($Z84=6,AM$105,AM$106)))))))</f>
        <v/>
      </c>
      <c r="AN84" s="145" t="str">
        <f t="shared" si="36"/>
        <v/>
      </c>
      <c r="AO84" s="145" t="str">
        <f t="shared" si="36"/>
        <v/>
      </c>
      <c r="AP84" s="145" t="str">
        <f t="shared" si="36"/>
        <v/>
      </c>
      <c r="AQ84" s="145" t="str">
        <f t="shared" si="36"/>
        <v/>
      </c>
      <c r="AR84" t="str">
        <f t="shared" si="36"/>
        <v/>
      </c>
      <c r="AS84" t="str">
        <f t="shared" si="34"/>
        <v/>
      </c>
      <c r="AT84" t="str">
        <f t="shared" si="33"/>
        <v/>
      </c>
      <c r="AU84" t="str">
        <f t="shared" si="30"/>
        <v/>
      </c>
      <c r="AV84" t="str">
        <f t="shared" si="30"/>
        <v/>
      </c>
      <c r="AW84" t="str">
        <f t="shared" si="30"/>
        <v/>
      </c>
      <c r="AX84" t="str">
        <f t="shared" si="30"/>
        <v/>
      </c>
      <c r="AY84" t="str">
        <f t="shared" si="30"/>
        <v/>
      </c>
      <c r="AZ84" t="str">
        <f t="shared" si="30"/>
        <v/>
      </c>
      <c r="BA84" s="2"/>
      <c r="BB84" s="2" t="s">
        <v>1607</v>
      </c>
      <c r="BC84" s="2">
        <v>13</v>
      </c>
      <c r="BD84" s="2">
        <v>4</v>
      </c>
      <c r="BE84" s="2"/>
      <c r="BF84" s="2">
        <v>400</v>
      </c>
      <c r="BG84" s="2" t="s">
        <v>1352</v>
      </c>
      <c r="BH84" s="10">
        <v>80000000</v>
      </c>
      <c r="BI84" s="2" t="s">
        <v>350</v>
      </c>
      <c r="BJ84" s="2"/>
      <c r="BK84" s="2">
        <v>1</v>
      </c>
      <c r="BL84" s="2">
        <v>6</v>
      </c>
      <c r="BM84" s="2">
        <f t="shared" si="18"/>
        <v>8</v>
      </c>
      <c r="BN84" s="2">
        <f t="shared" si="19"/>
        <v>8</v>
      </c>
      <c r="BO84" s="2">
        <f t="shared" si="20"/>
        <v>0</v>
      </c>
      <c r="BP84" s="2">
        <f t="shared" si="21"/>
        <v>13</v>
      </c>
      <c r="BQ84" s="2">
        <f t="shared" si="22"/>
        <v>12</v>
      </c>
      <c r="BR84" s="2">
        <f t="shared" si="23"/>
        <v>13</v>
      </c>
      <c r="BS84" s="2">
        <f t="shared" si="24"/>
        <v>2</v>
      </c>
    </row>
    <row r="85" spans="22:71">
      <c r="V85">
        <f t="shared" si="27"/>
        <v>0</v>
      </c>
      <c r="W85" s="103">
        <v>8</v>
      </c>
      <c r="X85" s="136">
        <f>VLOOKUP(B19,Table2[],8)</f>
        <v>0</v>
      </c>
      <c r="Y85" s="27">
        <f>VLOOKUP(B19,Table1[],8)</f>
        <v>0</v>
      </c>
      <c r="Z85" s="87">
        <f>IF(AND('Ship Info'!$F$7,'Ship Info'!$C$5&gt;=100),Y85,IF($B$4&lt;100,X85,Y85))</f>
        <v>0</v>
      </c>
      <c r="AA85" s="136" t="str">
        <f>""</f>
        <v/>
      </c>
      <c r="AB85" s="22" t="str">
        <f t="shared" si="31"/>
        <v/>
      </c>
      <c r="AC85" s="22" t="str">
        <f t="shared" si="28"/>
        <v/>
      </c>
      <c r="AD85" s="22" t="str">
        <f t="shared" si="28"/>
        <v/>
      </c>
      <c r="AE85" s="22" t="str">
        <f t="shared" ref="AE85:AR97" si="37">IF($Z85=0,AE$99,IF($Z85=1,AE$100,IF($Z85=2,AE$101,IF($Z85=3,AE$102,IF($Z85=4,AE$103,IF($Z85=5,AE$104,IF($Z85=6,AE$105,AE$106)))))))</f>
        <v/>
      </c>
      <c r="AF85" s="22" t="str">
        <f t="shared" si="37"/>
        <v/>
      </c>
      <c r="AG85" s="22" t="str">
        <f t="shared" si="37"/>
        <v/>
      </c>
      <c r="AH85" s="22" t="str">
        <f t="shared" si="37"/>
        <v/>
      </c>
      <c r="AI85" s="22" t="str">
        <f t="shared" si="37"/>
        <v/>
      </c>
      <c r="AJ85" s="22" t="str">
        <f t="shared" si="37"/>
        <v/>
      </c>
      <c r="AK85" s="22" t="str">
        <f t="shared" si="37"/>
        <v/>
      </c>
      <c r="AL85" s="22" t="str">
        <f t="shared" si="37"/>
        <v/>
      </c>
      <c r="AM85" s="22" t="str">
        <f t="shared" si="37"/>
        <v/>
      </c>
      <c r="AN85" s="22" t="str">
        <f t="shared" si="37"/>
        <v/>
      </c>
      <c r="AO85" s="22" t="str">
        <f t="shared" si="37"/>
        <v/>
      </c>
      <c r="AP85" s="22" t="str">
        <f t="shared" si="37"/>
        <v/>
      </c>
      <c r="AQ85" s="22" t="str">
        <f t="shared" si="37"/>
        <v/>
      </c>
      <c r="AR85" s="22" t="str">
        <f t="shared" si="37"/>
        <v/>
      </c>
      <c r="AS85" s="22" t="str">
        <f t="shared" si="34"/>
        <v/>
      </c>
      <c r="AT85" s="22" t="str">
        <f t="shared" si="33"/>
        <v/>
      </c>
      <c r="AU85" s="22" t="str">
        <f t="shared" si="30"/>
        <v/>
      </c>
      <c r="AV85" s="22" t="str">
        <f t="shared" si="30"/>
        <v/>
      </c>
      <c r="AW85" s="22" t="str">
        <f t="shared" si="30"/>
        <v/>
      </c>
      <c r="AX85" s="22" t="str">
        <f t="shared" si="30"/>
        <v/>
      </c>
      <c r="AY85" s="22" t="str">
        <f t="shared" si="30"/>
        <v/>
      </c>
      <c r="AZ85" s="22" t="str">
        <f t="shared" si="30"/>
        <v/>
      </c>
      <c r="BB85" s="2" t="s">
        <v>1630</v>
      </c>
      <c r="BC85" s="2">
        <v>13</v>
      </c>
      <c r="BD85" s="2">
        <v>4</v>
      </c>
      <c r="BE85" s="2"/>
      <c r="BF85" s="2">
        <v>90</v>
      </c>
      <c r="BG85" s="2" t="s">
        <v>1365</v>
      </c>
      <c r="BH85" s="10">
        <v>30000000</v>
      </c>
      <c r="BI85" s="2" t="s">
        <v>350</v>
      </c>
      <c r="BJ85" s="2"/>
      <c r="BK85" s="2">
        <v>1</v>
      </c>
      <c r="BL85" s="2">
        <v>5</v>
      </c>
      <c r="BM85" s="2">
        <f t="shared" si="18"/>
        <v>8</v>
      </c>
      <c r="BN85" s="2">
        <f t="shared" si="19"/>
        <v>8</v>
      </c>
      <c r="BO85" s="2">
        <f t="shared" si="20"/>
        <v>0</v>
      </c>
      <c r="BP85" s="2">
        <f t="shared" si="21"/>
        <v>13</v>
      </c>
      <c r="BQ85" s="2">
        <f t="shared" si="22"/>
        <v>13</v>
      </c>
      <c r="BR85" s="2">
        <f t="shared" si="23"/>
        <v>13</v>
      </c>
      <c r="BS85" s="2">
        <f t="shared" si="24"/>
        <v>2</v>
      </c>
    </row>
    <row r="86" spans="22:71">
      <c r="V86">
        <f t="shared" si="27"/>
        <v>0</v>
      </c>
      <c r="W86" s="1">
        <v>9</v>
      </c>
      <c r="X86" s="92">
        <f>VLOOKUP(B20,Table2[],8)</f>
        <v>0</v>
      </c>
      <c r="Y86" s="2">
        <f>VLOOKUP(B20,Table1[],8)</f>
        <v>0</v>
      </c>
      <c r="Z86" s="87">
        <f>IF(AND('Ship Info'!$F$7,'Ship Info'!$C$5&gt;=100),Y86,IF($B$4&lt;100,X86,Y86))</f>
        <v>0</v>
      </c>
      <c r="AA86" s="92" t="str">
        <f>""</f>
        <v/>
      </c>
      <c r="AB86" t="str">
        <f t="shared" si="31"/>
        <v/>
      </c>
      <c r="AC86" t="str">
        <f t="shared" si="28"/>
        <v/>
      </c>
      <c r="AD86" t="str">
        <f t="shared" si="28"/>
        <v/>
      </c>
      <c r="AE86" s="145" t="str">
        <f t="shared" si="37"/>
        <v/>
      </c>
      <c r="AF86" s="145" t="str">
        <f t="shared" si="37"/>
        <v/>
      </c>
      <c r="AG86" s="145" t="str">
        <f t="shared" si="37"/>
        <v/>
      </c>
      <c r="AH86" s="145" t="str">
        <f t="shared" si="37"/>
        <v/>
      </c>
      <c r="AI86" s="145" t="str">
        <f t="shared" si="37"/>
        <v/>
      </c>
      <c r="AJ86" s="145" t="str">
        <f t="shared" si="37"/>
        <v/>
      </c>
      <c r="AK86" s="145" t="str">
        <f t="shared" si="37"/>
        <v/>
      </c>
      <c r="AL86" s="145" t="str">
        <f t="shared" si="37"/>
        <v/>
      </c>
      <c r="AM86" s="145" t="str">
        <f t="shared" ref="AM86:AR97" si="38">IF($Z86=0,AM$99,IF($Z86=1,AM$100,IF($Z86=2,AM$101,IF($Z86=3,AM$102,IF($Z86=4,AM$103,IF($Z86=5,AM$104,IF($Z86=6,AM$105,AM$106)))))))</f>
        <v/>
      </c>
      <c r="AN86" s="145" t="str">
        <f t="shared" si="38"/>
        <v/>
      </c>
      <c r="AO86" s="145" t="str">
        <f t="shared" si="38"/>
        <v/>
      </c>
      <c r="AP86" s="145" t="str">
        <f t="shared" si="38"/>
        <v/>
      </c>
      <c r="AQ86" s="145" t="str">
        <f t="shared" si="38"/>
        <v/>
      </c>
      <c r="AR86" t="str">
        <f t="shared" si="38"/>
        <v/>
      </c>
      <c r="AS86" t="str">
        <f>IF($Z86=0,AS$99,IF($Z86=1,AS$100,IF($Z86=2,AS$101,IF($Z86=3,AS$102,IF($Z86=4,AS$103,IF($Z86=5,AS$104,IF($Z86=6,AS$105,AS$106)))))))</f>
        <v/>
      </c>
      <c r="AT86" t="str">
        <f t="shared" si="33"/>
        <v/>
      </c>
      <c r="AU86" t="str">
        <f t="shared" si="30"/>
        <v/>
      </c>
      <c r="AV86" t="str">
        <f t="shared" si="30"/>
        <v/>
      </c>
      <c r="AW86" t="str">
        <f t="shared" si="30"/>
        <v/>
      </c>
      <c r="AX86" t="str">
        <f t="shared" si="30"/>
        <v/>
      </c>
      <c r="AY86" t="str">
        <f t="shared" si="30"/>
        <v/>
      </c>
      <c r="AZ86" t="str">
        <f t="shared" si="30"/>
        <v/>
      </c>
      <c r="BB86" s="2" t="s">
        <v>1631</v>
      </c>
      <c r="BC86" s="2">
        <v>13</v>
      </c>
      <c r="BD86" s="2">
        <v>4</v>
      </c>
      <c r="BE86" s="2"/>
      <c r="BF86" s="2">
        <v>60</v>
      </c>
      <c r="BG86" s="2" t="s">
        <v>1347</v>
      </c>
      <c r="BH86" s="10">
        <v>15000000</v>
      </c>
      <c r="BI86" s="2" t="s">
        <v>348</v>
      </c>
      <c r="BJ86" s="2"/>
      <c r="BK86" s="2">
        <v>1</v>
      </c>
      <c r="BL86" s="2">
        <v>4</v>
      </c>
      <c r="BM86" s="2">
        <f t="shared" si="18"/>
        <v>8</v>
      </c>
      <c r="BN86" s="2">
        <f t="shared" si="19"/>
        <v>8</v>
      </c>
      <c r="BO86" s="2">
        <f t="shared" si="20"/>
        <v>0</v>
      </c>
      <c r="BP86" s="2">
        <f t="shared" si="21"/>
        <v>14</v>
      </c>
      <c r="BQ86" s="2">
        <f t="shared" si="22"/>
        <v>13</v>
      </c>
      <c r="BR86" s="2">
        <f t="shared" si="23"/>
        <v>13</v>
      </c>
      <c r="BS86" s="2">
        <f t="shared" si="24"/>
        <v>2</v>
      </c>
    </row>
    <row r="87" spans="22:71">
      <c r="V87">
        <f t="shared" si="27"/>
        <v>0</v>
      </c>
      <c r="W87" s="103">
        <v>10</v>
      </c>
      <c r="X87" s="136">
        <f>VLOOKUP(B21,Table2[],8)</f>
        <v>0</v>
      </c>
      <c r="Y87" s="27">
        <f>VLOOKUP(B21,Table1[],8)</f>
        <v>0</v>
      </c>
      <c r="Z87" s="87">
        <f>IF(AND('Ship Info'!$F$7,'Ship Info'!$C$5&gt;=100),Y87,IF($B$4&lt;100,X87,Y87))</f>
        <v>0</v>
      </c>
      <c r="AA87" s="136" t="str">
        <f>""</f>
        <v/>
      </c>
      <c r="AB87" s="22" t="str">
        <f t="shared" si="31"/>
        <v/>
      </c>
      <c r="AC87" s="22" t="str">
        <f t="shared" si="28"/>
        <v/>
      </c>
      <c r="AD87" s="22" t="str">
        <f t="shared" si="28"/>
        <v/>
      </c>
      <c r="AE87" s="22" t="str">
        <f t="shared" si="37"/>
        <v/>
      </c>
      <c r="AF87" s="22" t="str">
        <f t="shared" si="37"/>
        <v/>
      </c>
      <c r="AG87" s="22" t="str">
        <f t="shared" si="37"/>
        <v/>
      </c>
      <c r="AH87" s="22" t="str">
        <f t="shared" si="37"/>
        <v/>
      </c>
      <c r="AI87" s="22" t="str">
        <f t="shared" si="37"/>
        <v/>
      </c>
      <c r="AJ87" s="22" t="str">
        <f t="shared" si="37"/>
        <v/>
      </c>
      <c r="AK87" s="22" t="str">
        <f t="shared" si="37"/>
        <v/>
      </c>
      <c r="AL87" s="22" t="str">
        <f t="shared" si="37"/>
        <v/>
      </c>
      <c r="AM87" s="22" t="str">
        <f t="shared" si="38"/>
        <v/>
      </c>
      <c r="AN87" s="22" t="str">
        <f t="shared" si="38"/>
        <v/>
      </c>
      <c r="AO87" s="22" t="str">
        <f t="shared" si="38"/>
        <v/>
      </c>
      <c r="AP87" s="22" t="str">
        <f t="shared" si="38"/>
        <v/>
      </c>
      <c r="AQ87" s="22" t="str">
        <f t="shared" si="38"/>
        <v/>
      </c>
      <c r="AR87" s="22" t="str">
        <f t="shared" si="38"/>
        <v/>
      </c>
      <c r="AS87" s="22" t="str">
        <f t="shared" si="34"/>
        <v/>
      </c>
      <c r="AT87" s="22" t="str">
        <f t="shared" si="33"/>
        <v/>
      </c>
      <c r="AU87" s="22" t="str">
        <f t="shared" si="30"/>
        <v/>
      </c>
      <c r="AV87" s="22" t="str">
        <f t="shared" si="30"/>
        <v/>
      </c>
      <c r="AW87" s="22" t="str">
        <f t="shared" si="30"/>
        <v/>
      </c>
      <c r="AX87" s="22" t="str">
        <f t="shared" si="30"/>
        <v/>
      </c>
      <c r="AY87" s="22" t="str">
        <f t="shared" si="30"/>
        <v/>
      </c>
      <c r="AZ87" s="22" t="str">
        <f t="shared" si="30"/>
        <v/>
      </c>
      <c r="BB87" s="2" t="s">
        <v>629</v>
      </c>
      <c r="BC87" s="2">
        <v>9</v>
      </c>
      <c r="BD87" s="2">
        <v>5</v>
      </c>
      <c r="BE87" s="2">
        <v>2</v>
      </c>
      <c r="BF87" s="2">
        <v>4</v>
      </c>
      <c r="BG87" s="2" t="s">
        <v>335</v>
      </c>
      <c r="BH87" s="10">
        <v>1000000</v>
      </c>
      <c r="BI87" s="2"/>
      <c r="BJ87" s="2"/>
      <c r="BK87" s="2"/>
      <c r="BL87" s="2">
        <v>1</v>
      </c>
      <c r="BM87" s="2">
        <f t="shared" si="18"/>
        <v>9</v>
      </c>
      <c r="BN87" s="2">
        <f t="shared" si="19"/>
        <v>8</v>
      </c>
      <c r="BO87" s="2">
        <f t="shared" si="20"/>
        <v>0</v>
      </c>
      <c r="BP87" s="2">
        <f t="shared" si="21"/>
        <v>14</v>
      </c>
      <c r="BQ87" s="2">
        <f t="shared" si="22"/>
        <v>13</v>
      </c>
      <c r="BR87" s="2">
        <f t="shared" si="23"/>
        <v>13</v>
      </c>
      <c r="BS87" s="2">
        <f t="shared" si="24"/>
        <v>2</v>
      </c>
    </row>
    <row r="88" spans="22:71">
      <c r="V88">
        <f t="shared" si="27"/>
        <v>0</v>
      </c>
      <c r="W88" s="1">
        <v>11</v>
      </c>
      <c r="X88" s="92">
        <f>VLOOKUP(B22,Table2[],8)</f>
        <v>0</v>
      </c>
      <c r="Y88" s="2">
        <f>VLOOKUP(B22,Table1[],8)</f>
        <v>0</v>
      </c>
      <c r="Z88" s="87">
        <f>IF(AND('Ship Info'!$F$7,'Ship Info'!$C$5&gt;=100),Y88,IF($B$4&lt;100,X88,Y88))</f>
        <v>0</v>
      </c>
      <c r="AA88" s="92" t="str">
        <f>""</f>
        <v/>
      </c>
      <c r="AB88" t="str">
        <f t="shared" si="31"/>
        <v/>
      </c>
      <c r="AC88" t="str">
        <f t="shared" si="28"/>
        <v/>
      </c>
      <c r="AD88" t="str">
        <f t="shared" si="28"/>
        <v/>
      </c>
      <c r="AE88" s="145" t="str">
        <f t="shared" si="37"/>
        <v/>
      </c>
      <c r="AF88" s="145" t="str">
        <f t="shared" si="37"/>
        <v/>
      </c>
      <c r="AG88" s="145" t="str">
        <f t="shared" si="37"/>
        <v/>
      </c>
      <c r="AH88" s="145" t="str">
        <f t="shared" si="37"/>
        <v/>
      </c>
      <c r="AI88" s="145" t="str">
        <f t="shared" si="37"/>
        <v/>
      </c>
      <c r="AJ88" s="145" t="str">
        <f t="shared" si="37"/>
        <v/>
      </c>
      <c r="AK88" s="145" t="str">
        <f t="shared" si="37"/>
        <v/>
      </c>
      <c r="AL88" s="145" t="str">
        <f t="shared" si="37"/>
        <v/>
      </c>
      <c r="AM88" s="145" t="str">
        <f t="shared" si="38"/>
        <v/>
      </c>
      <c r="AN88" s="145" t="str">
        <f t="shared" si="38"/>
        <v/>
      </c>
      <c r="AO88" s="145" t="str">
        <f t="shared" si="38"/>
        <v/>
      </c>
      <c r="AP88" s="145" t="str">
        <f t="shared" si="38"/>
        <v/>
      </c>
      <c r="AQ88" s="145" t="str">
        <f t="shared" si="38"/>
        <v/>
      </c>
      <c r="AR88" t="str">
        <f t="shared" si="38"/>
        <v/>
      </c>
      <c r="AS88" t="str">
        <f t="shared" si="34"/>
        <v/>
      </c>
      <c r="AT88" t="str">
        <f t="shared" si="33"/>
        <v/>
      </c>
      <c r="AU88" t="str">
        <f t="shared" si="30"/>
        <v/>
      </c>
      <c r="AV88" t="str">
        <f t="shared" si="30"/>
        <v/>
      </c>
      <c r="AW88" t="str">
        <f t="shared" si="30"/>
        <v/>
      </c>
      <c r="AX88" t="str">
        <f t="shared" si="30"/>
        <v/>
      </c>
      <c r="AY88" t="str">
        <f t="shared" si="30"/>
        <v/>
      </c>
      <c r="AZ88" t="str">
        <f t="shared" si="30"/>
        <v/>
      </c>
      <c r="BB88" s="2" t="s">
        <v>1378</v>
      </c>
      <c r="BC88" s="2">
        <v>9</v>
      </c>
      <c r="BD88" s="2">
        <v>5</v>
      </c>
      <c r="BE88" s="2">
        <v>2</v>
      </c>
      <c r="BF88" s="2">
        <v>8</v>
      </c>
      <c r="BG88" s="2" t="s">
        <v>1345</v>
      </c>
      <c r="BH88" s="10">
        <v>2000000</v>
      </c>
      <c r="BI88" s="2"/>
      <c r="BJ88" s="2"/>
      <c r="BK88" s="2">
        <v>1</v>
      </c>
      <c r="BL88" s="2">
        <v>2</v>
      </c>
      <c r="BM88" s="2">
        <f t="shared" si="18"/>
        <v>9</v>
      </c>
      <c r="BN88" s="2">
        <f t="shared" si="19"/>
        <v>9</v>
      </c>
      <c r="BO88" s="2">
        <f t="shared" si="20"/>
        <v>0</v>
      </c>
      <c r="BP88" s="2">
        <f t="shared" si="21"/>
        <v>14</v>
      </c>
      <c r="BQ88" s="2">
        <f t="shared" si="22"/>
        <v>13</v>
      </c>
      <c r="BR88" s="2">
        <f t="shared" si="23"/>
        <v>13</v>
      </c>
      <c r="BS88" s="2">
        <f t="shared" si="24"/>
        <v>2</v>
      </c>
    </row>
    <row r="89" spans="22:71">
      <c r="V89">
        <f t="shared" si="27"/>
        <v>0</v>
      </c>
      <c r="W89" s="103">
        <v>12</v>
      </c>
      <c r="X89" s="136">
        <f>VLOOKUP(B23,Table2[],8)</f>
        <v>0</v>
      </c>
      <c r="Y89" s="27">
        <f>VLOOKUP(B23,Table1[],8)</f>
        <v>0</v>
      </c>
      <c r="Z89" s="87">
        <f>IF(AND('Ship Info'!$F$7,'Ship Info'!$C$5&gt;=100),Y89,IF($B$4&lt;100,X89,Y89))</f>
        <v>0</v>
      </c>
      <c r="AA89" s="136" t="str">
        <f>""</f>
        <v/>
      </c>
      <c r="AB89" s="22" t="str">
        <f t="shared" si="31"/>
        <v/>
      </c>
      <c r="AC89" s="22" t="str">
        <f t="shared" si="28"/>
        <v/>
      </c>
      <c r="AD89" s="22" t="str">
        <f t="shared" si="28"/>
        <v/>
      </c>
      <c r="AE89" s="22" t="str">
        <f t="shared" si="37"/>
        <v/>
      </c>
      <c r="AF89" s="22" t="str">
        <f t="shared" si="37"/>
        <v/>
      </c>
      <c r="AG89" s="22" t="str">
        <f t="shared" si="37"/>
        <v/>
      </c>
      <c r="AH89" s="22" t="str">
        <f t="shared" si="37"/>
        <v/>
      </c>
      <c r="AI89" s="22" t="str">
        <f t="shared" si="37"/>
        <v/>
      </c>
      <c r="AJ89" s="22" t="str">
        <f t="shared" si="37"/>
        <v/>
      </c>
      <c r="AK89" s="22" t="str">
        <f t="shared" si="37"/>
        <v/>
      </c>
      <c r="AL89" s="22" t="str">
        <f t="shared" si="37"/>
        <v/>
      </c>
      <c r="AM89" s="22" t="str">
        <f t="shared" si="38"/>
        <v/>
      </c>
      <c r="AN89" s="22" t="str">
        <f t="shared" si="38"/>
        <v/>
      </c>
      <c r="AO89" s="22" t="str">
        <f t="shared" si="38"/>
        <v/>
      </c>
      <c r="AP89" s="22" t="str">
        <f t="shared" si="38"/>
        <v/>
      </c>
      <c r="AQ89" s="22" t="str">
        <f t="shared" si="38"/>
        <v/>
      </c>
      <c r="AR89" s="22" t="str">
        <f t="shared" si="38"/>
        <v/>
      </c>
      <c r="AS89" s="22" t="str">
        <f t="shared" si="34"/>
        <v/>
      </c>
      <c r="AT89" s="22" t="str">
        <f t="shared" si="33"/>
        <v/>
      </c>
      <c r="AU89" s="22" t="str">
        <f t="shared" si="30"/>
        <v/>
      </c>
      <c r="AV89" s="22" t="str">
        <f t="shared" si="30"/>
        <v/>
      </c>
      <c r="AW89" s="22" t="str">
        <f t="shared" si="30"/>
        <v/>
      </c>
      <c r="AX89" s="22" t="str">
        <f t="shared" si="30"/>
        <v/>
      </c>
      <c r="AY89" s="22" t="str">
        <f t="shared" si="30"/>
        <v/>
      </c>
      <c r="AZ89" s="22" t="str">
        <f t="shared" si="30"/>
        <v/>
      </c>
      <c r="BB89" s="2" t="s">
        <v>1691</v>
      </c>
      <c r="BC89" s="2">
        <v>9</v>
      </c>
      <c r="BD89" s="2">
        <v>5</v>
      </c>
      <c r="BE89" s="2"/>
      <c r="BF89" s="2">
        <v>100</v>
      </c>
      <c r="BG89" s="2" t="s">
        <v>1360</v>
      </c>
      <c r="BH89" s="10">
        <v>30000000</v>
      </c>
      <c r="BI89" s="2"/>
      <c r="BJ89" s="2"/>
      <c r="BK89" s="2">
        <v>1</v>
      </c>
      <c r="BL89" s="2">
        <v>6</v>
      </c>
      <c r="BM89" s="2">
        <f t="shared" si="18"/>
        <v>9</v>
      </c>
      <c r="BN89" s="2">
        <f t="shared" si="19"/>
        <v>9</v>
      </c>
      <c r="BO89" s="2">
        <f t="shared" si="20"/>
        <v>0</v>
      </c>
      <c r="BP89" s="2">
        <f t="shared" si="21"/>
        <v>14</v>
      </c>
      <c r="BQ89" s="2">
        <f t="shared" si="22"/>
        <v>13</v>
      </c>
      <c r="BR89" s="2">
        <f t="shared" si="23"/>
        <v>14</v>
      </c>
      <c r="BS89" s="2">
        <f t="shared" si="24"/>
        <v>2</v>
      </c>
    </row>
    <row r="90" spans="22:71">
      <c r="V90">
        <f t="shared" si="27"/>
        <v>0</v>
      </c>
      <c r="W90" s="1">
        <v>13</v>
      </c>
      <c r="X90" s="92">
        <f>VLOOKUP(B24,Table2[],8)</f>
        <v>0</v>
      </c>
      <c r="Y90" s="2">
        <f>VLOOKUP(B24,Table1[],8)</f>
        <v>0</v>
      </c>
      <c r="Z90" s="87">
        <f>IF(AND('Ship Info'!$F$7,'Ship Info'!$C$5&gt;=100),Y90,IF($B$4&lt;100,X90,Y90))</f>
        <v>0</v>
      </c>
      <c r="AA90" s="92" t="str">
        <f>""</f>
        <v/>
      </c>
      <c r="AB90" t="str">
        <f t="shared" si="31"/>
        <v/>
      </c>
      <c r="AC90" t="str">
        <f t="shared" si="28"/>
        <v/>
      </c>
      <c r="AD90" t="str">
        <f t="shared" si="28"/>
        <v/>
      </c>
      <c r="AE90" s="145" t="str">
        <f t="shared" si="37"/>
        <v/>
      </c>
      <c r="AF90" s="145" t="str">
        <f t="shared" si="37"/>
        <v/>
      </c>
      <c r="AG90" s="145" t="str">
        <f t="shared" si="37"/>
        <v/>
      </c>
      <c r="AH90" s="145" t="str">
        <f t="shared" si="37"/>
        <v/>
      </c>
      <c r="AI90" s="145" t="str">
        <f t="shared" si="37"/>
        <v/>
      </c>
      <c r="AJ90" s="145" t="str">
        <f t="shared" si="37"/>
        <v/>
      </c>
      <c r="AK90" s="145" t="str">
        <f t="shared" si="37"/>
        <v/>
      </c>
      <c r="AL90" s="145" t="str">
        <f t="shared" si="37"/>
        <v/>
      </c>
      <c r="AM90" s="145" t="str">
        <f t="shared" si="38"/>
        <v/>
      </c>
      <c r="AN90" s="145" t="str">
        <f t="shared" si="38"/>
        <v/>
      </c>
      <c r="AO90" s="145" t="str">
        <f t="shared" si="38"/>
        <v/>
      </c>
      <c r="AP90" s="145" t="str">
        <f t="shared" si="38"/>
        <v/>
      </c>
      <c r="AQ90" s="145" t="str">
        <f t="shared" si="38"/>
        <v/>
      </c>
      <c r="AR90" t="str">
        <f t="shared" si="38"/>
        <v/>
      </c>
      <c r="AS90" t="str">
        <f t="shared" si="34"/>
        <v/>
      </c>
      <c r="AT90" t="str">
        <f t="shared" si="33"/>
        <v/>
      </c>
      <c r="AU90" t="str">
        <f t="shared" si="30"/>
        <v/>
      </c>
      <c r="AV90" t="str">
        <f t="shared" si="30"/>
        <v/>
      </c>
      <c r="AW90" t="str">
        <f t="shared" si="30"/>
        <v/>
      </c>
      <c r="AX90" t="str">
        <f t="shared" si="30"/>
        <v/>
      </c>
      <c r="AY90" t="str">
        <f t="shared" si="30"/>
        <v/>
      </c>
      <c r="AZ90" t="str">
        <f t="shared" si="30"/>
        <v/>
      </c>
      <c r="BB90" s="2" t="s">
        <v>1692</v>
      </c>
      <c r="BC90" s="2">
        <v>9</v>
      </c>
      <c r="BD90" s="2">
        <v>5</v>
      </c>
      <c r="BE90" s="2"/>
      <c r="BF90" s="2">
        <v>23</v>
      </c>
      <c r="BG90" s="2" t="s">
        <v>1364</v>
      </c>
      <c r="BH90" s="10">
        <v>10000000</v>
      </c>
      <c r="BI90" s="2"/>
      <c r="BJ90" s="2"/>
      <c r="BK90" s="2">
        <v>1</v>
      </c>
      <c r="BL90" s="2">
        <v>5</v>
      </c>
      <c r="BM90" s="2">
        <f t="shared" si="18"/>
        <v>9</v>
      </c>
      <c r="BN90" s="2">
        <f t="shared" si="19"/>
        <v>9</v>
      </c>
      <c r="BO90" s="2">
        <f t="shared" si="20"/>
        <v>0</v>
      </c>
      <c r="BP90" s="2">
        <f t="shared" si="21"/>
        <v>14</v>
      </c>
      <c r="BQ90" s="2">
        <f t="shared" si="22"/>
        <v>14</v>
      </c>
      <c r="BR90" s="2">
        <f t="shared" si="23"/>
        <v>14</v>
      </c>
      <c r="BS90" s="2">
        <f t="shared" si="24"/>
        <v>2</v>
      </c>
    </row>
    <row r="91" spans="22:71">
      <c r="V91">
        <f t="shared" si="27"/>
        <v>0</v>
      </c>
      <c r="W91" s="103">
        <v>14</v>
      </c>
      <c r="X91" s="136">
        <f>VLOOKUP(B25,Table2[],8)</f>
        <v>0</v>
      </c>
      <c r="Y91" s="27">
        <f>VLOOKUP(B25,Table1[],8)</f>
        <v>0</v>
      </c>
      <c r="Z91" s="87">
        <f>IF(AND('Ship Info'!$F$7,'Ship Info'!$C$5&gt;=100),Y91,IF($B$4&lt;100,X91,Y91))</f>
        <v>0</v>
      </c>
      <c r="AA91" s="136" t="str">
        <f>""</f>
        <v/>
      </c>
      <c r="AB91" s="22" t="str">
        <f t="shared" si="31"/>
        <v/>
      </c>
      <c r="AC91" s="22" t="str">
        <f t="shared" si="28"/>
        <v/>
      </c>
      <c r="AD91" s="22" t="str">
        <f t="shared" si="28"/>
        <v/>
      </c>
      <c r="AE91" s="22" t="str">
        <f t="shared" si="37"/>
        <v/>
      </c>
      <c r="AF91" s="22" t="str">
        <f t="shared" si="37"/>
        <v/>
      </c>
      <c r="AG91" s="22" t="str">
        <f t="shared" si="37"/>
        <v/>
      </c>
      <c r="AH91" s="22" t="str">
        <f t="shared" si="37"/>
        <v/>
      </c>
      <c r="AI91" s="22" t="str">
        <f t="shared" si="37"/>
        <v/>
      </c>
      <c r="AJ91" s="22" t="str">
        <f t="shared" si="37"/>
        <v/>
      </c>
      <c r="AK91" s="22" t="str">
        <f t="shared" si="37"/>
        <v/>
      </c>
      <c r="AL91" s="22" t="str">
        <f t="shared" si="37"/>
        <v/>
      </c>
      <c r="AM91" s="22" t="str">
        <f t="shared" si="38"/>
        <v/>
      </c>
      <c r="AN91" s="22" t="str">
        <f t="shared" si="38"/>
        <v/>
      </c>
      <c r="AO91" s="22" t="str">
        <f t="shared" si="38"/>
        <v/>
      </c>
      <c r="AP91" s="22" t="str">
        <f t="shared" si="38"/>
        <v/>
      </c>
      <c r="AQ91" s="22" t="str">
        <f t="shared" si="38"/>
        <v/>
      </c>
      <c r="AR91" s="22" t="str">
        <f t="shared" si="38"/>
        <v/>
      </c>
      <c r="AS91" s="22" t="str">
        <f t="shared" si="34"/>
        <v/>
      </c>
      <c r="AT91" s="22" t="str">
        <f t="shared" si="33"/>
        <v/>
      </c>
      <c r="AU91" s="22" t="str">
        <f t="shared" si="30"/>
        <v/>
      </c>
      <c r="AV91" s="22" t="str">
        <f t="shared" si="30"/>
        <v/>
      </c>
      <c r="AW91" s="22" t="str">
        <f t="shared" si="30"/>
        <v/>
      </c>
      <c r="AX91" s="22" t="str">
        <f t="shared" si="30"/>
        <v/>
      </c>
      <c r="AY91" s="22" t="str">
        <f t="shared" si="30"/>
        <v/>
      </c>
      <c r="AZ91" s="22" t="str">
        <f t="shared" si="30"/>
        <v/>
      </c>
      <c r="BB91" s="2" t="s">
        <v>1693</v>
      </c>
      <c r="BC91" s="2">
        <v>9</v>
      </c>
      <c r="BD91" s="2">
        <v>5</v>
      </c>
      <c r="BE91" s="2"/>
      <c r="BF91" s="2">
        <v>15</v>
      </c>
      <c r="BG91" s="2" t="s">
        <v>1374</v>
      </c>
      <c r="BH91" s="10">
        <v>3000000</v>
      </c>
      <c r="BI91" s="2"/>
      <c r="BJ91" s="2"/>
      <c r="BK91" s="2">
        <v>1</v>
      </c>
      <c r="BL91" s="2">
        <v>4</v>
      </c>
      <c r="BM91" s="2">
        <f t="shared" si="18"/>
        <v>9</v>
      </c>
      <c r="BN91" s="2">
        <f t="shared" si="19"/>
        <v>9</v>
      </c>
      <c r="BO91" s="2">
        <f t="shared" si="20"/>
        <v>0</v>
      </c>
      <c r="BP91" s="2">
        <f t="shared" si="21"/>
        <v>15</v>
      </c>
      <c r="BQ91" s="2">
        <f t="shared" si="22"/>
        <v>14</v>
      </c>
      <c r="BR91" s="2">
        <f t="shared" si="23"/>
        <v>14</v>
      </c>
      <c r="BS91" s="2">
        <f t="shared" si="24"/>
        <v>2</v>
      </c>
    </row>
    <row r="92" spans="22:71">
      <c r="V92">
        <f t="shared" si="27"/>
        <v>0</v>
      </c>
      <c r="W92" s="1">
        <v>15</v>
      </c>
      <c r="X92" s="92">
        <f>VLOOKUP(B26,Table2[],8)</f>
        <v>0</v>
      </c>
      <c r="Y92" s="2">
        <f>VLOOKUP(B26,Table1[],8)</f>
        <v>0</v>
      </c>
      <c r="Z92" s="87">
        <f>IF(AND('Ship Info'!$F$7,'Ship Info'!$C$5&gt;=100),Y92,IF($B$4&lt;100,X92,Y92))</f>
        <v>0</v>
      </c>
      <c r="AA92" s="92" t="str">
        <f>""</f>
        <v/>
      </c>
      <c r="AB92" t="str">
        <f t="shared" si="31"/>
        <v/>
      </c>
      <c r="AC92" t="str">
        <f t="shared" si="28"/>
        <v/>
      </c>
      <c r="AD92" t="str">
        <f t="shared" si="28"/>
        <v/>
      </c>
      <c r="AE92" s="145" t="str">
        <f t="shared" si="37"/>
        <v/>
      </c>
      <c r="AF92" s="145" t="str">
        <f t="shared" si="37"/>
        <v/>
      </c>
      <c r="AG92" s="145" t="str">
        <f t="shared" si="37"/>
        <v/>
      </c>
      <c r="AH92" s="145" t="str">
        <f t="shared" si="37"/>
        <v/>
      </c>
      <c r="AI92" s="145" t="str">
        <f t="shared" si="37"/>
        <v/>
      </c>
      <c r="AJ92" s="145" t="str">
        <f t="shared" si="37"/>
        <v/>
      </c>
      <c r="AK92" s="145" t="str">
        <f t="shared" si="37"/>
        <v/>
      </c>
      <c r="AL92" s="145" t="str">
        <f t="shared" si="37"/>
        <v/>
      </c>
      <c r="AM92" s="145" t="str">
        <f t="shared" si="38"/>
        <v/>
      </c>
      <c r="AN92" s="145" t="str">
        <f t="shared" si="38"/>
        <v/>
      </c>
      <c r="AO92" s="145" t="str">
        <f t="shared" si="38"/>
        <v/>
      </c>
      <c r="AP92" s="145" t="str">
        <f t="shared" si="38"/>
        <v/>
      </c>
      <c r="AQ92" s="145" t="str">
        <f t="shared" si="38"/>
        <v/>
      </c>
      <c r="AR92" t="str">
        <f t="shared" si="38"/>
        <v/>
      </c>
      <c r="AS92" t="str">
        <f t="shared" si="34"/>
        <v/>
      </c>
      <c r="AT92" t="str">
        <f t="shared" si="33"/>
        <v/>
      </c>
      <c r="AU92" t="str">
        <f t="shared" si="30"/>
        <v/>
      </c>
      <c r="AV92" t="str">
        <f t="shared" si="30"/>
        <v/>
      </c>
      <c r="AW92" t="str">
        <f t="shared" si="30"/>
        <v/>
      </c>
      <c r="AX92" t="str">
        <f t="shared" si="30"/>
        <v/>
      </c>
      <c r="AY92" t="str">
        <f t="shared" si="30"/>
        <v/>
      </c>
      <c r="AZ92" t="str">
        <f t="shared" si="30"/>
        <v/>
      </c>
      <c r="BB92" s="2" t="s">
        <v>390</v>
      </c>
      <c r="BC92" s="2">
        <v>10</v>
      </c>
      <c r="BD92" s="2">
        <v>3</v>
      </c>
      <c r="BE92" s="2">
        <v>1</v>
      </c>
      <c r="BF92" s="2">
        <v>2</v>
      </c>
      <c r="BG92" s="2" t="s">
        <v>335</v>
      </c>
      <c r="BH92" s="10">
        <v>1000000</v>
      </c>
      <c r="BI92" s="2" t="s">
        <v>1337</v>
      </c>
      <c r="BJ92" s="2"/>
      <c r="BK92" s="2"/>
      <c r="BL92" s="2">
        <v>1</v>
      </c>
      <c r="BM92" s="2">
        <f t="shared" si="18"/>
        <v>10</v>
      </c>
      <c r="BN92" s="2">
        <f t="shared" si="19"/>
        <v>9</v>
      </c>
      <c r="BO92" s="2">
        <f t="shared" si="20"/>
        <v>0</v>
      </c>
      <c r="BP92" s="2">
        <f t="shared" si="21"/>
        <v>15</v>
      </c>
      <c r="BQ92" s="2">
        <f t="shared" si="22"/>
        <v>14</v>
      </c>
      <c r="BR92" s="2">
        <f t="shared" si="23"/>
        <v>14</v>
      </c>
      <c r="BS92" s="2">
        <f t="shared" si="24"/>
        <v>2</v>
      </c>
    </row>
    <row r="93" spans="22:71">
      <c r="V93">
        <f t="shared" si="27"/>
        <v>0</v>
      </c>
      <c r="W93" s="103">
        <v>16</v>
      </c>
      <c r="X93" s="136">
        <f>VLOOKUP(B27,Table2[],8)</f>
        <v>0</v>
      </c>
      <c r="Y93" s="27">
        <f>VLOOKUP(B27,Table1[],8)</f>
        <v>0</v>
      </c>
      <c r="Z93" s="87">
        <f>IF(AND('Ship Info'!$F$7,'Ship Info'!$C$5&gt;=100),Y93,IF($B$4&lt;100,X93,Y93))</f>
        <v>0</v>
      </c>
      <c r="AA93" s="136" t="str">
        <f>""</f>
        <v/>
      </c>
      <c r="AB93" s="22" t="str">
        <f t="shared" si="31"/>
        <v/>
      </c>
      <c r="AC93" s="22" t="str">
        <f t="shared" si="28"/>
        <v/>
      </c>
      <c r="AD93" s="22" t="str">
        <f t="shared" si="28"/>
        <v/>
      </c>
      <c r="AE93" s="22" t="str">
        <f t="shared" si="37"/>
        <v/>
      </c>
      <c r="AF93" s="22" t="str">
        <f t="shared" si="37"/>
        <v/>
      </c>
      <c r="AG93" s="22" t="str">
        <f t="shared" si="37"/>
        <v/>
      </c>
      <c r="AH93" s="22" t="str">
        <f t="shared" si="37"/>
        <v/>
      </c>
      <c r="AI93" s="22" t="str">
        <f t="shared" si="37"/>
        <v/>
      </c>
      <c r="AJ93" s="22" t="str">
        <f t="shared" si="37"/>
        <v/>
      </c>
      <c r="AK93" s="22" t="str">
        <f t="shared" si="37"/>
        <v/>
      </c>
      <c r="AL93" s="22" t="str">
        <f t="shared" si="37"/>
        <v/>
      </c>
      <c r="AM93" s="22" t="str">
        <f t="shared" si="38"/>
        <v/>
      </c>
      <c r="AN93" s="22" t="str">
        <f t="shared" si="38"/>
        <v/>
      </c>
      <c r="AO93" s="22" t="str">
        <f t="shared" si="38"/>
        <v/>
      </c>
      <c r="AP93" s="22" t="str">
        <f t="shared" si="38"/>
        <v/>
      </c>
      <c r="AQ93" s="22" t="str">
        <f t="shared" si="38"/>
        <v/>
      </c>
      <c r="AR93" s="22" t="str">
        <f t="shared" si="38"/>
        <v/>
      </c>
      <c r="AS93" s="22" t="str">
        <f t="shared" si="34"/>
        <v/>
      </c>
      <c r="AT93" s="22" t="str">
        <f t="shared" si="33"/>
        <v/>
      </c>
      <c r="AU93" s="22" t="str">
        <f t="shared" si="30"/>
        <v/>
      </c>
      <c r="AV93" s="22" t="str">
        <f t="shared" si="30"/>
        <v/>
      </c>
      <c r="AW93" s="22" t="str">
        <f t="shared" si="30"/>
        <v/>
      </c>
      <c r="AX93" s="22" t="str">
        <f t="shared" si="30"/>
        <v/>
      </c>
      <c r="AY93" s="22" t="str">
        <f>IF($Z93=0,AY$99,IF($Z93=1,AY$100,IF($Z93=2,AY$101,IF($Z93=3,AY$102,IF($Z93=4,AY$103,IF($Z93=5,AY$104,IF($Z93=6,AY$105,AY$106)))))))</f>
        <v/>
      </c>
      <c r="AZ93" s="22" t="str">
        <f t="shared" si="30"/>
        <v/>
      </c>
      <c r="BB93" s="2" t="s">
        <v>1338</v>
      </c>
      <c r="BC93" s="2">
        <v>10</v>
      </c>
      <c r="BD93" s="2">
        <v>4</v>
      </c>
      <c r="BE93" s="2">
        <v>1</v>
      </c>
      <c r="BF93" s="2">
        <v>5</v>
      </c>
      <c r="BG93" s="2" t="s">
        <v>1345</v>
      </c>
      <c r="BH93" s="10">
        <v>2000000</v>
      </c>
      <c r="BI93" s="2" t="s">
        <v>1359</v>
      </c>
      <c r="BJ93" s="2"/>
      <c r="BK93" s="2">
        <v>1</v>
      </c>
      <c r="BL93" s="2">
        <v>2</v>
      </c>
      <c r="BM93" s="2">
        <f t="shared" si="18"/>
        <v>10</v>
      </c>
      <c r="BN93" s="2">
        <f t="shared" si="19"/>
        <v>10</v>
      </c>
      <c r="BO93" s="2">
        <f t="shared" si="20"/>
        <v>0</v>
      </c>
      <c r="BP93" s="2">
        <f t="shared" si="21"/>
        <v>15</v>
      </c>
      <c r="BQ93" s="2">
        <f t="shared" si="22"/>
        <v>14</v>
      </c>
      <c r="BR93" s="2">
        <f t="shared" si="23"/>
        <v>14</v>
      </c>
      <c r="BS93" s="2">
        <f t="shared" si="24"/>
        <v>2</v>
      </c>
    </row>
    <row r="94" spans="22:71" ht="15" customHeight="1">
      <c r="V94">
        <f t="shared" si="27"/>
        <v>0</v>
      </c>
      <c r="W94" s="1">
        <v>17</v>
      </c>
      <c r="X94" s="92">
        <f>VLOOKUP(B28,Table2[],8)</f>
        <v>0</v>
      </c>
      <c r="Y94" s="2">
        <f>VLOOKUP(B28,Table1[],8)</f>
        <v>0</v>
      </c>
      <c r="Z94" s="87">
        <f>IF(AND('Ship Info'!$F$7,'Ship Info'!$C$5&gt;=100),Y94,IF($B$4&lt;100,X94,Y94))</f>
        <v>0</v>
      </c>
      <c r="AA94" s="92" t="str">
        <f>""</f>
        <v/>
      </c>
      <c r="AB94" t="str">
        <f t="shared" si="31"/>
        <v/>
      </c>
      <c r="AC94" t="str">
        <f t="shared" si="28"/>
        <v/>
      </c>
      <c r="AD94" t="str">
        <f t="shared" si="28"/>
        <v/>
      </c>
      <c r="AE94" s="145" t="str">
        <f t="shared" si="37"/>
        <v/>
      </c>
      <c r="AF94" s="145" t="str">
        <f t="shared" si="37"/>
        <v/>
      </c>
      <c r="AG94" s="145" t="str">
        <f t="shared" si="37"/>
        <v/>
      </c>
      <c r="AH94" s="145" t="str">
        <f t="shared" si="37"/>
        <v/>
      </c>
      <c r="AI94" s="145" t="str">
        <f t="shared" si="37"/>
        <v/>
      </c>
      <c r="AJ94" s="145" t="str">
        <f t="shared" si="37"/>
        <v/>
      </c>
      <c r="AK94" s="145" t="str">
        <f t="shared" si="37"/>
        <v/>
      </c>
      <c r="AL94" s="145" t="str">
        <f t="shared" si="37"/>
        <v/>
      </c>
      <c r="AM94" s="145" t="str">
        <f t="shared" si="38"/>
        <v/>
      </c>
      <c r="AN94" s="145" t="str">
        <f t="shared" si="38"/>
        <v/>
      </c>
      <c r="AO94" s="145" t="str">
        <f t="shared" si="38"/>
        <v/>
      </c>
      <c r="AP94" s="145" t="str">
        <f t="shared" si="38"/>
        <v/>
      </c>
      <c r="AQ94" s="145" t="str">
        <f t="shared" si="38"/>
        <v/>
      </c>
      <c r="AR94" t="str">
        <f t="shared" si="38"/>
        <v/>
      </c>
      <c r="AS94" t="str">
        <f t="shared" si="34"/>
        <v/>
      </c>
      <c r="AT94" t="str">
        <f t="shared" si="33"/>
        <v/>
      </c>
      <c r="AU94" t="str">
        <f t="shared" si="30"/>
        <v/>
      </c>
      <c r="AV94" t="str">
        <f t="shared" si="30"/>
        <v/>
      </c>
      <c r="AW94" t="str">
        <f t="shared" si="30"/>
        <v/>
      </c>
      <c r="AX94" t="str">
        <f t="shared" si="30"/>
        <v/>
      </c>
      <c r="AY94" t="str">
        <f t="shared" si="30"/>
        <v/>
      </c>
      <c r="AZ94" t="str">
        <f t="shared" si="30"/>
        <v/>
      </c>
      <c r="BB94" s="2" t="s">
        <v>1608</v>
      </c>
      <c r="BC94" s="2">
        <v>12</v>
      </c>
      <c r="BD94" s="2">
        <v>3</v>
      </c>
      <c r="BE94" s="2"/>
      <c r="BF94" s="2">
        <v>75</v>
      </c>
      <c r="BG94" s="2" t="s">
        <v>1360</v>
      </c>
      <c r="BH94" s="10">
        <v>70000000</v>
      </c>
      <c r="BI94" s="2" t="s">
        <v>348</v>
      </c>
      <c r="BJ94" s="2"/>
      <c r="BK94" s="2">
        <v>1</v>
      </c>
      <c r="BL94" s="2">
        <v>6</v>
      </c>
      <c r="BM94" s="2">
        <f t="shared" si="18"/>
        <v>10</v>
      </c>
      <c r="BN94" s="2">
        <f t="shared" si="19"/>
        <v>10</v>
      </c>
      <c r="BO94" s="2">
        <f t="shared" si="20"/>
        <v>0</v>
      </c>
      <c r="BP94" s="2">
        <f t="shared" si="21"/>
        <v>15</v>
      </c>
      <c r="BQ94" s="2">
        <f t="shared" si="22"/>
        <v>14</v>
      </c>
      <c r="BR94" s="2">
        <f t="shared" si="23"/>
        <v>15</v>
      </c>
      <c r="BS94" s="2">
        <f t="shared" si="24"/>
        <v>2</v>
      </c>
    </row>
    <row r="95" spans="22:71">
      <c r="V95">
        <f t="shared" si="27"/>
        <v>0</v>
      </c>
      <c r="W95" s="103">
        <v>18</v>
      </c>
      <c r="X95" s="136">
        <f>VLOOKUP(B29,Table2[],8)</f>
        <v>0</v>
      </c>
      <c r="Y95" s="27">
        <f>VLOOKUP(B29,Table1[],8)</f>
        <v>0</v>
      </c>
      <c r="Z95" s="87">
        <f>IF(AND('Ship Info'!$F$7,'Ship Info'!$C$5&gt;=100),Y95,IF($B$4&lt;100,X95,Y95))</f>
        <v>0</v>
      </c>
      <c r="AA95" s="136" t="str">
        <f>""</f>
        <v/>
      </c>
      <c r="AB95" s="22" t="str">
        <f t="shared" si="31"/>
        <v/>
      </c>
      <c r="AC95" s="22" t="str">
        <f t="shared" si="28"/>
        <v/>
      </c>
      <c r="AD95" s="22" t="str">
        <f t="shared" si="28"/>
        <v/>
      </c>
      <c r="AE95" s="22" t="str">
        <f t="shared" si="37"/>
        <v/>
      </c>
      <c r="AF95" s="22" t="str">
        <f t="shared" si="37"/>
        <v/>
      </c>
      <c r="AG95" s="22" t="str">
        <f t="shared" si="37"/>
        <v/>
      </c>
      <c r="AH95" s="22" t="str">
        <f t="shared" si="37"/>
        <v/>
      </c>
      <c r="AI95" s="22" t="str">
        <f t="shared" si="37"/>
        <v/>
      </c>
      <c r="AJ95" s="22" t="str">
        <f t="shared" si="37"/>
        <v/>
      </c>
      <c r="AK95" s="22" t="str">
        <f t="shared" si="37"/>
        <v/>
      </c>
      <c r="AL95" s="22" t="str">
        <f t="shared" si="37"/>
        <v/>
      </c>
      <c r="AM95" s="22" t="str">
        <f t="shared" si="38"/>
        <v/>
      </c>
      <c r="AN95" s="22" t="str">
        <f t="shared" si="38"/>
        <v/>
      </c>
      <c r="AO95" s="22" t="str">
        <f t="shared" si="38"/>
        <v/>
      </c>
      <c r="AP95" s="22" t="str">
        <f t="shared" si="38"/>
        <v/>
      </c>
      <c r="AQ95" s="22" t="str">
        <f t="shared" si="38"/>
        <v/>
      </c>
      <c r="AR95" s="22" t="str">
        <f t="shared" si="38"/>
        <v/>
      </c>
      <c r="AS95" s="22" t="str">
        <f t="shared" si="34"/>
        <v/>
      </c>
      <c r="AT95" s="22" t="str">
        <f t="shared" si="33"/>
        <v/>
      </c>
      <c r="AU95" s="22" t="str">
        <f t="shared" si="30"/>
        <v/>
      </c>
      <c r="AV95" s="22" t="str">
        <f t="shared" si="30"/>
        <v/>
      </c>
      <c r="AW95" s="22" t="str">
        <f t="shared" si="30"/>
        <v/>
      </c>
      <c r="AX95" s="22" t="str">
        <f t="shared" si="30"/>
        <v/>
      </c>
      <c r="AY95" s="22" t="str">
        <f t="shared" si="30"/>
        <v/>
      </c>
      <c r="AZ95" s="22" t="str">
        <f t="shared" si="30"/>
        <v/>
      </c>
      <c r="BB95" s="2" t="s">
        <v>1632</v>
      </c>
      <c r="BC95" s="2">
        <v>12</v>
      </c>
      <c r="BD95" s="2">
        <v>3</v>
      </c>
      <c r="BE95" s="2"/>
      <c r="BF95" s="2">
        <v>15</v>
      </c>
      <c r="BG95" s="2" t="s">
        <v>1346</v>
      </c>
      <c r="BH95" s="10">
        <v>50000000</v>
      </c>
      <c r="BI95" s="2" t="s">
        <v>348</v>
      </c>
      <c r="BJ95" s="2"/>
      <c r="BK95" s="2">
        <v>1</v>
      </c>
      <c r="BL95" s="2">
        <v>5</v>
      </c>
      <c r="BM95" s="2">
        <f t="shared" si="18"/>
        <v>10</v>
      </c>
      <c r="BN95" s="2">
        <f t="shared" si="19"/>
        <v>10</v>
      </c>
      <c r="BO95" s="2">
        <f t="shared" si="20"/>
        <v>0</v>
      </c>
      <c r="BP95" s="2">
        <f t="shared" si="21"/>
        <v>15</v>
      </c>
      <c r="BQ95" s="2">
        <f t="shared" si="22"/>
        <v>15</v>
      </c>
      <c r="BR95" s="2">
        <f t="shared" si="23"/>
        <v>15</v>
      </c>
      <c r="BS95" s="2">
        <f t="shared" si="24"/>
        <v>2</v>
      </c>
    </row>
    <row r="96" spans="22:71">
      <c r="V96">
        <f t="shared" si="27"/>
        <v>0</v>
      </c>
      <c r="W96" s="1">
        <v>19</v>
      </c>
      <c r="X96" s="92">
        <f>VLOOKUP(B30,Table2[],8)</f>
        <v>0</v>
      </c>
      <c r="Y96" s="2">
        <f>VLOOKUP(B30,Table1[],8)</f>
        <v>0</v>
      </c>
      <c r="Z96" s="87">
        <f>IF(AND('Ship Info'!$F$7,'Ship Info'!$C$5&gt;=100),Y96,IF($B$4&lt;100,X96,Y96))</f>
        <v>0</v>
      </c>
      <c r="AA96" s="92" t="str">
        <f>""</f>
        <v/>
      </c>
      <c r="AB96" t="str">
        <f t="shared" si="31"/>
        <v/>
      </c>
      <c r="AC96" t="str">
        <f t="shared" si="28"/>
        <v/>
      </c>
      <c r="AD96" t="str">
        <f t="shared" si="28"/>
        <v/>
      </c>
      <c r="AE96" s="145" t="str">
        <f t="shared" si="37"/>
        <v/>
      </c>
      <c r="AF96" s="145" t="str">
        <f t="shared" si="37"/>
        <v/>
      </c>
      <c r="AG96" s="145" t="str">
        <f t="shared" si="37"/>
        <v/>
      </c>
      <c r="AH96" s="145" t="str">
        <f t="shared" si="37"/>
        <v/>
      </c>
      <c r="AI96" s="145" t="str">
        <f t="shared" si="37"/>
        <v/>
      </c>
      <c r="AJ96" s="145" t="str">
        <f t="shared" si="37"/>
        <v/>
      </c>
      <c r="AK96" s="145" t="str">
        <f t="shared" si="37"/>
        <v/>
      </c>
      <c r="AL96" s="145" t="str">
        <f t="shared" si="37"/>
        <v/>
      </c>
      <c r="AM96" s="145" t="str">
        <f t="shared" si="38"/>
        <v/>
      </c>
      <c r="AN96" s="145" t="str">
        <f t="shared" si="38"/>
        <v/>
      </c>
      <c r="AO96" s="145" t="str">
        <f t="shared" si="38"/>
        <v/>
      </c>
      <c r="AP96" s="145" t="str">
        <f t="shared" si="38"/>
        <v/>
      </c>
      <c r="AQ96" s="145" t="str">
        <f t="shared" si="38"/>
        <v/>
      </c>
      <c r="AR96" t="str">
        <f t="shared" si="38"/>
        <v/>
      </c>
      <c r="AS96" t="str">
        <f t="shared" si="34"/>
        <v/>
      </c>
      <c r="AT96" t="str">
        <f t="shared" si="33"/>
        <v/>
      </c>
      <c r="AU96" t="str">
        <f t="shared" si="30"/>
        <v/>
      </c>
      <c r="AV96" t="str">
        <f t="shared" si="30"/>
        <v/>
      </c>
      <c r="AW96" t="str">
        <f t="shared" si="30"/>
        <v/>
      </c>
      <c r="AX96" t="str">
        <f t="shared" si="30"/>
        <v/>
      </c>
      <c r="AY96" t="str">
        <f t="shared" si="30"/>
        <v/>
      </c>
      <c r="AZ96" t="str">
        <f t="shared" si="30"/>
        <v/>
      </c>
      <c r="BB96" s="2" t="s">
        <v>1633</v>
      </c>
      <c r="BC96" s="2">
        <v>12</v>
      </c>
      <c r="BD96" s="2">
        <v>3</v>
      </c>
      <c r="BE96" s="2"/>
      <c r="BF96" s="2">
        <v>10</v>
      </c>
      <c r="BG96" s="2" t="s">
        <v>1343</v>
      </c>
      <c r="BH96" s="10">
        <v>30000000</v>
      </c>
      <c r="BI96" s="2" t="s">
        <v>338</v>
      </c>
      <c r="BJ96" s="2"/>
      <c r="BK96" s="2">
        <v>1</v>
      </c>
      <c r="BL96" s="2">
        <v>4</v>
      </c>
      <c r="BM96" s="2">
        <f t="shared" si="18"/>
        <v>10</v>
      </c>
      <c r="BN96" s="2">
        <f t="shared" si="19"/>
        <v>10</v>
      </c>
      <c r="BO96" s="2">
        <f t="shared" si="20"/>
        <v>0</v>
      </c>
      <c r="BP96" s="2">
        <f t="shared" si="21"/>
        <v>16</v>
      </c>
      <c r="BQ96" s="2">
        <f t="shared" si="22"/>
        <v>15</v>
      </c>
      <c r="BR96" s="2">
        <f t="shared" si="23"/>
        <v>15</v>
      </c>
      <c r="BS96" s="2">
        <f t="shared" si="24"/>
        <v>2</v>
      </c>
    </row>
    <row r="97" spans="22:71">
      <c r="V97">
        <f t="shared" si="27"/>
        <v>0</v>
      </c>
      <c r="W97" s="103">
        <v>20</v>
      </c>
      <c r="X97" s="138">
        <f>VLOOKUP(B31,Table2[],8)</f>
        <v>0</v>
      </c>
      <c r="Y97" s="139">
        <f>VLOOKUP(B31,Table1[],8)</f>
        <v>0</v>
      </c>
      <c r="Z97" s="87">
        <f>IF(AND('Ship Info'!$F$7,'Ship Info'!$C$5&gt;=100),Y97,IF($B$4&lt;100,X97,Y97))</f>
        <v>0</v>
      </c>
      <c r="AA97" s="138" t="str">
        <f>""</f>
        <v/>
      </c>
      <c r="AB97" s="22" t="str">
        <f t="shared" si="31"/>
        <v/>
      </c>
      <c r="AC97" s="22" t="str">
        <f t="shared" si="28"/>
        <v/>
      </c>
      <c r="AD97" s="22" t="str">
        <f t="shared" si="28"/>
        <v/>
      </c>
      <c r="AE97" s="82" t="str">
        <f t="shared" si="37"/>
        <v/>
      </c>
      <c r="AF97" s="82" t="str">
        <f t="shared" si="37"/>
        <v/>
      </c>
      <c r="AG97" s="82" t="str">
        <f t="shared" si="37"/>
        <v/>
      </c>
      <c r="AH97" s="82" t="str">
        <f t="shared" si="37"/>
        <v/>
      </c>
      <c r="AI97" s="82" t="str">
        <f t="shared" si="37"/>
        <v/>
      </c>
      <c r="AJ97" s="82" t="str">
        <f t="shared" si="37"/>
        <v/>
      </c>
      <c r="AK97" s="82" t="str">
        <f t="shared" si="37"/>
        <v/>
      </c>
      <c r="AL97" s="82" t="str">
        <f t="shared" si="37"/>
        <v/>
      </c>
      <c r="AM97" s="82" t="str">
        <f t="shared" si="38"/>
        <v/>
      </c>
      <c r="AN97" s="82" t="str">
        <f t="shared" si="38"/>
        <v/>
      </c>
      <c r="AO97" s="82" t="str">
        <f t="shared" si="38"/>
        <v/>
      </c>
      <c r="AP97" s="82" t="str">
        <f t="shared" si="38"/>
        <v/>
      </c>
      <c r="AQ97" s="82" t="str">
        <f t="shared" si="38"/>
        <v/>
      </c>
      <c r="AR97" s="82" t="str">
        <f t="shared" si="38"/>
        <v/>
      </c>
      <c r="AS97" s="22" t="str">
        <f t="shared" si="34"/>
        <v/>
      </c>
      <c r="AT97" s="22" t="str">
        <f t="shared" si="33"/>
        <v/>
      </c>
      <c r="AU97" s="22" t="str">
        <f t="shared" si="33"/>
        <v/>
      </c>
      <c r="AV97" s="22" t="str">
        <f t="shared" si="33"/>
        <v/>
      </c>
      <c r="AW97" s="22" t="str">
        <f t="shared" si="33"/>
        <v/>
      </c>
      <c r="AX97" s="22" t="str">
        <f t="shared" si="33"/>
        <v/>
      </c>
      <c r="AY97" s="22" t="str">
        <f t="shared" si="33"/>
        <v/>
      </c>
      <c r="AZ97" s="22" t="str">
        <f>IF($Z97=0,AZ$99,IF($Z97=1,AZ$100,IF($Z97=2,AZ$101,IF($Z97=3,AZ$102,IF($Z97=4,AZ$103,IF($Z97=5,AZ$104,IF($Z97=6,AZ$105,AZ$106)))))))</f>
        <v/>
      </c>
      <c r="BB97" s="2" t="s">
        <v>1634</v>
      </c>
      <c r="BC97" s="2">
        <v>13</v>
      </c>
      <c r="BD97" s="2">
        <v>3</v>
      </c>
      <c r="BE97" s="2"/>
      <c r="BF97" s="2">
        <v>200</v>
      </c>
      <c r="BG97" s="2" t="s">
        <v>332</v>
      </c>
      <c r="BH97" s="10">
        <v>90000000</v>
      </c>
      <c r="BI97" s="2" t="s">
        <v>1585</v>
      </c>
      <c r="BJ97" s="2"/>
      <c r="BK97" s="2">
        <v>1</v>
      </c>
      <c r="BL97" s="2">
        <v>6</v>
      </c>
      <c r="BM97" s="2">
        <f t="shared" si="18"/>
        <v>10</v>
      </c>
      <c r="BN97" s="2">
        <f t="shared" si="19"/>
        <v>10</v>
      </c>
      <c r="BO97" s="2">
        <f t="shared" si="20"/>
        <v>0</v>
      </c>
      <c r="BP97" s="2">
        <f t="shared" si="21"/>
        <v>16</v>
      </c>
      <c r="BQ97" s="2">
        <f t="shared" si="22"/>
        <v>15</v>
      </c>
      <c r="BR97" s="2">
        <f t="shared" si="23"/>
        <v>16</v>
      </c>
      <c r="BS97" s="2">
        <f t="shared" si="24"/>
        <v>2</v>
      </c>
    </row>
    <row r="98" spans="22:71">
      <c r="BB98" s="2" t="s">
        <v>1635</v>
      </c>
      <c r="BC98" s="2">
        <v>14</v>
      </c>
      <c r="BD98" s="2">
        <v>3</v>
      </c>
      <c r="BE98" s="2"/>
      <c r="BF98" s="2">
        <v>100</v>
      </c>
      <c r="BG98" s="2" t="s">
        <v>332</v>
      </c>
      <c r="BH98" s="10">
        <v>60000000</v>
      </c>
      <c r="BI98" s="2" t="s">
        <v>1588</v>
      </c>
      <c r="BJ98" s="2"/>
      <c r="BK98" s="2">
        <v>1</v>
      </c>
      <c r="BL98" s="2">
        <v>5</v>
      </c>
      <c r="BM98" s="2">
        <f t="shared" si="18"/>
        <v>10</v>
      </c>
      <c r="BN98" s="2">
        <f t="shared" si="19"/>
        <v>10</v>
      </c>
      <c r="BO98" s="2">
        <f t="shared" si="20"/>
        <v>0</v>
      </c>
      <c r="BP98" s="2">
        <f t="shared" si="21"/>
        <v>16</v>
      </c>
      <c r="BQ98" s="2">
        <f t="shared" si="22"/>
        <v>16</v>
      </c>
      <c r="BR98" s="2">
        <f t="shared" si="23"/>
        <v>16</v>
      </c>
      <c r="BS98" s="2">
        <f t="shared" si="24"/>
        <v>2</v>
      </c>
    </row>
    <row r="99" spans="22:71">
      <c r="V99" t="str">
        <f>""</f>
        <v/>
      </c>
      <c r="W99">
        <v>0</v>
      </c>
      <c r="Z99" s="44" t="s">
        <v>61</v>
      </c>
      <c r="AA99" s="130" t="str">
        <f>""</f>
        <v/>
      </c>
      <c r="AB99" s="130" t="str">
        <f>""</f>
        <v/>
      </c>
      <c r="AC99" s="130" t="str">
        <f>""</f>
        <v/>
      </c>
      <c r="AD99" s="130" t="str">
        <f>""</f>
        <v/>
      </c>
      <c r="AE99" s="130" t="str">
        <f>""</f>
        <v/>
      </c>
      <c r="AF99" s="130" t="str">
        <f>""</f>
        <v/>
      </c>
      <c r="AG99" s="130" t="str">
        <f>""</f>
        <v/>
      </c>
      <c r="AH99" s="130" t="str">
        <f>""</f>
        <v/>
      </c>
      <c r="AI99" s="130" t="str">
        <f>""</f>
        <v/>
      </c>
      <c r="AJ99" s="130" t="str">
        <f>""</f>
        <v/>
      </c>
      <c r="AK99" s="130" t="str">
        <f>""</f>
        <v/>
      </c>
      <c r="AL99" s="130" t="str">
        <f>""</f>
        <v/>
      </c>
      <c r="AM99" s="130" t="str">
        <f>""</f>
        <v/>
      </c>
      <c r="AN99" s="130" t="str">
        <f>""</f>
        <v/>
      </c>
      <c r="AO99" s="130" t="str">
        <f>""</f>
        <v/>
      </c>
      <c r="AP99" s="45" t="str">
        <f>""</f>
        <v/>
      </c>
      <c r="AQ99" s="45" t="str">
        <f>""</f>
        <v/>
      </c>
      <c r="AR99" s="45" t="str">
        <f>""</f>
        <v/>
      </c>
      <c r="AS99" s="45" t="str">
        <f>""</f>
        <v/>
      </c>
      <c r="AT99" s="45" t="str">
        <f>""</f>
        <v/>
      </c>
      <c r="AU99" s="45" t="str">
        <f>""</f>
        <v/>
      </c>
      <c r="AV99" s="45" t="str">
        <f>""</f>
        <v/>
      </c>
      <c r="AW99" s="45" t="str">
        <f>""</f>
        <v/>
      </c>
      <c r="AX99" s="45" t="str">
        <f>""</f>
        <v/>
      </c>
      <c r="AY99" s="45" t="str">
        <f>""</f>
        <v/>
      </c>
      <c r="AZ99" s="47" t="str">
        <f>""</f>
        <v/>
      </c>
      <c r="BA99" s="46" t="str">
        <f>""</f>
        <v/>
      </c>
      <c r="BB99" s="2" t="s">
        <v>1636</v>
      </c>
      <c r="BC99" s="2">
        <v>15</v>
      </c>
      <c r="BD99" s="2">
        <v>3</v>
      </c>
      <c r="BE99" s="2"/>
      <c r="BF99" s="2">
        <v>50</v>
      </c>
      <c r="BG99" s="2" t="s">
        <v>332</v>
      </c>
      <c r="BH99" s="10">
        <v>30000000</v>
      </c>
      <c r="BI99" s="2" t="s">
        <v>1587</v>
      </c>
      <c r="BJ99" s="2"/>
      <c r="BK99" s="2">
        <v>1</v>
      </c>
      <c r="BL99" s="2">
        <v>4</v>
      </c>
      <c r="BM99" s="2">
        <f t="shared" si="18"/>
        <v>10</v>
      </c>
      <c r="BN99" s="2">
        <f t="shared" si="19"/>
        <v>10</v>
      </c>
      <c r="BO99" s="2">
        <f t="shared" si="20"/>
        <v>0</v>
      </c>
      <c r="BP99" s="2">
        <f t="shared" si="21"/>
        <v>17</v>
      </c>
      <c r="BQ99" s="2">
        <f t="shared" si="22"/>
        <v>16</v>
      </c>
      <c r="BR99" s="2">
        <f t="shared" si="23"/>
        <v>16</v>
      </c>
      <c r="BS99" s="2">
        <f t="shared" si="24"/>
        <v>2</v>
      </c>
    </row>
    <row r="100" spans="22:71">
      <c r="V100" t="s">
        <v>1138</v>
      </c>
      <c r="W100">
        <v>1</v>
      </c>
      <c r="Z100" s="78" t="s">
        <v>336</v>
      </c>
      <c r="AA100" s="2" t="str">
        <f>""</f>
        <v/>
      </c>
      <c r="AB100" s="2" t="str">
        <f>INDEX(Table3[],MATCH(1,Table3[1],0),1)</f>
        <v>Beam Laser</v>
      </c>
      <c r="AC100" s="2" t="str">
        <f>INDEX(Table3[],MATCH(2,Table3[1],0),1)</f>
        <v>Burst Laser</v>
      </c>
      <c r="AD100" s="2" t="str">
        <f>INDEX(Table3[],MATCH(3,Table3[1],0),1)</f>
        <v>Fusion Gun</v>
      </c>
      <c r="AE100" s="2" t="str">
        <f>INDEX(Table3[],MATCH(4,Table3[1],0),1)</f>
        <v>Laser Drill</v>
      </c>
      <c r="AF100" s="2" t="str">
        <f>INDEX(Table3[],MATCH(5,Table3[1],0),1)</f>
        <v>Missile Rack</v>
      </c>
      <c r="AG100" s="2" t="str">
        <f>INDEX(Table3[],MATCH(6,Table3[1],0),1)</f>
        <v>Particle Beam</v>
      </c>
      <c r="AH100" s="2" t="str">
        <f>INDEX(Table3[],MATCH(7,Table3[1],0),1)</f>
        <v>Plasma Gun</v>
      </c>
      <c r="AI100" s="2" t="str">
        <f>INDEX(Table3[],MATCH(8,Table3[1],0),1)</f>
        <v>Plasma-pulse Cannon (T)</v>
      </c>
      <c r="AJ100" s="2" t="str">
        <f>INDEX(Table3[],MATCH(9,Table3[1],0),1)</f>
        <v>Pulse Laser</v>
      </c>
      <c r="AK100" s="2" t="str">
        <f>INDEX(Table3[],MATCH(10,Table3[1],0),1)</f>
        <v>Railgun</v>
      </c>
      <c r="AL100" s="2" t="str">
        <f>INDEX(Table3[],MATCH(11,Table3[1],0),1)</f>
        <v>Sandcaster</v>
      </c>
      <c r="AM100" s="2" t="str">
        <f>INDEX(Table3[],MATCH(12,Table3[1],0),1)</f>
        <v>Torpedo Interceptor Cluster</v>
      </c>
      <c r="AN100" s="2" t="str">
        <f>IF($AC$108=1,$AB$108,"")</f>
        <v/>
      </c>
      <c r="AO100" s="2" t="str">
        <f>IF($AC$109=1,$AB$109,"")</f>
        <v/>
      </c>
      <c r="AP100" s="2" t="str">
        <f>IF($AC$110=1,$AB$110,"")</f>
        <v/>
      </c>
      <c r="AQ100" s="2" t="str">
        <f>""</f>
        <v/>
      </c>
      <c r="AR100" s="2" t="str">
        <f>""</f>
        <v/>
      </c>
      <c r="AS100" s="2" t="str">
        <f>""</f>
        <v/>
      </c>
      <c r="AT100" s="2" t="str">
        <f>""</f>
        <v/>
      </c>
      <c r="AU100" s="2" t="str">
        <f>""</f>
        <v/>
      </c>
      <c r="AV100" s="2" t="str">
        <f>""</f>
        <v/>
      </c>
      <c r="AW100" s="2" t="str">
        <f>""</f>
        <v/>
      </c>
      <c r="AX100" s="2" t="str">
        <f>""</f>
        <v/>
      </c>
      <c r="AY100" s="2" t="str">
        <f>""</f>
        <v/>
      </c>
      <c r="AZ100" s="46" t="str">
        <f>""</f>
        <v/>
      </c>
      <c r="BA100" s="46" t="str">
        <f>""</f>
        <v/>
      </c>
      <c r="BB100" s="2" t="s">
        <v>1582</v>
      </c>
      <c r="BC100" s="2">
        <v>14</v>
      </c>
      <c r="BD100" s="2">
        <v>3</v>
      </c>
      <c r="BE100" s="2"/>
      <c r="BF100" s="2">
        <v>200</v>
      </c>
      <c r="BG100" s="2" t="s">
        <v>332</v>
      </c>
      <c r="BH100" s="10">
        <v>90000000</v>
      </c>
      <c r="BI100" s="2" t="s">
        <v>1589</v>
      </c>
      <c r="BJ100" s="2"/>
      <c r="BK100" s="2">
        <v>1</v>
      </c>
      <c r="BL100" s="2">
        <v>6</v>
      </c>
      <c r="BM100" s="2">
        <f t="shared" si="18"/>
        <v>10</v>
      </c>
      <c r="BN100" s="2">
        <f t="shared" si="19"/>
        <v>10</v>
      </c>
      <c r="BO100" s="2">
        <f t="shared" si="20"/>
        <v>0</v>
      </c>
      <c r="BP100" s="2">
        <f t="shared" si="21"/>
        <v>17</v>
      </c>
      <c r="BQ100" s="2">
        <f t="shared" si="22"/>
        <v>16</v>
      </c>
      <c r="BR100" s="2">
        <f t="shared" si="23"/>
        <v>17</v>
      </c>
      <c r="BS100" s="2">
        <f t="shared" si="24"/>
        <v>2</v>
      </c>
    </row>
    <row r="101" spans="22:71">
      <c r="V101" t="s">
        <v>1139</v>
      </c>
      <c r="W101">
        <v>2</v>
      </c>
      <c r="Z101" s="78" t="s">
        <v>309</v>
      </c>
      <c r="AA101" s="2" t="str">
        <f>""</f>
        <v/>
      </c>
      <c r="AB101" s="2" t="str">
        <f>INDEX(Table3[],MATCH(1,Table3[2],0),1)</f>
        <v>Beam Laser Barbette</v>
      </c>
      <c r="AC101" s="2" t="str">
        <f>INDEX(Table3[],MATCH(2,Table3[2],0),1)</f>
        <v>Fusion Barbette</v>
      </c>
      <c r="AD101" s="2" t="str">
        <f>INDEX(Table3[],MATCH(3,Table3[2],0),1)</f>
        <v>Gravimetric Distorter</v>
      </c>
      <c r="AE101" s="2" t="str">
        <f>INDEX(Table3[],MATCH(4,Table3[2],0),1)</f>
        <v>Ion Cannon</v>
      </c>
      <c r="AF101" s="2" t="str">
        <f>INDEX(Table3[],MATCH(5,Table3[2],0),1)</f>
        <v>Missile Barbette</v>
      </c>
      <c r="AG101" s="2" t="str">
        <f>INDEX(Table3[],MATCH(6,Table3[2],0),1)</f>
        <v>Particle Barbette</v>
      </c>
      <c r="AH101" s="2" t="str">
        <f>INDEX(Table3[],MATCH(7,Table3[2],0),1)</f>
        <v>Plasma Barbette</v>
      </c>
      <c r="AI101" s="2" t="str">
        <f>INDEX(Table3[],MATCH(8,Table3[2],0),1)</f>
        <v>Plasma-pulse Cannon (Brbt)</v>
      </c>
      <c r="AJ101" s="2" t="str">
        <f>INDEX(Table3[],MATCH(9,Table3[2],0),1)</f>
        <v>Pulse Laser Barbette</v>
      </c>
      <c r="AK101" s="2" t="str">
        <f>INDEX(Table3[],MATCH(10,Table3[2],0),1)</f>
        <v>Railgun (B)</v>
      </c>
      <c r="AL101" s="2" t="str">
        <f>INDEX(Table3[],MATCH(11,Table3[2],0),1)</f>
        <v>Tachyon Cannon</v>
      </c>
      <c r="AM101" s="2" t="str">
        <f>INDEX(Table3[],MATCH(12,Table3[2],0),1)</f>
        <v>Torpedo</v>
      </c>
      <c r="AN101" s="2" t="str">
        <f>IF(AD108=2,AC108,"")</f>
        <v/>
      </c>
      <c r="AO101" s="2" t="str">
        <f>IF(AD109=2,AC109,"")</f>
        <v/>
      </c>
      <c r="AP101" s="2" t="str">
        <f>IF(AD110=2,AC110,"")</f>
        <v/>
      </c>
      <c r="AQ101" t="str">
        <f>""</f>
        <v/>
      </c>
      <c r="AR101" t="str">
        <f>""</f>
        <v/>
      </c>
      <c r="AS101" t="str">
        <f>""</f>
        <v/>
      </c>
      <c r="AT101" t="str">
        <f>""</f>
        <v/>
      </c>
      <c r="AU101" t="str">
        <f>""</f>
        <v/>
      </c>
      <c r="AV101" t="str">
        <f>""</f>
        <v/>
      </c>
      <c r="AW101" t="str">
        <f>""</f>
        <v/>
      </c>
      <c r="AX101" t="str">
        <f>""</f>
        <v/>
      </c>
      <c r="AY101" t="str">
        <f>""</f>
        <v/>
      </c>
      <c r="AZ101" s="46" t="str">
        <f>""</f>
        <v/>
      </c>
      <c r="BA101" s="46" t="str">
        <f>""</f>
        <v/>
      </c>
      <c r="BB101" s="2" t="s">
        <v>1583</v>
      </c>
      <c r="BC101" s="2">
        <v>15</v>
      </c>
      <c r="BD101" s="2">
        <v>3</v>
      </c>
      <c r="BE101" s="2"/>
      <c r="BF101" s="2">
        <v>100</v>
      </c>
      <c r="BG101" s="2" t="s">
        <v>332</v>
      </c>
      <c r="BH101" s="10">
        <v>66000000</v>
      </c>
      <c r="BI101" s="2" t="s">
        <v>1586</v>
      </c>
      <c r="BJ101" s="2"/>
      <c r="BK101" s="2">
        <v>1</v>
      </c>
      <c r="BL101" s="2">
        <v>5</v>
      </c>
      <c r="BM101" s="2">
        <f t="shared" si="18"/>
        <v>10</v>
      </c>
      <c r="BN101" s="2">
        <f t="shared" si="19"/>
        <v>10</v>
      </c>
      <c r="BO101" s="2">
        <f t="shared" si="20"/>
        <v>0</v>
      </c>
      <c r="BP101" s="2">
        <f t="shared" si="21"/>
        <v>17</v>
      </c>
      <c r="BQ101" s="2">
        <f t="shared" si="22"/>
        <v>17</v>
      </c>
      <c r="BR101" s="2">
        <f t="shared" si="23"/>
        <v>17</v>
      </c>
      <c r="BS101" s="2">
        <f t="shared" si="24"/>
        <v>2</v>
      </c>
    </row>
    <row r="102" spans="22:71">
      <c r="V102" t="s">
        <v>1140</v>
      </c>
      <c r="W102">
        <v>3</v>
      </c>
      <c r="Z102" s="78" t="s">
        <v>255</v>
      </c>
      <c r="AA102" s="2" t="str">
        <f>""</f>
        <v/>
      </c>
      <c r="AB102" s="2" t="str">
        <f>INDEX(Table3[],MATCH(1,Table3[3],0),1)</f>
        <v>Type I -G</v>
      </c>
      <c r="AC102" s="2" t="str">
        <f>INDEX(Table3[],MATCH(2,Table3[3],0),1)</f>
        <v>Type I -L</v>
      </c>
      <c r="AD102" s="2" t="str">
        <f>INDEX(Table3[],MATCH(3,Table3[3],0),1)</f>
        <v>Type II -G</v>
      </c>
      <c r="AE102" s="2" t="str">
        <f>INDEX(Table3[],MATCH(4,Table3[3],0),1)</f>
        <v>Type II -L</v>
      </c>
      <c r="AF102" s="2" t="str">
        <f>INDEX(Table3[],MATCH(5,Table3[3],0),1)</f>
        <v>Type III -G</v>
      </c>
      <c r="AG102" s="2" t="str">
        <f>INDEX(Table3[],MATCH(6,Table3[3],0),1)</f>
        <v>Type III -L</v>
      </c>
      <c r="AH102" s="2" t="str">
        <f>""</f>
        <v/>
      </c>
      <c r="AI102" s="2" t="str">
        <f>""</f>
        <v/>
      </c>
      <c r="AJ102" s="2" t="str">
        <f>""</f>
        <v/>
      </c>
      <c r="AK102" s="2" t="str">
        <f>""</f>
        <v/>
      </c>
      <c r="AL102" s="2" t="str">
        <f>""</f>
        <v/>
      </c>
      <c r="AM102" s="2" t="str">
        <f>""</f>
        <v/>
      </c>
      <c r="AN102" s="2" t="str">
        <f>""</f>
        <v/>
      </c>
      <c r="AO102" s="2" t="str">
        <f>""</f>
        <v/>
      </c>
      <c r="AP102" t="str">
        <f>""</f>
        <v/>
      </c>
      <c r="AQ102" t="str">
        <f>""</f>
        <v/>
      </c>
      <c r="AR102" t="str">
        <f>""</f>
        <v/>
      </c>
      <c r="AS102" t="str">
        <f>""</f>
        <v/>
      </c>
      <c r="AT102" t="str">
        <f>""</f>
        <v/>
      </c>
      <c r="AU102" t="str">
        <f>""</f>
        <v/>
      </c>
      <c r="AV102" t="str">
        <f>""</f>
        <v/>
      </c>
      <c r="AW102" t="str">
        <f>""</f>
        <v/>
      </c>
      <c r="AX102" t="str">
        <f>""</f>
        <v/>
      </c>
      <c r="AY102" t="str">
        <f>""</f>
        <v/>
      </c>
      <c r="AZ102" s="46" t="str">
        <f>""</f>
        <v/>
      </c>
      <c r="BA102" s="46" t="str">
        <f>""</f>
        <v/>
      </c>
      <c r="BB102" s="2" t="s">
        <v>1584</v>
      </c>
      <c r="BC102" s="2">
        <v>16</v>
      </c>
      <c r="BD102" s="2">
        <v>3</v>
      </c>
      <c r="BE102" s="2"/>
      <c r="BF102" s="2">
        <v>50</v>
      </c>
      <c r="BG102" s="2" t="s">
        <v>332</v>
      </c>
      <c r="BH102" s="10">
        <v>30000000</v>
      </c>
      <c r="BI102" s="2" t="s">
        <v>1588</v>
      </c>
      <c r="BJ102" s="2"/>
      <c r="BK102" s="2">
        <v>1</v>
      </c>
      <c r="BL102" s="2">
        <v>4</v>
      </c>
      <c r="BM102" s="2">
        <f t="shared" si="18"/>
        <v>10</v>
      </c>
      <c r="BN102" s="2">
        <f t="shared" si="19"/>
        <v>10</v>
      </c>
      <c r="BO102" s="2">
        <f t="shared" si="20"/>
        <v>0</v>
      </c>
      <c r="BP102" s="2">
        <f t="shared" si="21"/>
        <v>18</v>
      </c>
      <c r="BQ102" s="2">
        <f t="shared" si="22"/>
        <v>17</v>
      </c>
      <c r="BR102" s="2">
        <f t="shared" si="23"/>
        <v>17</v>
      </c>
      <c r="BS102" s="2">
        <f t="shared" si="24"/>
        <v>2</v>
      </c>
    </row>
    <row r="103" spans="22:71">
      <c r="V103" t="s">
        <v>1141</v>
      </c>
      <c r="W103">
        <v>4</v>
      </c>
      <c r="Z103" s="78" t="s">
        <v>346</v>
      </c>
      <c r="AA103" s="2" t="str">
        <f>""</f>
        <v/>
      </c>
      <c r="AB103" s="2" t="str">
        <f>INDEX(Table3[],MATCH(1,Table3[4],0),1)</f>
        <v>Antimatter Streamer Bay (S)</v>
      </c>
      <c r="AC103" s="2" t="str">
        <f>INDEX(Table3[],MATCH(2,Table3[4],0),1)</f>
        <v>Beam Laser Bay (S)</v>
      </c>
      <c r="AD103" s="2" t="str">
        <f>INDEX(Table3[],MATCH(3,Table3[4],0),1)</f>
        <v>Fusion Gun Bay (S)</v>
      </c>
      <c r="AE103" s="2" t="str">
        <f>INDEX(Table3[],MATCH(4,Table3[4],0),1)</f>
        <v>GP Mass Driver</v>
      </c>
      <c r="AF103" s="2" t="str">
        <f>INDEX(Table3[],MATCH(5,Table3[4],0),1)</f>
        <v>Hullcutter Bay (S)</v>
      </c>
      <c r="AG103" s="2" t="str">
        <f>INDEX(Table3[],MATCH(6,Table3[4],0),1)</f>
        <v>Ion Cannon Bay (S)</v>
      </c>
      <c r="AH103" s="2" t="str">
        <f>INDEX(Table3[],MATCH(7,Table3[4],0),1)</f>
        <v>Mass Driver Bay (S)</v>
      </c>
      <c r="AI103" s="2" t="str">
        <f>INDEX(Table3[],MATCH(8,Table3[4],0),1)</f>
        <v>Meson Gun Bay (S)</v>
      </c>
      <c r="AJ103" s="2" t="str">
        <f>INDEX(Table3[],MATCH(9,Table3[4],0),1)</f>
        <v>Missile Bay (S)</v>
      </c>
      <c r="AK103" s="2" t="str">
        <f>INDEX(Table3[],MATCH(10,Table3[4],0),1)</f>
        <v>Neutron Laser Bay (S)</v>
      </c>
      <c r="AL103" s="2" t="str">
        <f>INDEX(Table3[],MATCH(11,Table3[4],0),1)</f>
        <v>Orbital Strike MD (S)</v>
      </c>
      <c r="AM103" s="2" t="str">
        <f>INDEX(Table3[],MATCH(12,Table3[4],0),1)</f>
        <v>Orbital Strike Ms (S)</v>
      </c>
      <c r="AN103" s="2" t="str">
        <f>INDEX(Table3[],MATCH(13,Table3[4],0),1)</f>
        <v>Particle Beam Bay (S)</v>
      </c>
      <c r="AO103" s="2" t="str">
        <f>INDEX(Table3[],MATCH(14,Table3[4],0),1)</f>
        <v>Plasma-pulse Cannon Bay (S)</v>
      </c>
      <c r="AP103" s="2" t="str">
        <f>INDEX(Table3[],MATCH(15,Table3[4],0),1)</f>
        <v>Pulse Laser Bay (S)</v>
      </c>
      <c r="AQ103" s="2" t="str">
        <f>INDEX(Table3[],MATCH(16,Table3[4],0),1)</f>
        <v>Railgun Bay (S)</v>
      </c>
      <c r="AR103" s="2" t="str">
        <f>INDEX(Table3[],MATCH(17,Table3[4],0),1)</f>
        <v>Repulsor Bay (S)</v>
      </c>
      <c r="AS103" s="2" t="str">
        <f>INDEX(Table3[],MATCH(18,Table3[4],0),1)</f>
        <v>Repulsor Bay Adv (S)</v>
      </c>
      <c r="AT103" s="2" t="str">
        <f>INDEX(Table3[],MATCH(19,Table3[4],0),1)</f>
        <v>Tachyon Cannon Bay (S)</v>
      </c>
      <c r="AU103" t="str">
        <f>INDEX(Table3[],MATCH(20,Table3[4],0),1)</f>
        <v>Torpedo Bay (S)</v>
      </c>
      <c r="AV103" t="str">
        <f>IF($AC$108=4,$AB$108,"")</f>
        <v/>
      </c>
      <c r="AW103" t="str">
        <f>IF($AC$109=4,$AB$109,"")</f>
        <v/>
      </c>
      <c r="AX103" t="str">
        <f>IF($AC$110=4,$AB$110,"")</f>
        <v/>
      </c>
      <c r="AY103" t="str">
        <f>""</f>
        <v/>
      </c>
      <c r="AZ103" s="46" t="str">
        <f>""</f>
        <v/>
      </c>
      <c r="BA103" s="46" t="str">
        <f>""</f>
        <v/>
      </c>
      <c r="BB103" s="2" t="s">
        <v>630</v>
      </c>
      <c r="BC103" s="2">
        <v>9</v>
      </c>
      <c r="BD103" s="2">
        <v>8</v>
      </c>
      <c r="BE103" s="2">
        <v>8</v>
      </c>
      <c r="BF103" s="2">
        <v>0</v>
      </c>
      <c r="BG103" s="2" t="s">
        <v>332</v>
      </c>
      <c r="BH103" s="10">
        <v>250000</v>
      </c>
      <c r="BI103" s="2" t="str">
        <f>""</f>
        <v/>
      </c>
      <c r="BJ103" s="2"/>
      <c r="BK103" s="2">
        <v>1</v>
      </c>
      <c r="BL103" s="2">
        <v>1</v>
      </c>
      <c r="BM103" s="2">
        <f t="shared" si="18"/>
        <v>11</v>
      </c>
      <c r="BN103" s="2">
        <f t="shared" si="19"/>
        <v>10</v>
      </c>
      <c r="BO103" s="2">
        <f t="shared" si="20"/>
        <v>0</v>
      </c>
      <c r="BP103" s="2">
        <f t="shared" si="21"/>
        <v>18</v>
      </c>
      <c r="BQ103" s="2">
        <f t="shared" si="22"/>
        <v>17</v>
      </c>
      <c r="BR103" s="2">
        <f t="shared" si="23"/>
        <v>17</v>
      </c>
      <c r="BS103" s="2">
        <f t="shared" si="24"/>
        <v>2</v>
      </c>
    </row>
    <row r="104" spans="22:71">
      <c r="V104" t="s">
        <v>1142</v>
      </c>
      <c r="W104">
        <v>5</v>
      </c>
      <c r="Z104" s="78" t="s">
        <v>349</v>
      </c>
      <c r="AA104" s="2" t="str">
        <f>""</f>
        <v/>
      </c>
      <c r="AB104" s="2" t="str">
        <f>INDEX(Table3[],MATCH(1,Table3[5],0),1)</f>
        <v>Antimatter Streamer Bay (M)</v>
      </c>
      <c r="AC104" s="2" t="str">
        <f>INDEX(Table3[],MATCH(2,Table3[5],0),1)</f>
        <v>Beam Laser Bay (M)</v>
      </c>
      <c r="AD104" s="2" t="str">
        <f>INDEX(Table3[],MATCH(3,Table3[5],0),1)</f>
        <v>Fusion Gun Bay (M)</v>
      </c>
      <c r="AE104" s="2" t="str">
        <f>INDEX(Table3[],MATCH(4,Table3[5],0),1)</f>
        <v>Hullcutter Bay (M)</v>
      </c>
      <c r="AF104" s="2" t="str">
        <f>INDEX(Table3[],MATCH(5,Table3[5],0),1)</f>
        <v>Ion Cannon Bay (M)</v>
      </c>
      <c r="AG104" s="2" t="str">
        <f>INDEX(Table3[],MATCH(6,Table3[5],0),1)</f>
        <v>Mass Driver Bay (M)</v>
      </c>
      <c r="AH104" s="2" t="str">
        <f>INDEX(Table3[],MATCH(7,Table3[5],0),1)</f>
        <v>Meson Gun Bay (M)</v>
      </c>
      <c r="AI104" s="2" t="str">
        <f>INDEX(Table3[],MATCH(8,Table3[5],0),1)</f>
        <v>Missile Bay (M)</v>
      </c>
      <c r="AJ104" s="2" t="str">
        <f>INDEX(Table3[],MATCH(9,Table3[5],0),1)</f>
        <v>Neutron Laser Bay (M)</v>
      </c>
      <c r="AK104" s="2" t="str">
        <f>INDEX(Table3[],MATCH(10,Table3[5],0),1)</f>
        <v>Orbital Strike MD (M)</v>
      </c>
      <c r="AL104" s="2" t="str">
        <f>INDEX(Table3[],MATCH(11,Table3[5],0),1)</f>
        <v>Orbital Strike Ms (M)</v>
      </c>
      <c r="AM104" s="2" t="str">
        <f>INDEX(Table3[],MATCH(12,Table3[5],0),1)</f>
        <v>Particle Beam Bay (M)</v>
      </c>
      <c r="AN104" s="2" t="str">
        <f>INDEX(Table3[],MATCH(13,Table3[5],0),1)</f>
        <v>Plasma-pulse Cannon Bay (M)</v>
      </c>
      <c r="AO104" s="2" t="str">
        <f>INDEX(Table3[],MATCH(14,Table3[5],0),1)</f>
        <v>Pulse Laser Bay (M)</v>
      </c>
      <c r="AP104" s="2" t="str">
        <f>INDEX(Table3[],MATCH(15,Table3[5],0),1)</f>
        <v>Railgun Bay (M)</v>
      </c>
      <c r="AQ104" s="2" t="str">
        <f>INDEX(Table3[],MATCH(16,Table3[5],0),1)</f>
        <v>Repulsor Bay (M)</v>
      </c>
      <c r="AR104" s="2" t="str">
        <f>INDEX(Table3[],MATCH(17,Table3[5],0),1)</f>
        <v>Repulsor Bay Adv (M)</v>
      </c>
      <c r="AS104" s="2" t="str">
        <f>INDEX(Table3[],MATCH(18,Table3[5],0),1)</f>
        <v>Tachyon Cannon Bay (M)</v>
      </c>
      <c r="AT104" s="2" t="str">
        <f>INDEX(Table3[],MATCH(19,Table3[5],0),1)</f>
        <v>Torpedo Bay (M)</v>
      </c>
      <c r="AU104" t="str">
        <f>IF($AC$108=5,$AB$108,"")</f>
        <v/>
      </c>
      <c r="AV104" t="str">
        <f>IF($AC$109=5,$AB$109,"")</f>
        <v/>
      </c>
      <c r="AW104" t="str">
        <f>IF($AC$110=5,$AB$110,"")</f>
        <v/>
      </c>
      <c r="AX104" t="str">
        <f>""</f>
        <v/>
      </c>
      <c r="AY104" t="str">
        <f>""</f>
        <v/>
      </c>
      <c r="AZ104" s="46" t="str">
        <f>""</f>
        <v/>
      </c>
      <c r="BA104" s="46" t="str">
        <f>""</f>
        <v/>
      </c>
      <c r="BB104" s="2" t="s">
        <v>658</v>
      </c>
      <c r="BC104" s="2">
        <v>14</v>
      </c>
      <c r="BD104" s="2">
        <v>5</v>
      </c>
      <c r="BE104" s="2">
        <v>2</v>
      </c>
      <c r="BF104" s="2">
        <v>6</v>
      </c>
      <c r="BG104" s="2" t="s">
        <v>1344</v>
      </c>
      <c r="BH104" s="10">
        <v>5000000</v>
      </c>
      <c r="BI104" s="2" t="s">
        <v>340</v>
      </c>
      <c r="BJ104" s="2"/>
      <c r="BK104" s="2">
        <v>1</v>
      </c>
      <c r="BL104" s="2">
        <v>2</v>
      </c>
      <c r="BM104" s="2">
        <f t="shared" si="18"/>
        <v>11</v>
      </c>
      <c r="BN104" s="2">
        <f t="shared" si="19"/>
        <v>11</v>
      </c>
      <c r="BO104" s="2">
        <f t="shared" si="20"/>
        <v>0</v>
      </c>
      <c r="BP104" s="2">
        <f t="shared" si="21"/>
        <v>18</v>
      </c>
      <c r="BQ104" s="2">
        <f t="shared" si="22"/>
        <v>17</v>
      </c>
      <c r="BR104" s="2">
        <f t="shared" si="23"/>
        <v>17</v>
      </c>
      <c r="BS104" s="2">
        <f t="shared" si="24"/>
        <v>2</v>
      </c>
    </row>
    <row r="105" spans="22:71">
      <c r="V105" t="s">
        <v>1143</v>
      </c>
      <c r="W105">
        <v>6</v>
      </c>
      <c r="Z105" s="78" t="s">
        <v>352</v>
      </c>
      <c r="AA105" s="2" t="str">
        <f>""</f>
        <v/>
      </c>
      <c r="AB105" s="2" t="str">
        <f>INDEX(Table3[],MATCH(1,Table3[6],0),1)</f>
        <v>Antimatter Streamer Bay (L)</v>
      </c>
      <c r="AC105" s="2" t="str">
        <f>INDEX(Table3[],MATCH(2,Table3[6],0),1)</f>
        <v>Beam Laser Bay (L)</v>
      </c>
      <c r="AD105" s="2" t="str">
        <f>INDEX(Table3[],MATCH(3,Table3[6],0),1)</f>
        <v>Fusion Gun Bay (L)</v>
      </c>
      <c r="AE105" s="2" t="str">
        <f>INDEX(Table3[],MATCH(4,Table3[6],0),1)</f>
        <v>Hullcutter Bay (L)</v>
      </c>
      <c r="AF105" s="2" t="str">
        <f>INDEX(Table3[],MATCH(5,Table3[6],0),1)</f>
        <v>Ion Cannon Bay (L)</v>
      </c>
      <c r="AG105" s="2" t="str">
        <f>INDEX(Table3[],MATCH(6,Table3[6],0),1)</f>
        <v>Mass Driver Bay (L)</v>
      </c>
      <c r="AH105" s="2" t="str">
        <f>INDEX(Table3[],MATCH(7,Table3[6],0),1)</f>
        <v>Meson Gun Bay (L)</v>
      </c>
      <c r="AI105" s="2" t="str">
        <f>INDEX(Table3[],MATCH(8,Table3[6],0),1)</f>
        <v>Missile Bay (L)</v>
      </c>
      <c r="AJ105" s="2" t="str">
        <f>INDEX(Table3[],MATCH(9,Table3[6],0),1)</f>
        <v>Neutron Laser Bay (L)</v>
      </c>
      <c r="AK105" s="2" t="str">
        <f>INDEX(Table3[],MATCH(10,Table3[6],0),1)</f>
        <v>Orbital Strike MD (L)</v>
      </c>
      <c r="AL105" s="2" t="str">
        <f>INDEX(Table3[],MATCH(11,Table3[6],0),1)</f>
        <v>Orbital Strike Ms (L)</v>
      </c>
      <c r="AM105" s="2" t="str">
        <f>INDEX(Table3[],MATCH(12,Table3[6],0),1)</f>
        <v>Particle Beam Bay (L)</v>
      </c>
      <c r="AN105" s="2" t="str">
        <f>INDEX(Table3[],MATCH(13,Table3[6],0),1)</f>
        <v>Plasma-pulse Cannon Bay (L)</v>
      </c>
      <c r="AO105" s="2" t="str">
        <f>INDEX(Table3[],MATCH(14,Table3[6],0),1)</f>
        <v>Pulse Laser Bay (L)</v>
      </c>
      <c r="AP105" s="2" t="str">
        <f>INDEX(Table3[],MATCH(15,Table3[6],0),1)</f>
        <v>Railgun Bay (L)</v>
      </c>
      <c r="AQ105" s="2" t="str">
        <f>INDEX(Table3[],MATCH(16,Table3[6],0),1)</f>
        <v>Repulsor Bay (L)</v>
      </c>
      <c r="AR105" s="2" t="str">
        <f>INDEX(Table3[],MATCH(17,Table3[6],0),1)</f>
        <v>Repulsor Bay Adv (L)</v>
      </c>
      <c r="AS105" s="2" t="str">
        <f>INDEX(Table3[],MATCH(18,Table3[6],0),1)</f>
        <v>Tachyon Cannon Bay (L)</v>
      </c>
      <c r="AT105" s="2" t="str">
        <f>INDEX(Table3[],MATCH(19,Table3[6],0),1)</f>
        <v>Torpedo Bay (L)</v>
      </c>
      <c r="AU105" t="str">
        <f>IF($AC$108=6,$AB$108,"")</f>
        <v/>
      </c>
      <c r="AV105" t="str">
        <f>IF($AC$109=6,$AB$109,"")</f>
        <v/>
      </c>
      <c r="AW105" t="str">
        <f>IF($AC$110=6,$AB$110,"")</f>
        <v/>
      </c>
      <c r="AX105" t="str">
        <f>""</f>
        <v/>
      </c>
      <c r="AY105" t="str">
        <f>""</f>
        <v/>
      </c>
      <c r="AZ105" s="46" t="str">
        <f>""</f>
        <v/>
      </c>
      <c r="BA105" s="46" t="str">
        <f>""</f>
        <v/>
      </c>
      <c r="BB105" s="2" t="s">
        <v>1609</v>
      </c>
      <c r="BC105" s="2">
        <v>14</v>
      </c>
      <c r="BD105" s="2">
        <v>6</v>
      </c>
      <c r="BE105" s="2"/>
      <c r="BF105" s="2">
        <v>25</v>
      </c>
      <c r="BG105" s="2" t="s">
        <v>1373</v>
      </c>
      <c r="BH105" s="10">
        <v>50000000</v>
      </c>
      <c r="BI105" s="2" t="s">
        <v>351</v>
      </c>
      <c r="BJ105" s="2"/>
      <c r="BK105" s="2">
        <v>1</v>
      </c>
      <c r="BL105" s="2">
        <v>6</v>
      </c>
      <c r="BM105" s="2">
        <f t="shared" si="18"/>
        <v>11</v>
      </c>
      <c r="BN105" s="2">
        <f t="shared" si="19"/>
        <v>11</v>
      </c>
      <c r="BO105" s="2">
        <f t="shared" si="20"/>
        <v>0</v>
      </c>
      <c r="BP105" s="2">
        <f t="shared" si="21"/>
        <v>18</v>
      </c>
      <c r="BQ105" s="2">
        <f t="shared" si="22"/>
        <v>17</v>
      </c>
      <c r="BR105" s="2">
        <f t="shared" si="23"/>
        <v>18</v>
      </c>
      <c r="BS105" s="2">
        <f t="shared" si="24"/>
        <v>2</v>
      </c>
    </row>
    <row r="106" spans="22:71">
      <c r="V106" t="s">
        <v>1593</v>
      </c>
      <c r="W106">
        <v>7</v>
      </c>
      <c r="Z106" s="86" t="s">
        <v>1591</v>
      </c>
      <c r="AA106" s="28"/>
      <c r="AB106" s="2" t="str">
        <f>INDEX(Table3[],MATCH(1,Table3[7],0),1)</f>
        <v>Cannonade, Fusion</v>
      </c>
      <c r="AC106" s="2" t="str">
        <f>INDEX(Table3[],MATCH(2,Table3[7],0),1)</f>
        <v>Cannonade, Plasma</v>
      </c>
      <c r="AD106" s="2" t="str">
        <f>IF($AC$108=1,$AB$108,"")</f>
        <v/>
      </c>
      <c r="AE106" s="2" t="str">
        <f>IF($AC$109=1,$AB$109,"")</f>
        <v/>
      </c>
      <c r="AF106" s="2" t="str">
        <f>IF($AC$110=1,$AB$110,"")</f>
        <v/>
      </c>
      <c r="AG106" s="28" t="str">
        <f>""</f>
        <v/>
      </c>
      <c r="AH106" s="28" t="str">
        <f>""</f>
        <v/>
      </c>
      <c r="AI106" s="28" t="str">
        <f>""</f>
        <v/>
      </c>
      <c r="AJ106" s="28" t="str">
        <f>""</f>
        <v/>
      </c>
      <c r="AK106" s="28" t="str">
        <f>""</f>
        <v/>
      </c>
      <c r="AL106" s="28" t="str">
        <f>""</f>
        <v/>
      </c>
      <c r="AM106" s="28" t="str">
        <f>""</f>
        <v/>
      </c>
      <c r="AN106" s="28" t="str">
        <f>""</f>
        <v/>
      </c>
      <c r="AO106" s="28" t="str">
        <f>""</f>
        <v/>
      </c>
      <c r="AP106" s="28" t="str">
        <f>""</f>
        <v/>
      </c>
      <c r="AQ106" s="28" t="str">
        <f>""</f>
        <v/>
      </c>
      <c r="AR106" s="28" t="str">
        <f>""</f>
        <v/>
      </c>
      <c r="AS106" s="28" t="str">
        <f>""</f>
        <v/>
      </c>
      <c r="AT106" s="28" t="str">
        <f>""</f>
        <v/>
      </c>
      <c r="AU106" s="28" t="str">
        <f>""</f>
        <v/>
      </c>
      <c r="AV106" s="28" t="str">
        <f>""</f>
        <v/>
      </c>
      <c r="AW106" s="28" t="str">
        <f>""</f>
        <v/>
      </c>
      <c r="AX106" s="28" t="str">
        <f>""</f>
        <v/>
      </c>
      <c r="AY106" s="28" t="str">
        <f>""</f>
        <v/>
      </c>
      <c r="AZ106" s="79" t="str">
        <f>""</f>
        <v/>
      </c>
      <c r="BA106" s="46" t="str">
        <f>""</f>
        <v/>
      </c>
      <c r="BB106" s="2" t="s">
        <v>1637</v>
      </c>
      <c r="BC106" s="2">
        <v>14</v>
      </c>
      <c r="BD106" s="2">
        <v>5</v>
      </c>
      <c r="BE106" s="2"/>
      <c r="BF106" s="2">
        <v>15</v>
      </c>
      <c r="BG106" s="2" t="s">
        <v>1364</v>
      </c>
      <c r="BH106" s="10">
        <v>30000000</v>
      </c>
      <c r="BI106" s="2" t="s">
        <v>351</v>
      </c>
      <c r="BJ106" s="2"/>
      <c r="BK106" s="2">
        <v>1</v>
      </c>
      <c r="BL106" s="2">
        <v>5</v>
      </c>
      <c r="BM106" s="2">
        <f t="shared" si="18"/>
        <v>11</v>
      </c>
      <c r="BN106" s="2">
        <f t="shared" si="19"/>
        <v>11</v>
      </c>
      <c r="BO106" s="2">
        <f t="shared" si="20"/>
        <v>0</v>
      </c>
      <c r="BP106" s="2">
        <f t="shared" si="21"/>
        <v>18</v>
      </c>
      <c r="BQ106" s="2">
        <f t="shared" si="22"/>
        <v>18</v>
      </c>
      <c r="BR106" s="2">
        <f t="shared" si="23"/>
        <v>18</v>
      </c>
      <c r="BS106" s="2">
        <f t="shared" si="24"/>
        <v>2</v>
      </c>
    </row>
    <row r="107" spans="22:71">
      <c r="V107" t="s">
        <v>1592</v>
      </c>
      <c r="W107">
        <v>8</v>
      </c>
      <c r="Z107" s="86" t="str">
        <f>IF(G40=0,"","X "&amp;G40)</f>
        <v/>
      </c>
      <c r="AA107" s="28"/>
      <c r="AB107" s="28" t="str">
        <f>IF(AC108=8,AB108,"")</f>
        <v/>
      </c>
      <c r="AC107" s="28" t="str">
        <f>IF(AC109=8,AB109,"")</f>
        <v/>
      </c>
      <c r="AD107" s="28" t="str">
        <f>IF(AC110=8,AB110,"")</f>
        <v/>
      </c>
      <c r="AE107" s="28" t="str">
        <f>""</f>
        <v/>
      </c>
      <c r="AF107" s="28" t="str">
        <f>""</f>
        <v/>
      </c>
      <c r="AG107" s="28" t="str">
        <f>""</f>
        <v/>
      </c>
      <c r="AH107" s="28" t="str">
        <f>""</f>
        <v/>
      </c>
      <c r="AI107" s="28" t="str">
        <f>""</f>
        <v/>
      </c>
      <c r="AJ107" s="28" t="str">
        <f>""</f>
        <v/>
      </c>
      <c r="AK107" s="28" t="str">
        <f>""</f>
        <v/>
      </c>
      <c r="AL107" s="28" t="str">
        <f>""</f>
        <v/>
      </c>
      <c r="AM107" s="28" t="str">
        <f>""</f>
        <v/>
      </c>
      <c r="AN107" s="28" t="str">
        <f>""</f>
        <v/>
      </c>
      <c r="AO107" s="28" t="str">
        <f>""</f>
        <v/>
      </c>
      <c r="AP107" s="28" t="str">
        <f>""</f>
        <v/>
      </c>
      <c r="AQ107" s="28" t="str">
        <f>""</f>
        <v/>
      </c>
      <c r="AR107" s="28" t="str">
        <f>""</f>
        <v/>
      </c>
      <c r="AS107" s="28" t="str">
        <f>""</f>
        <v/>
      </c>
      <c r="AT107" s="28" t="str">
        <f>""</f>
        <v/>
      </c>
      <c r="AU107" s="28" t="str">
        <f>""</f>
        <v/>
      </c>
      <c r="AV107" s="79" t="str">
        <f>""</f>
        <v/>
      </c>
      <c r="BB107" s="2" t="s">
        <v>1638</v>
      </c>
      <c r="BC107" s="2">
        <v>14</v>
      </c>
      <c r="BD107" s="2">
        <v>5</v>
      </c>
      <c r="BE107" s="2"/>
      <c r="BF107" s="2">
        <v>10</v>
      </c>
      <c r="BG107" s="2" t="s">
        <v>1374</v>
      </c>
      <c r="BH107" s="10">
        <v>15000000</v>
      </c>
      <c r="BI107" s="2" t="s">
        <v>340</v>
      </c>
      <c r="BJ107" s="2"/>
      <c r="BK107" s="2">
        <v>1</v>
      </c>
      <c r="BL107" s="2">
        <v>4</v>
      </c>
      <c r="BM107" s="2">
        <f t="shared" si="18"/>
        <v>11</v>
      </c>
      <c r="BN107" s="2">
        <f t="shared" si="19"/>
        <v>11</v>
      </c>
      <c r="BO107" s="2">
        <f t="shared" si="20"/>
        <v>0</v>
      </c>
      <c r="BP107" s="2">
        <f t="shared" si="21"/>
        <v>19</v>
      </c>
      <c r="BQ107" s="2">
        <f t="shared" si="22"/>
        <v>18</v>
      </c>
      <c r="BR107" s="2">
        <f t="shared" si="23"/>
        <v>18</v>
      </c>
      <c r="BS107" s="2">
        <f t="shared" si="24"/>
        <v>2</v>
      </c>
    </row>
    <row r="108" spans="22:71">
      <c r="AA108" s="9" t="s">
        <v>1144</v>
      </c>
      <c r="AB108" t="str">
        <f>IF(F46=0,"X1","X1 "&amp;F46)</f>
        <v>X1</v>
      </c>
      <c r="AC108" s="2">
        <f>VLOOKUP(P46,V99:W106,2)</f>
        <v>0</v>
      </c>
      <c r="BB108" s="2" t="s">
        <v>659</v>
      </c>
      <c r="BC108" s="2">
        <v>7</v>
      </c>
      <c r="BD108" s="2">
        <v>8</v>
      </c>
      <c r="BE108" s="2">
        <v>8</v>
      </c>
      <c r="BF108" s="2">
        <v>2</v>
      </c>
      <c r="BG108" s="2" t="s">
        <v>1196</v>
      </c>
      <c r="BH108" s="10">
        <v>3000000</v>
      </c>
      <c r="BI108" s="2" t="s">
        <v>333</v>
      </c>
      <c r="BJ108" s="2"/>
      <c r="BK108" s="2">
        <v>1</v>
      </c>
      <c r="BL108" s="2">
        <v>2</v>
      </c>
      <c r="BM108" s="2">
        <f t="shared" si="18"/>
        <v>11</v>
      </c>
      <c r="BN108" s="2">
        <f t="shared" si="19"/>
        <v>12</v>
      </c>
      <c r="BO108" s="2">
        <f t="shared" si="20"/>
        <v>0</v>
      </c>
      <c r="BP108" s="2">
        <f t="shared" si="21"/>
        <v>19</v>
      </c>
      <c r="BQ108" s="2">
        <f t="shared" si="22"/>
        <v>18</v>
      </c>
      <c r="BR108" s="2">
        <f t="shared" si="23"/>
        <v>18</v>
      </c>
      <c r="BS108" s="2">
        <f t="shared" si="24"/>
        <v>2</v>
      </c>
    </row>
    <row r="109" spans="22:71">
      <c r="AA109" s="9" t="s">
        <v>1145</v>
      </c>
      <c r="AB109" t="str">
        <f>IF(F50=0,"X2","X2 "&amp;F50)</f>
        <v>X2</v>
      </c>
      <c r="AC109" s="2">
        <f>VLOOKUP(P50,V99:W106,2)</f>
        <v>0</v>
      </c>
      <c r="BB109" s="2" t="s">
        <v>1639</v>
      </c>
      <c r="BC109" s="2">
        <v>9</v>
      </c>
      <c r="BD109" s="2">
        <v>8</v>
      </c>
      <c r="BE109" s="2"/>
      <c r="BF109" s="2">
        <v>25</v>
      </c>
      <c r="BG109" s="2" t="s">
        <v>1196</v>
      </c>
      <c r="BH109" s="10">
        <v>10000000</v>
      </c>
      <c r="BI109" s="2" t="s">
        <v>333</v>
      </c>
      <c r="BJ109" s="2"/>
      <c r="BK109" s="2">
        <v>1</v>
      </c>
      <c r="BL109" s="2">
        <v>6</v>
      </c>
      <c r="BM109" s="2">
        <f t="shared" si="18"/>
        <v>11</v>
      </c>
      <c r="BN109" s="2">
        <f t="shared" si="19"/>
        <v>12</v>
      </c>
      <c r="BO109" s="2">
        <f t="shared" si="20"/>
        <v>0</v>
      </c>
      <c r="BP109" s="2">
        <f t="shared" si="21"/>
        <v>19</v>
      </c>
      <c r="BQ109" s="2">
        <f t="shared" si="22"/>
        <v>18</v>
      </c>
      <c r="BR109" s="2">
        <f t="shared" si="23"/>
        <v>19</v>
      </c>
      <c r="BS109" s="2">
        <f t="shared" si="24"/>
        <v>2</v>
      </c>
    </row>
    <row r="110" spans="22:71">
      <c r="AA110" s="9" t="s">
        <v>1146</v>
      </c>
      <c r="AB110" t="str">
        <f>IF(F53=0,"X3","X3 "&amp;F53)</f>
        <v>X3</v>
      </c>
      <c r="AC110" s="2">
        <f>VLOOKUP(P53,V99:W106,2)</f>
        <v>0</v>
      </c>
      <c r="BB110" s="2" t="s">
        <v>1640</v>
      </c>
      <c r="BC110" s="2">
        <v>9</v>
      </c>
      <c r="BD110" s="2">
        <v>8</v>
      </c>
      <c r="BE110" s="2"/>
      <c r="BF110" s="2">
        <v>5</v>
      </c>
      <c r="BG110" s="2" t="s">
        <v>1196</v>
      </c>
      <c r="BH110" s="10">
        <v>6000000</v>
      </c>
      <c r="BI110" s="2" t="s">
        <v>333</v>
      </c>
      <c r="BJ110" s="2"/>
      <c r="BK110" s="2">
        <v>1</v>
      </c>
      <c r="BL110" s="2">
        <v>5</v>
      </c>
      <c r="BM110" s="2">
        <f t="shared" ref="BM110:BM121" si="39">IF($BL110=1,BM109+1,BM109)</f>
        <v>11</v>
      </c>
      <c r="BN110" s="2">
        <f t="shared" ref="BN110:BN121" si="40">IF($BL110=2,BN109+1,BN109)</f>
        <v>12</v>
      </c>
      <c r="BO110" s="2">
        <f t="shared" ref="BO110:BO121" si="41">IF($BL110=3,BO109+1,BO109)</f>
        <v>0</v>
      </c>
      <c r="BP110" s="2">
        <f t="shared" ref="BP110:BP121" si="42">IF($BL110=4,BP109+1,BP109)</f>
        <v>19</v>
      </c>
      <c r="BQ110" s="2">
        <f t="shared" ref="BQ110:BQ121" si="43">IF($BL110=5,BQ109+1,BQ109)</f>
        <v>19</v>
      </c>
      <c r="BR110" s="2">
        <f t="shared" ref="BR110:BR121" si="44">IF($BL110=6,BR109+1,BR109)</f>
        <v>19</v>
      </c>
      <c r="BS110" s="2">
        <f t="shared" ref="BS110:BS121" si="45">IF($BL110=7,BS109+1,BS109)</f>
        <v>2</v>
      </c>
    </row>
    <row r="111" spans="22:71">
      <c r="AM111" t="s">
        <v>1200</v>
      </c>
      <c r="AS111" t="s">
        <v>701</v>
      </c>
      <c r="BB111" s="2" t="s">
        <v>1641</v>
      </c>
      <c r="BC111" s="2">
        <v>9</v>
      </c>
      <c r="BD111" s="2">
        <v>8</v>
      </c>
      <c r="BE111" s="2"/>
      <c r="BF111" s="2">
        <v>2</v>
      </c>
      <c r="BG111" s="2" t="s">
        <v>1196</v>
      </c>
      <c r="BH111" s="10">
        <v>3000000</v>
      </c>
      <c r="BI111" s="2" t="s">
        <v>333</v>
      </c>
      <c r="BJ111" s="2"/>
      <c r="BK111" s="2">
        <v>1</v>
      </c>
      <c r="BL111" s="2">
        <v>4</v>
      </c>
      <c r="BM111" s="2">
        <f t="shared" si="39"/>
        <v>11</v>
      </c>
      <c r="BN111" s="2">
        <f t="shared" si="40"/>
        <v>12</v>
      </c>
      <c r="BO111" s="2">
        <f t="shared" si="41"/>
        <v>0</v>
      </c>
      <c r="BP111" s="2">
        <f t="shared" si="42"/>
        <v>20</v>
      </c>
      <c r="BQ111" s="2">
        <f t="shared" si="43"/>
        <v>19</v>
      </c>
      <c r="BR111" s="2">
        <f t="shared" si="44"/>
        <v>19</v>
      </c>
      <c r="BS111" s="2">
        <f t="shared" si="45"/>
        <v>2</v>
      </c>
    </row>
    <row r="112" spans="22:71">
      <c r="Z112" s="44"/>
      <c r="AA112" s="151" t="s">
        <v>26</v>
      </c>
      <c r="AB112" s="151" t="s">
        <v>326</v>
      </c>
      <c r="AC112" s="151" t="s">
        <v>117</v>
      </c>
      <c r="AD112" s="151" t="s">
        <v>322</v>
      </c>
      <c r="AE112" s="151" t="s">
        <v>391</v>
      </c>
      <c r="AF112" s="151" t="s">
        <v>1</v>
      </c>
      <c r="AG112" s="151" t="s">
        <v>392</v>
      </c>
      <c r="AH112" s="144" t="s">
        <v>171</v>
      </c>
      <c r="AS112" t="s">
        <v>1201</v>
      </c>
      <c r="AU112" t="s">
        <v>171</v>
      </c>
      <c r="AV112" s="135" t="s">
        <v>1231</v>
      </c>
      <c r="AW112" s="130" t="s">
        <v>1232</v>
      </c>
      <c r="AX112" s="130" t="s">
        <v>1234</v>
      </c>
      <c r="AY112" s="130" t="s">
        <v>1235</v>
      </c>
      <c r="AZ112" s="130" t="s">
        <v>1233</v>
      </c>
      <c r="BA112" s="87" t="s">
        <v>769</v>
      </c>
      <c r="BB112" s="2" t="s">
        <v>1596</v>
      </c>
      <c r="BC112" s="2">
        <v>10</v>
      </c>
      <c r="BD112" s="2">
        <v>1</v>
      </c>
      <c r="BE112" s="2"/>
      <c r="BF112" s="2">
        <v>1</v>
      </c>
      <c r="BG112" s="2" t="s">
        <v>332</v>
      </c>
      <c r="BH112" s="10">
        <v>1000000</v>
      </c>
      <c r="BI112" s="2"/>
      <c r="BJ112" s="2"/>
      <c r="BK112" s="2"/>
      <c r="BL112" s="2">
        <v>1</v>
      </c>
      <c r="BM112" s="2">
        <f t="shared" si="39"/>
        <v>12</v>
      </c>
      <c r="BN112" s="2">
        <f t="shared" si="40"/>
        <v>12</v>
      </c>
      <c r="BO112" s="2">
        <f t="shared" si="41"/>
        <v>0</v>
      </c>
      <c r="BP112" s="2">
        <f t="shared" si="42"/>
        <v>20</v>
      </c>
      <c r="BQ112" s="2">
        <f t="shared" si="43"/>
        <v>19</v>
      </c>
      <c r="BR112" s="2">
        <f t="shared" si="44"/>
        <v>19</v>
      </c>
      <c r="BS112" s="2">
        <f t="shared" si="45"/>
        <v>2</v>
      </c>
    </row>
    <row r="113" spans="22:71">
      <c r="Z113" s="78" t="s">
        <v>375</v>
      </c>
      <c r="AA113">
        <v>0</v>
      </c>
      <c r="AB113" t="str">
        <f>""</f>
        <v/>
      </c>
      <c r="AC113">
        <v>0</v>
      </c>
      <c r="AD113">
        <v>0</v>
      </c>
      <c r="AE113">
        <v>0</v>
      </c>
      <c r="AF113">
        <v>0</v>
      </c>
      <c r="AG113">
        <v>0</v>
      </c>
      <c r="AH113" s="46"/>
      <c r="AK113" t="s">
        <v>1199</v>
      </c>
      <c r="AL113">
        <v>1</v>
      </c>
      <c r="AM113" s="22" t="str">
        <f>IF(AA28="","",AA28&amp;"x "&amp;Z28&amp;": "&amp;AB28&amp;AC28&amp;AD28&amp;AE28&amp;IF(I12="No",""," EM Hardened")&amp;IF(J12="No","",", Armored")&amp;" "&amp;AF28&amp;AG28&amp;AH28)</f>
        <v>3x Single Turret: Particle Beam Adv - Easy Repair, Adv - Energy Efficient</v>
      </c>
      <c r="AS113" s="22" t="str">
        <f>IF(AA28="","",AA28&amp;"x "&amp;Z28&amp;": "&amp;AB28&amp;AC28&amp;AD28&amp;AE28)</f>
        <v>3x Single Turret: Particle Beam</v>
      </c>
      <c r="AU113" s="22" t="str">
        <f>IF(AA28=0,"",IF(I12="No",""," Ignore Ion")&amp;IF(J12="No","",", CS-1")&amp;IF(VLOOKUP(E12,Table5[],13)="","",", "&amp;VLOOKUP(E12,Table5[],13))&amp;IF(VLOOKUP(F12,Table5[],13)="","",", "&amp;VLOOKUP(F12,Table5[],13))&amp;IF(VLOOKUP(G12,Table5[],13)="","",""&amp;VLOOKUP(G12,Table5[],13)))</f>
        <v>, Repair +1</v>
      </c>
      <c r="AV113" s="92">
        <v>1</v>
      </c>
      <c r="AW113" s="2">
        <f>VLOOKUP(B12,Table1[],8)</f>
        <v>1</v>
      </c>
      <c r="AX113">
        <f>VLOOKUP(B12,Table2[],8)</f>
        <v>1</v>
      </c>
      <c r="AY113">
        <f>IF(AND('Ship Info'!$F$7,'Ship Info'!$C$5&gt;=100),AW113,IF($B$4&lt;100,AX113,AW113))</f>
        <v>1</v>
      </c>
      <c r="AZ113">
        <f>VLOOKUP(C12,Table3[],11)</f>
        <v>1</v>
      </c>
      <c r="BA113" s="46">
        <f>IF(AZ113=0,0,IF(AY113=AZ113,0,1))</f>
        <v>0</v>
      </c>
      <c r="BB113" s="2" t="s">
        <v>2357</v>
      </c>
      <c r="BC113" s="2">
        <v>10</v>
      </c>
      <c r="BD113" s="2">
        <v>8</v>
      </c>
      <c r="BE113" s="2"/>
      <c r="BF113" s="2">
        <v>5</v>
      </c>
      <c r="BG113" s="2" t="s">
        <v>1197</v>
      </c>
      <c r="BH113" s="10">
        <v>3000000</v>
      </c>
      <c r="BI113" s="2" t="s">
        <v>345</v>
      </c>
      <c r="BJ113" s="2"/>
      <c r="BK113" s="2">
        <v>1</v>
      </c>
      <c r="BL113" s="2">
        <v>3</v>
      </c>
      <c r="BM113" s="2">
        <f t="shared" si="39"/>
        <v>12</v>
      </c>
      <c r="BN113" s="2">
        <f t="shared" si="40"/>
        <v>12</v>
      </c>
      <c r="BO113" s="2">
        <f t="shared" si="41"/>
        <v>1</v>
      </c>
      <c r="BP113" s="2">
        <f t="shared" si="42"/>
        <v>20</v>
      </c>
      <c r="BQ113" s="2">
        <f t="shared" si="43"/>
        <v>19</v>
      </c>
      <c r="BR113" s="2">
        <f t="shared" si="44"/>
        <v>19</v>
      </c>
      <c r="BS113" s="2">
        <f t="shared" si="45"/>
        <v>2</v>
      </c>
    </row>
    <row r="114" spans="22:71">
      <c r="Z114" s="78" t="s">
        <v>660</v>
      </c>
      <c r="AA114">
        <v>21</v>
      </c>
      <c r="AB114" t="s">
        <v>334</v>
      </c>
      <c r="AC114">
        <v>12000</v>
      </c>
      <c r="AD114">
        <v>2500</v>
      </c>
      <c r="AE114">
        <v>3</v>
      </c>
      <c r="AF114">
        <v>5000000000</v>
      </c>
      <c r="AG114">
        <v>200000</v>
      </c>
      <c r="AH114" s="46" t="s">
        <v>726</v>
      </c>
      <c r="AL114">
        <v>2</v>
      </c>
      <c r="AM114" s="22" t="str">
        <f t="shared" ref="AM114:AM115" si="46">IF(AA29="","",AA29&amp;"x "&amp;Z29&amp;": "&amp;AB29&amp;AC29&amp;AD29&amp;AE29&amp;IF(I13="No",""," EM Hardened")&amp;IF(J13="No","",", Armored")&amp;" "&amp;AF29&amp;AG29&amp;AH29)</f>
        <v/>
      </c>
      <c r="AS114" s="22" t="str">
        <f t="shared" ref="AS114:AS115" si="47">IF(AA29="","",AA29&amp;"x "&amp;Z29&amp;": "&amp;AB29&amp;AC29&amp;AD29&amp;AE29)</f>
        <v/>
      </c>
      <c r="AU114" s="22" t="str">
        <f>IF(AA29=0,"",IF(I13="No",""," Ignore Ion")&amp;IF(J13="No","",", CS-1")&amp;IF(VLOOKUP(E13,Table5[],13)="","",", "&amp;VLOOKUP(E13,Table5[],13))&amp;IF(VLOOKUP(F13,Table5[],13)="","",", "&amp;VLOOKUP(F13,Table5[],13))&amp;IF(VLOOKUP(G13,Table5[],13)="","",""&amp;VLOOKUP(G13,Table5[],13)))</f>
        <v/>
      </c>
      <c r="AV114" s="92">
        <v>2</v>
      </c>
      <c r="AW114" s="2">
        <f>VLOOKUP(B13,Table1[],8)</f>
        <v>0</v>
      </c>
      <c r="AX114">
        <f>VLOOKUP(B13,Table2[],8)</f>
        <v>0</v>
      </c>
      <c r="AY114">
        <f>IF(AND('Ship Info'!$F$7,'Ship Info'!$C$5&gt;=100),AW114,IF($B$4&lt;100,AX114,AW114))</f>
        <v>0</v>
      </c>
      <c r="AZ114">
        <f>VLOOKUP(C13,Table3[],11)</f>
        <v>0</v>
      </c>
      <c r="BA114" s="46">
        <f t="shared" ref="BA114:BA132" si="48">IF(AZ114=0,0,IF(AY114=AZ114,0,1))</f>
        <v>0</v>
      </c>
      <c r="BB114" s="2" t="s">
        <v>2354</v>
      </c>
      <c r="BC114" s="2">
        <v>10</v>
      </c>
      <c r="BD114" s="2">
        <v>8</v>
      </c>
      <c r="BE114" s="2"/>
      <c r="BF114" s="2">
        <v>10</v>
      </c>
      <c r="BG114" s="2" t="s">
        <v>1197</v>
      </c>
      <c r="BH114" s="10">
        <v>5000000</v>
      </c>
      <c r="BI114" s="2" t="s">
        <v>345</v>
      </c>
      <c r="BJ114" s="2"/>
      <c r="BK114" s="2">
        <v>1</v>
      </c>
      <c r="BL114" s="2">
        <v>3</v>
      </c>
      <c r="BM114" s="2">
        <f t="shared" si="39"/>
        <v>12</v>
      </c>
      <c r="BN114" s="2">
        <f t="shared" si="40"/>
        <v>12</v>
      </c>
      <c r="BO114" s="2">
        <f t="shared" si="41"/>
        <v>2</v>
      </c>
      <c r="BP114" s="2">
        <f t="shared" si="42"/>
        <v>20</v>
      </c>
      <c r="BQ114" s="2">
        <f t="shared" si="43"/>
        <v>19</v>
      </c>
      <c r="BR114" s="2">
        <f t="shared" si="44"/>
        <v>19</v>
      </c>
      <c r="BS114" s="2">
        <f t="shared" si="45"/>
        <v>2</v>
      </c>
    </row>
    <row r="115" spans="22:71">
      <c r="Z115" t="s">
        <v>2417</v>
      </c>
      <c r="AA115">
        <v>20</v>
      </c>
      <c r="AB115" t="s">
        <v>328</v>
      </c>
      <c r="AC115">
        <v>5000</v>
      </c>
      <c r="AD115">
        <v>2500</v>
      </c>
      <c r="AE115">
        <v>3</v>
      </c>
      <c r="AF115">
        <v>110000000</v>
      </c>
      <c r="AG115">
        <v>100000</v>
      </c>
      <c r="AL115">
        <v>3</v>
      </c>
      <c r="AM115" s="22" t="str">
        <f t="shared" si="46"/>
        <v/>
      </c>
      <c r="AS115" s="22" t="str">
        <f t="shared" si="47"/>
        <v/>
      </c>
      <c r="AU115" s="22" t="str">
        <f>IF(AA30=0,"",IF(I14="No",""," Ignore Ion")&amp;IF(J14="No","",", CS-1")&amp;IF(VLOOKUP(E14,Table5[],13)="","",", "&amp;VLOOKUP(E14,Table5[],13))&amp;IF(VLOOKUP(F14,Table5[],13)="","",", "&amp;VLOOKUP(F14,Table5[],13))&amp;IF(VLOOKUP(G14,Table5[],13)="","",""&amp;VLOOKUP(G14,Table5[],13)))</f>
        <v/>
      </c>
      <c r="AV115" s="92">
        <v>3</v>
      </c>
      <c r="AW115" s="2">
        <f>VLOOKUP(B14,Table1[],8)</f>
        <v>0</v>
      </c>
      <c r="AX115">
        <f>VLOOKUP(B14,Table2[],8)</f>
        <v>0</v>
      </c>
      <c r="AY115">
        <f>IF(AND('Ship Info'!$F$7,'Ship Info'!$C$5&gt;=100),AW115,IF($B$4&lt;100,AX115,AW115))</f>
        <v>0</v>
      </c>
      <c r="AZ115">
        <f>VLOOKUP(C14,Table3[],11)</f>
        <v>0</v>
      </c>
      <c r="BA115" s="46">
        <f t="shared" si="48"/>
        <v>0</v>
      </c>
      <c r="BB115" s="2" t="s">
        <v>2358</v>
      </c>
      <c r="BC115" s="2">
        <v>12</v>
      </c>
      <c r="BD115" s="2">
        <v>8</v>
      </c>
      <c r="BE115" s="2"/>
      <c r="BF115" s="2">
        <v>15</v>
      </c>
      <c r="BG115" s="2" t="s">
        <v>1417</v>
      </c>
      <c r="BH115" s="10">
        <v>6000000</v>
      </c>
      <c r="BI115" s="2" t="s">
        <v>345</v>
      </c>
      <c r="BJ115" s="2"/>
      <c r="BK115" s="2">
        <v>1</v>
      </c>
      <c r="BL115" s="2">
        <v>3</v>
      </c>
      <c r="BM115" s="2">
        <f t="shared" si="39"/>
        <v>12</v>
      </c>
      <c r="BN115" s="2">
        <f t="shared" si="40"/>
        <v>12</v>
      </c>
      <c r="BO115" s="2">
        <f t="shared" si="41"/>
        <v>3</v>
      </c>
      <c r="BP115" s="2">
        <f t="shared" si="42"/>
        <v>20</v>
      </c>
      <c r="BQ115" s="2">
        <f t="shared" si="43"/>
        <v>19</v>
      </c>
      <c r="BR115" s="2">
        <f t="shared" si="44"/>
        <v>19</v>
      </c>
      <c r="BS115" s="2">
        <f t="shared" si="45"/>
        <v>2</v>
      </c>
    </row>
    <row r="116" spans="22:71">
      <c r="Z116" t="s">
        <v>2418</v>
      </c>
      <c r="AA116">
        <v>22</v>
      </c>
      <c r="AB116" t="s">
        <v>334</v>
      </c>
      <c r="AC116">
        <v>5000</v>
      </c>
      <c r="AD116">
        <v>3000</v>
      </c>
      <c r="AE116">
        <v>4</v>
      </c>
      <c r="AF116">
        <v>200000000</v>
      </c>
      <c r="AG116">
        <v>150000</v>
      </c>
      <c r="AL116">
        <v>4</v>
      </c>
      <c r="AM116" s="22" t="str">
        <f>IF(AA31="","",AA31&amp;"x "&amp;Z31&amp;": "&amp;AB31&amp;IF(I15="No",""," EM Hardened")&amp;IF(J15="No","",", Armored")&amp;" "&amp;AF31&amp;AG31&amp;AH31)</f>
        <v/>
      </c>
      <c r="AS116" s="22" t="str">
        <f>IF(AA31="","",AA31&amp;"x "&amp;Z31&amp;": "&amp;AB31)</f>
        <v/>
      </c>
      <c r="AU116" s="22" t="str">
        <f>IF(AA31=0,"",IF(I15="No",""," Ignore Ion")&amp;IF(J15="No","",", CS-1")&amp;IF(VLOOKUP(E15,Table5[],13)="","",", "&amp;VLOOKUP(E15,Table5[],13))&amp;IF(VLOOKUP(F15,Table5[],13)="","",", "&amp;VLOOKUP(F15,Table5[],13))&amp;IF(VLOOKUP(G15,Table5[],13)="","",""&amp;VLOOKUP(G15,Table5[],13)))</f>
        <v/>
      </c>
      <c r="AV116" s="92">
        <v>4</v>
      </c>
      <c r="AW116" s="2">
        <f>VLOOKUP(B15,Table1[],8)</f>
        <v>0</v>
      </c>
      <c r="AX116">
        <f>VLOOKUP(B15,Table2[],8)</f>
        <v>0</v>
      </c>
      <c r="AY116">
        <f>IF(AND('Ship Info'!$F$7,'Ship Info'!$C$5&gt;=100),AW116,IF($B$4&lt;100,AX116,AW116))</f>
        <v>0</v>
      </c>
      <c r="AZ116">
        <f>VLOOKUP(C15,Table3[],11)</f>
        <v>0</v>
      </c>
      <c r="BA116" s="46">
        <f t="shared" si="48"/>
        <v>0</v>
      </c>
      <c r="BB116" s="2" t="s">
        <v>2355</v>
      </c>
      <c r="BC116" s="2">
        <v>12</v>
      </c>
      <c r="BD116" s="2">
        <v>8</v>
      </c>
      <c r="BE116" s="2"/>
      <c r="BF116" s="2">
        <v>20</v>
      </c>
      <c r="BG116" s="2" t="s">
        <v>1417</v>
      </c>
      <c r="BH116" s="10">
        <v>10000000</v>
      </c>
      <c r="BI116" s="2" t="s">
        <v>345</v>
      </c>
      <c r="BJ116" s="2"/>
      <c r="BK116" s="2">
        <v>1</v>
      </c>
      <c r="BL116" s="2">
        <v>3</v>
      </c>
      <c r="BM116" s="2">
        <f t="shared" si="39"/>
        <v>12</v>
      </c>
      <c r="BN116" s="2">
        <f t="shared" si="40"/>
        <v>12</v>
      </c>
      <c r="BO116" s="2">
        <f t="shared" si="41"/>
        <v>4</v>
      </c>
      <c r="BP116" s="2">
        <f t="shared" si="42"/>
        <v>20</v>
      </c>
      <c r="BQ116" s="2">
        <f t="shared" si="43"/>
        <v>19</v>
      </c>
      <c r="BR116" s="2">
        <f t="shared" si="44"/>
        <v>19</v>
      </c>
      <c r="BS116" s="2">
        <f t="shared" si="45"/>
        <v>2</v>
      </c>
    </row>
    <row r="117" spans="22:71">
      <c r="Z117" t="s">
        <v>2419</v>
      </c>
      <c r="AA117">
        <v>24</v>
      </c>
      <c r="AB117" t="s">
        <v>2420</v>
      </c>
      <c r="AC117">
        <v>4000</v>
      </c>
      <c r="AD117">
        <v>4000</v>
      </c>
      <c r="AE117">
        <v>5</v>
      </c>
      <c r="AF117">
        <v>300000000</v>
      </c>
      <c r="AG117">
        <f>Tonnage</f>
        <v>300</v>
      </c>
      <c r="AL117">
        <v>5</v>
      </c>
      <c r="AM117" s="22" t="str">
        <f t="shared" ref="AM117:AM132" si="49">IF(AA32="","",AA32&amp;"x "&amp;Z32&amp;": "&amp;AB32&amp;IF(I16="No",""," EM Hardened")&amp;IF(J16="No","",", Armored")&amp;" "&amp;AF32&amp;AG32&amp;AH32)</f>
        <v/>
      </c>
      <c r="AS117" s="22" t="str">
        <f t="shared" ref="AS117:AS132" si="50">IF(AA32="","",AA32&amp;"x "&amp;Z32&amp;": "&amp;AB32)</f>
        <v/>
      </c>
      <c r="AU117" s="22" t="str">
        <f>IF(AA32=0,"",IF(I16="No",""," Ignore Ion")&amp;IF(J16="No","",", CS-1")&amp;IF(VLOOKUP(E16,Table5[],13)="","",", "&amp;VLOOKUP(E16,Table5[],13))&amp;IF(VLOOKUP(F16,Table5[],13)="","",", "&amp;VLOOKUP(F16,Table5[],13))&amp;IF(VLOOKUP(G16,Table5[],13)="","",""&amp;VLOOKUP(G16,Table5[],13)))</f>
        <v/>
      </c>
      <c r="AV117" s="92">
        <v>5</v>
      </c>
      <c r="AW117" s="2">
        <f>VLOOKUP(B16,Table1[],8)</f>
        <v>0</v>
      </c>
      <c r="AX117">
        <f>VLOOKUP(B16,Table2[],8)</f>
        <v>0</v>
      </c>
      <c r="AY117">
        <f>IF(AND('Ship Info'!$F$7,'Ship Info'!$C$5&gt;=100),AW117,IF($B$4&lt;100,AX117,AW117))</f>
        <v>0</v>
      </c>
      <c r="AZ117">
        <f>VLOOKUP(C16,Table3[],11)</f>
        <v>0</v>
      </c>
      <c r="BA117" s="46">
        <f t="shared" si="48"/>
        <v>0</v>
      </c>
      <c r="BB117" s="2" t="s">
        <v>2359</v>
      </c>
      <c r="BC117" s="2">
        <v>14</v>
      </c>
      <c r="BD117" s="2">
        <v>8</v>
      </c>
      <c r="BE117" s="2"/>
      <c r="BF117" s="2">
        <v>25</v>
      </c>
      <c r="BG117" s="2" t="s">
        <v>1418</v>
      </c>
      <c r="BH117" s="10">
        <v>10000000</v>
      </c>
      <c r="BI117" s="2" t="s">
        <v>345</v>
      </c>
      <c r="BJ117" s="2"/>
      <c r="BK117" s="2">
        <v>1</v>
      </c>
      <c r="BL117" s="2">
        <v>3</v>
      </c>
      <c r="BM117" s="2">
        <f t="shared" si="39"/>
        <v>12</v>
      </c>
      <c r="BN117" s="2">
        <f t="shared" si="40"/>
        <v>12</v>
      </c>
      <c r="BO117" s="2">
        <f t="shared" si="41"/>
        <v>5</v>
      </c>
      <c r="BP117" s="2">
        <f t="shared" si="42"/>
        <v>20</v>
      </c>
      <c r="BQ117" s="2">
        <f t="shared" si="43"/>
        <v>19</v>
      </c>
      <c r="BR117" s="2">
        <f t="shared" si="44"/>
        <v>19</v>
      </c>
      <c r="BS117" s="2">
        <f t="shared" si="45"/>
        <v>2</v>
      </c>
    </row>
    <row r="118" spans="22:71">
      <c r="Z118" s="78" t="s">
        <v>661</v>
      </c>
      <c r="AA118">
        <v>12</v>
      </c>
      <c r="AB118" t="s">
        <v>334</v>
      </c>
      <c r="AC118">
        <v>7500</v>
      </c>
      <c r="AD118">
        <v>1000</v>
      </c>
      <c r="AE118">
        <v>2</v>
      </c>
      <c r="AF118">
        <v>2000000000</v>
      </c>
      <c r="AG118">
        <v>75000</v>
      </c>
      <c r="AH118" s="46" t="s">
        <v>738</v>
      </c>
      <c r="AL118">
        <v>6</v>
      </c>
      <c r="AM118" s="22" t="str">
        <f t="shared" si="49"/>
        <v/>
      </c>
      <c r="AS118" s="22" t="str">
        <f t="shared" si="50"/>
        <v/>
      </c>
      <c r="AU118" s="22" t="str">
        <f>IF(AA33=0,"",IF(I17="No",""," Ignore Ion")&amp;IF(J17="No","",", CS-1")&amp;IF(VLOOKUP(E17,Table5[],13)="","",", "&amp;VLOOKUP(E17,Table5[],13))&amp;IF(VLOOKUP(F17,Table5[],13)="","",", "&amp;VLOOKUP(F17,Table5[],13))&amp;IF(VLOOKUP(G17,Table5[],13)="","",""&amp;VLOOKUP(G17,Table5[],13)))</f>
        <v/>
      </c>
      <c r="AV118" s="92">
        <v>6</v>
      </c>
      <c r="AW118" s="2">
        <f>VLOOKUP(B17,Table1[],8)</f>
        <v>0</v>
      </c>
      <c r="AX118">
        <f>VLOOKUP(B17,Table2[],8)</f>
        <v>0</v>
      </c>
      <c r="AY118">
        <f>IF(AND('Ship Info'!$F$7,'Ship Info'!$C$5&gt;=100),AW118,IF($B$4&lt;100,AX118,AW118))</f>
        <v>0</v>
      </c>
      <c r="AZ118">
        <f>VLOOKUP(C17,Table3[],11)</f>
        <v>0</v>
      </c>
      <c r="BA118" s="46">
        <f t="shared" si="48"/>
        <v>0</v>
      </c>
      <c r="BB118" s="2" t="s">
        <v>2356</v>
      </c>
      <c r="BC118" s="2">
        <v>14</v>
      </c>
      <c r="BD118" s="2">
        <v>8</v>
      </c>
      <c r="BE118" s="2"/>
      <c r="BF118" s="2">
        <v>30</v>
      </c>
      <c r="BG118" s="2" t="s">
        <v>1418</v>
      </c>
      <c r="BH118" s="10">
        <v>20000000</v>
      </c>
      <c r="BI118" s="2" t="s">
        <v>345</v>
      </c>
      <c r="BJ118" s="2"/>
      <c r="BK118" s="2">
        <v>1</v>
      </c>
      <c r="BL118" s="2">
        <v>3</v>
      </c>
      <c r="BM118" s="2">
        <f t="shared" si="39"/>
        <v>12</v>
      </c>
      <c r="BN118" s="2">
        <f t="shared" si="40"/>
        <v>12</v>
      </c>
      <c r="BO118" s="2">
        <f t="shared" si="41"/>
        <v>6</v>
      </c>
      <c r="BP118" s="2">
        <f t="shared" si="42"/>
        <v>20</v>
      </c>
      <c r="BQ118" s="2">
        <f t="shared" si="43"/>
        <v>19</v>
      </c>
      <c r="BR118" s="2">
        <f t="shared" si="44"/>
        <v>19</v>
      </c>
      <c r="BS118" s="2">
        <f t="shared" si="45"/>
        <v>2</v>
      </c>
    </row>
    <row r="119" spans="22:71">
      <c r="Z119" s="78" t="s">
        <v>662</v>
      </c>
      <c r="AA119">
        <v>11</v>
      </c>
      <c r="AB119" t="s">
        <v>334</v>
      </c>
      <c r="AC119">
        <v>3500</v>
      </c>
      <c r="AD119">
        <v>1000</v>
      </c>
      <c r="AE119">
        <v>1</v>
      </c>
      <c r="AF119">
        <v>1000000000</v>
      </c>
      <c r="AG119">
        <v>28000</v>
      </c>
      <c r="AH119" s="46" t="s">
        <v>726</v>
      </c>
      <c r="AL119">
        <v>7</v>
      </c>
      <c r="AM119" s="22" t="str">
        <f t="shared" si="49"/>
        <v/>
      </c>
      <c r="AS119" s="22" t="str">
        <f t="shared" si="50"/>
        <v/>
      </c>
      <c r="AU119" s="22" t="str">
        <f>IF(AA34=0,"",IF(I18="No",""," Ignore Ion")&amp;IF(J18="No","",", CS-1")&amp;IF(VLOOKUP(E18,Table5[],13)="","",", "&amp;VLOOKUP(E18,Table5[],13))&amp;IF(VLOOKUP(F18,Table5[],13)="","",", "&amp;VLOOKUP(F18,Table5[],13))&amp;IF(VLOOKUP(G18,Table5[],13)="","",""&amp;VLOOKUP(G18,Table5[],13)))</f>
        <v/>
      </c>
      <c r="AV119" s="92">
        <v>7</v>
      </c>
      <c r="AW119" s="2">
        <f>VLOOKUP(B18,Table1[],8)</f>
        <v>0</v>
      </c>
      <c r="AX119">
        <f>VLOOKUP(B18,Table2[],8)</f>
        <v>0</v>
      </c>
      <c r="AY119">
        <f>IF(AND('Ship Info'!$F$7,'Ship Info'!$C$5&gt;=100),AW119,IF($B$4&lt;100,AX119,AW119))</f>
        <v>0</v>
      </c>
      <c r="AZ119">
        <f>VLOOKUP(C18,Table3[],11)</f>
        <v>0</v>
      </c>
      <c r="BA119" s="46">
        <f t="shared" si="48"/>
        <v>0</v>
      </c>
      <c r="BB119" s="2" t="str">
        <f>$AB$108</f>
        <v>X1</v>
      </c>
      <c r="BC119" s="2">
        <f>$H$46</f>
        <v>0</v>
      </c>
      <c r="BD119" s="2" t="str">
        <f>$G$46</f>
        <v/>
      </c>
      <c r="BE119" s="2"/>
      <c r="BF119" s="2">
        <f>$I$46</f>
        <v>0</v>
      </c>
      <c r="BG119" s="2">
        <f>$J$46</f>
        <v>0</v>
      </c>
      <c r="BH119" s="10">
        <f>$L$46</f>
        <v>0</v>
      </c>
      <c r="BI119" s="2" t="str">
        <f>IF($M$46=0,"",$M$46)</f>
        <v/>
      </c>
      <c r="BJ119" s="2"/>
      <c r="BK119" s="2">
        <f>IF(Table3[[#This Row],[Index]]=1,0,1)</f>
        <v>1</v>
      </c>
      <c r="BL119" s="2" t="str">
        <f>LEFT(P81,1)</f>
        <v/>
      </c>
      <c r="BM119" s="2">
        <f t="shared" si="39"/>
        <v>12</v>
      </c>
      <c r="BN119" s="2">
        <f t="shared" si="40"/>
        <v>12</v>
      </c>
      <c r="BO119" s="2">
        <f t="shared" si="41"/>
        <v>6</v>
      </c>
      <c r="BP119" s="2">
        <f t="shared" si="42"/>
        <v>20</v>
      </c>
      <c r="BQ119" s="2">
        <f t="shared" si="43"/>
        <v>19</v>
      </c>
      <c r="BR119" s="2">
        <f t="shared" si="44"/>
        <v>19</v>
      </c>
      <c r="BS119" s="2">
        <f t="shared" si="45"/>
        <v>2</v>
      </c>
    </row>
    <row r="120" spans="22:71">
      <c r="Z120" s="78" t="s">
        <v>390</v>
      </c>
      <c r="AA120">
        <v>10</v>
      </c>
      <c r="AB120" t="s">
        <v>328</v>
      </c>
      <c r="AC120">
        <v>3500</v>
      </c>
      <c r="AD120">
        <v>500</v>
      </c>
      <c r="AE120">
        <v>1</v>
      </c>
      <c r="AF120">
        <v>500000000</v>
      </c>
      <c r="AG120">
        <v>21000</v>
      </c>
      <c r="AH120" s="46"/>
      <c r="AL120">
        <v>8</v>
      </c>
      <c r="AM120" s="22" t="str">
        <f t="shared" si="49"/>
        <v/>
      </c>
      <c r="AS120" s="22" t="str">
        <f t="shared" si="50"/>
        <v/>
      </c>
      <c r="AU120" s="22" t="str">
        <f>IF(AA35=0,"",IF(I19="No",""," Ignore Ion")&amp;IF(J19="No","",", CS-1")&amp;IF(VLOOKUP(E19,Table5[],13)="","",", "&amp;VLOOKUP(E19,Table5[],13))&amp;IF(VLOOKUP(F19,Table5[],13)="","",", "&amp;VLOOKUP(F19,Table5[],13))&amp;IF(VLOOKUP(G19,Table5[],13)="","",""&amp;VLOOKUP(G19,Table5[],13)))</f>
        <v/>
      </c>
      <c r="AV120" s="92">
        <v>8</v>
      </c>
      <c r="AW120" s="2">
        <f>VLOOKUP(B19,Table1[],8)</f>
        <v>0</v>
      </c>
      <c r="AX120">
        <f>VLOOKUP(B19,Table2[],8)</f>
        <v>0</v>
      </c>
      <c r="AY120">
        <f>IF(AND('Ship Info'!$F$7,'Ship Info'!$C$5&gt;=100),AW120,IF($B$4&lt;100,AX120,AW120))</f>
        <v>0</v>
      </c>
      <c r="AZ120">
        <f>VLOOKUP(C19,Table3[],11)</f>
        <v>0</v>
      </c>
      <c r="BA120" s="46">
        <f t="shared" si="48"/>
        <v>0</v>
      </c>
      <c r="BB120" s="2" t="str">
        <f>$AB$109</f>
        <v>X2</v>
      </c>
      <c r="BC120" s="2">
        <f>$H$50</f>
        <v>0</v>
      </c>
      <c r="BD120" s="2" t="str">
        <f>$G$50</f>
        <v/>
      </c>
      <c r="BE120" s="2"/>
      <c r="BF120" s="2">
        <f>$I$50</f>
        <v>0</v>
      </c>
      <c r="BG120" s="2">
        <f>$J$50</f>
        <v>0</v>
      </c>
      <c r="BH120" s="10">
        <f>$L$50</f>
        <v>0</v>
      </c>
      <c r="BI120" s="2" t="str">
        <f>IF($M$50=0,"",$M$50)</f>
        <v/>
      </c>
      <c r="BJ120" s="2"/>
      <c r="BK120" s="2">
        <f>IF(Table3[[#This Row],[Index]]=1,0,1)</f>
        <v>1</v>
      </c>
      <c r="BL120" s="2" t="str">
        <f>LEFT(P85,1)</f>
        <v/>
      </c>
      <c r="BM120" s="2">
        <f t="shared" si="39"/>
        <v>12</v>
      </c>
      <c r="BN120" s="2">
        <f t="shared" si="40"/>
        <v>12</v>
      </c>
      <c r="BO120" s="2">
        <f t="shared" si="41"/>
        <v>6</v>
      </c>
      <c r="BP120" s="2">
        <f t="shared" si="42"/>
        <v>20</v>
      </c>
      <c r="BQ120" s="2">
        <f t="shared" si="43"/>
        <v>19</v>
      </c>
      <c r="BR120" s="2">
        <f t="shared" si="44"/>
        <v>19</v>
      </c>
      <c r="BS120" s="2">
        <f t="shared" si="45"/>
        <v>2</v>
      </c>
    </row>
    <row r="121" spans="22:71">
      <c r="Z121" s="86" t="s">
        <v>393</v>
      </c>
      <c r="AA121" s="28">
        <v>16</v>
      </c>
      <c r="AB121" s="28" t="s">
        <v>394</v>
      </c>
      <c r="AC121" s="28">
        <v>20000</v>
      </c>
      <c r="AD121" s="28">
        <v>6000</v>
      </c>
      <c r="AE121" s="28">
        <v>4</v>
      </c>
      <c r="AF121" s="28">
        <v>25000000000</v>
      </c>
      <c r="AG121" s="28">
        <f>'1-Hull'!B4</f>
        <v>300</v>
      </c>
      <c r="AH121" s="79"/>
      <c r="AL121">
        <v>9</v>
      </c>
      <c r="AM121" s="22" t="str">
        <f t="shared" si="49"/>
        <v/>
      </c>
      <c r="AS121" s="22" t="str">
        <f t="shared" si="50"/>
        <v/>
      </c>
      <c r="AU121" s="22" t="str">
        <f>IF(AA36=0,"",IF(I20="No",""," Ignore Ion")&amp;IF(J20="No","",", CS-1")&amp;IF(VLOOKUP(E20,Table5[],13)="","",", "&amp;VLOOKUP(E20,Table5[],13))&amp;IF(VLOOKUP(F20,Table5[],13)="","",", "&amp;VLOOKUP(F20,Table5[],13))&amp;IF(VLOOKUP(G20,Table5[],13)="","",""&amp;VLOOKUP(G20,Table5[],13)))</f>
        <v/>
      </c>
      <c r="AV121" s="92">
        <v>9</v>
      </c>
      <c r="AW121" s="2">
        <f>VLOOKUP(B20,Table1[],8)</f>
        <v>0</v>
      </c>
      <c r="AX121">
        <f>VLOOKUP(B20,Table2[],8)</f>
        <v>0</v>
      </c>
      <c r="AY121">
        <f>IF(AND('Ship Info'!$F$7,'Ship Info'!$C$5&gt;=100),AW121,IF($B$4&lt;100,AX121,AW121))</f>
        <v>0</v>
      </c>
      <c r="AZ121">
        <f>VLOOKUP(C20,Table3[],11)</f>
        <v>0</v>
      </c>
      <c r="BA121" s="46">
        <f t="shared" si="48"/>
        <v>0</v>
      </c>
      <c r="BB121" s="2" t="str">
        <f>$AB$110</f>
        <v>X3</v>
      </c>
      <c r="BC121" s="2">
        <f>$H$53</f>
        <v>0</v>
      </c>
      <c r="BD121" s="2" t="str">
        <f>$G$53</f>
        <v/>
      </c>
      <c r="BE121" s="2"/>
      <c r="BF121" s="2">
        <f>$I$53</f>
        <v>0</v>
      </c>
      <c r="BG121" s="2">
        <f>$J$53</f>
        <v>0</v>
      </c>
      <c r="BH121" s="10">
        <f>$L$53</f>
        <v>0</v>
      </c>
      <c r="BI121" s="2" t="str">
        <f>IF($M$53=0,"",$M$53)</f>
        <v/>
      </c>
      <c r="BJ121" s="2"/>
      <c r="BK121" s="2">
        <f>IF(Table3[[#This Row],[Index]]=1,0,1)</f>
        <v>1</v>
      </c>
      <c r="BL121" s="2" t="str">
        <f>LEFT(P88,1)</f>
        <v/>
      </c>
      <c r="BM121" s="2">
        <f t="shared" si="39"/>
        <v>12</v>
      </c>
      <c r="BN121" s="2">
        <f t="shared" si="40"/>
        <v>12</v>
      </c>
      <c r="BO121" s="2">
        <f t="shared" si="41"/>
        <v>6</v>
      </c>
      <c r="BP121" s="2">
        <f t="shared" si="42"/>
        <v>20</v>
      </c>
      <c r="BQ121" s="2">
        <f t="shared" si="43"/>
        <v>19</v>
      </c>
      <c r="BR121" s="2">
        <f t="shared" si="44"/>
        <v>19</v>
      </c>
      <c r="BS121" s="2">
        <f t="shared" si="45"/>
        <v>2</v>
      </c>
    </row>
    <row r="122" spans="22:71">
      <c r="AL122">
        <v>10</v>
      </c>
      <c r="AM122" s="22" t="str">
        <f t="shared" si="49"/>
        <v/>
      </c>
      <c r="AS122" s="22" t="str">
        <f t="shared" si="50"/>
        <v/>
      </c>
      <c r="AU122" s="22" t="str">
        <f>IF(AA37=0,"",IF(I21="No",""," Ignore Ion")&amp;IF(J21="No","",", CS-1")&amp;IF(VLOOKUP(E21,Table5[],13)="","",", "&amp;VLOOKUP(E21,Table5[],13))&amp;IF(VLOOKUP(F21,Table5[],13)="","",", "&amp;VLOOKUP(F21,Table5[],13))&amp;IF(VLOOKUP(G21,Table5[],13)="","",""&amp;VLOOKUP(G21,Table5[],13)))</f>
        <v/>
      </c>
      <c r="AV122" s="92">
        <v>10</v>
      </c>
      <c r="AW122" s="2">
        <f>VLOOKUP(B21,Table1[],8)</f>
        <v>0</v>
      </c>
      <c r="AX122">
        <f>VLOOKUP(B21,Table2[],8)</f>
        <v>0</v>
      </c>
      <c r="AY122">
        <f>IF(AND('Ship Info'!$F$7,'Ship Info'!$C$5&gt;=100),AW122,IF($B$4&lt;100,AX122,AW122))</f>
        <v>0</v>
      </c>
      <c r="AZ122">
        <f>VLOOKUP(C21,Table3[],11)</f>
        <v>0</v>
      </c>
      <c r="BA122" s="46">
        <f t="shared" si="48"/>
        <v>0</v>
      </c>
    </row>
    <row r="123" spans="22:71">
      <c r="AL123">
        <v>11</v>
      </c>
      <c r="AM123" s="22" t="str">
        <f t="shared" si="49"/>
        <v/>
      </c>
      <c r="AS123" s="22" t="str">
        <f t="shared" si="50"/>
        <v/>
      </c>
      <c r="AU123" s="22" t="str">
        <f>IF(AA38=0,"",IF(I22="No",""," Ignore Ion")&amp;IF(J22="No","",", CS-1")&amp;IF(VLOOKUP(E22,Table5[],13)="","",", "&amp;VLOOKUP(E22,Table5[],13))&amp;IF(VLOOKUP(F22,Table5[],13)="","",", "&amp;VLOOKUP(F22,Table5[],13))&amp;IF(VLOOKUP(G22,Table5[],13)="","",""&amp;VLOOKUP(G22,Table5[],13)))</f>
        <v/>
      </c>
      <c r="AV123" s="92">
        <v>11</v>
      </c>
      <c r="AW123" s="2">
        <f>VLOOKUP(B22,Table1[],8)</f>
        <v>0</v>
      </c>
      <c r="AX123">
        <f>VLOOKUP(B22,Table2[],8)</f>
        <v>0</v>
      </c>
      <c r="AY123">
        <f>IF(AND('Ship Info'!$F$7,'Ship Info'!$C$5&gt;=100),AW123,IF($B$4&lt;100,AX123,AW123))</f>
        <v>0</v>
      </c>
      <c r="AZ123">
        <f>VLOOKUP(C22,Table3[],11)</f>
        <v>0</v>
      </c>
      <c r="BA123" s="46">
        <f t="shared" si="48"/>
        <v>0</v>
      </c>
    </row>
    <row r="124" spans="22:71">
      <c r="V124" s="3" t="s">
        <v>1180</v>
      </c>
      <c r="W124" s="3"/>
      <c r="X124" s="3" t="s">
        <v>1181</v>
      </c>
      <c r="Z124" s="3" t="s">
        <v>396</v>
      </c>
      <c r="AA124" s="7" t="s">
        <v>26</v>
      </c>
      <c r="AB124" s="7" t="s">
        <v>322</v>
      </c>
      <c r="AC124" s="7" t="s">
        <v>117</v>
      </c>
      <c r="AD124" s="7" t="s">
        <v>1</v>
      </c>
      <c r="AE124" s="1" t="s">
        <v>171</v>
      </c>
      <c r="AF124" s="1" t="s">
        <v>1166</v>
      </c>
      <c r="AG124" s="3" t="s">
        <v>1112</v>
      </c>
      <c r="AH124" s="3" t="s">
        <v>739</v>
      </c>
      <c r="AI124" s="47"/>
      <c r="AL124">
        <v>12</v>
      </c>
      <c r="AM124" s="22" t="str">
        <f t="shared" si="49"/>
        <v/>
      </c>
      <c r="AS124" s="22" t="str">
        <f t="shared" si="50"/>
        <v/>
      </c>
      <c r="AU124" s="22" t="str">
        <f>IF(AA39=0,"",IF(I23="No",""," Ignore Ion")&amp;IF(J23="No","",", CS-1")&amp;IF(VLOOKUP(E23,Table5[],13)="","",", "&amp;VLOOKUP(E23,Table5[],13))&amp;IF(VLOOKUP(F23,Table5[],13)="","",", "&amp;VLOOKUP(F23,Table5[],13))&amp;IF(VLOOKUP(G23,Table5[],13)="","",""&amp;VLOOKUP(G23,Table5[],13)))</f>
        <v/>
      </c>
      <c r="AV124" s="92">
        <v>12</v>
      </c>
      <c r="AW124" s="2">
        <f>VLOOKUP(B23,Table1[],8)</f>
        <v>0</v>
      </c>
      <c r="AX124">
        <f>VLOOKUP(B23,Table2[],8)</f>
        <v>0</v>
      </c>
      <c r="AY124">
        <f>IF(AND('Ship Info'!$F$7,'Ship Info'!$C$5&gt;=100),AW124,IF($B$4&lt;100,AX124,AW124))</f>
        <v>0</v>
      </c>
      <c r="AZ124">
        <f>VLOOKUP(C23,Table3[],11)</f>
        <v>0</v>
      </c>
      <c r="BA124" s="46">
        <f t="shared" si="48"/>
        <v>0</v>
      </c>
    </row>
    <row r="125" spans="22:71">
      <c r="V125" t="s">
        <v>395</v>
      </c>
      <c r="X125" t="s">
        <v>395</v>
      </c>
      <c r="Z125" t="s">
        <v>395</v>
      </c>
      <c r="AA125">
        <v>0</v>
      </c>
      <c r="AC125">
        <v>0</v>
      </c>
      <c r="AD125">
        <v>0</v>
      </c>
      <c r="AE125" t="str">
        <f>""</f>
        <v/>
      </c>
      <c r="AF125" s="2">
        <v>0</v>
      </c>
      <c r="AI125" s="46"/>
      <c r="AL125">
        <v>13</v>
      </c>
      <c r="AM125" s="22" t="str">
        <f t="shared" si="49"/>
        <v/>
      </c>
      <c r="AS125" s="22" t="str">
        <f t="shared" si="50"/>
        <v/>
      </c>
      <c r="AU125" s="22" t="str">
        <f>IF(AA40=0,"",IF(I24="No",""," Ignore Ion")&amp;IF(J24="No","",", CS-1")&amp;IF(VLOOKUP(E24,Table5[],13)="","",", "&amp;VLOOKUP(E24,Table5[],13))&amp;IF(VLOOKUP(F24,Table5[],13)="","",", "&amp;VLOOKUP(F24,Table5[],13))&amp;IF(VLOOKUP(G24,Table5[],13)="","",""&amp;VLOOKUP(G24,Table5[],13)))</f>
        <v/>
      </c>
      <c r="AV125" s="92">
        <v>13</v>
      </c>
      <c r="AW125" s="2">
        <f>VLOOKUP(B24,Table1[],8)</f>
        <v>0</v>
      </c>
      <c r="AX125">
        <f>VLOOKUP(B24,Table2[],8)</f>
        <v>0</v>
      </c>
      <c r="AY125">
        <f>IF(AND('Ship Info'!$F$7,'Ship Info'!$C$5&gt;=100),AW125,IF($B$4&lt;100,AX125,AW125))</f>
        <v>0</v>
      </c>
      <c r="AZ125">
        <f>VLOOKUP(C24,Table3[],11)</f>
        <v>0</v>
      </c>
      <c r="BA125" s="46">
        <f t="shared" si="48"/>
        <v>0</v>
      </c>
    </row>
    <row r="126" spans="22:71">
      <c r="V126" s="142" t="s">
        <v>1089</v>
      </c>
      <c r="X126" s="142" t="s">
        <v>1089</v>
      </c>
      <c r="Z126" s="142" t="s">
        <v>1089</v>
      </c>
      <c r="AA126">
        <v>0</v>
      </c>
      <c r="AB126">
        <v>0</v>
      </c>
      <c r="AC126">
        <v>0.2</v>
      </c>
      <c r="AD126">
        <v>-0.25</v>
      </c>
      <c r="AE126" t="s">
        <v>1202</v>
      </c>
      <c r="AF126" s="2">
        <v>3</v>
      </c>
      <c r="AG126" s="142" t="s">
        <v>643</v>
      </c>
      <c r="AI126" s="46"/>
      <c r="AL126">
        <v>14</v>
      </c>
      <c r="AM126" s="22" t="str">
        <f t="shared" si="49"/>
        <v/>
      </c>
      <c r="AS126" s="22" t="str">
        <f t="shared" si="50"/>
        <v/>
      </c>
      <c r="AU126" s="22" t="str">
        <f>IF(AA41=0,"",IF(I25="No",""," Ignore Ion")&amp;IF(J25="No","",", CS-1")&amp;IF(VLOOKUP(E25,Table5[],13)="","",", "&amp;VLOOKUP(E25,Table5[],13))&amp;IF(VLOOKUP(F25,Table5[],13)="","",", "&amp;VLOOKUP(F25,Table5[],13))&amp;IF(VLOOKUP(G25,Table5[],13)="","",""&amp;VLOOKUP(G25,Table5[],13)))</f>
        <v/>
      </c>
      <c r="AV126" s="92">
        <v>14</v>
      </c>
      <c r="AW126" s="2">
        <f>VLOOKUP(B25,Table1[],8)</f>
        <v>0</v>
      </c>
      <c r="AX126">
        <f>VLOOKUP(B25,Table2[],8)</f>
        <v>0</v>
      </c>
      <c r="AY126">
        <f>IF(AND('Ship Info'!$F$7,'Ship Info'!$C$5&gt;=100),AW126,IF($B$4&lt;100,AX126,AW126))</f>
        <v>0</v>
      </c>
      <c r="AZ126">
        <f>VLOOKUP(C25,Table3[],11)</f>
        <v>0</v>
      </c>
      <c r="BA126" s="46">
        <f t="shared" si="48"/>
        <v>0</v>
      </c>
    </row>
    <row r="127" spans="22:71">
      <c r="V127" s="16" t="s">
        <v>1090</v>
      </c>
      <c r="X127" s="16" t="s">
        <v>1090</v>
      </c>
      <c r="Z127" s="16" t="s">
        <v>1090</v>
      </c>
      <c r="AA127">
        <v>0</v>
      </c>
      <c r="AB127">
        <v>0</v>
      </c>
      <c r="AC127">
        <v>0</v>
      </c>
      <c r="AD127">
        <v>-0.25</v>
      </c>
      <c r="AE127" t="s">
        <v>1041</v>
      </c>
      <c r="AF127" s="2">
        <v>3</v>
      </c>
      <c r="AG127" s="16" t="s">
        <v>644</v>
      </c>
      <c r="AH127" t="s">
        <v>1041</v>
      </c>
      <c r="AI127" s="46"/>
      <c r="AL127">
        <v>15</v>
      </c>
      <c r="AM127" s="22" t="str">
        <f t="shared" si="49"/>
        <v/>
      </c>
      <c r="AS127" s="22" t="str">
        <f t="shared" si="50"/>
        <v/>
      </c>
      <c r="AU127" s="22" t="str">
        <f>IF(AA42=0,"",IF(I26="No",""," Ignore Ion")&amp;IF(J26="No","",", CS-1")&amp;IF(VLOOKUP(E26,Table5[],13)="","",", "&amp;VLOOKUP(E26,Table5[],13))&amp;IF(VLOOKUP(F26,Table5[],13)="","",", "&amp;VLOOKUP(F26,Table5[],13))&amp;IF(VLOOKUP(G26,Table5[],13)="","",""&amp;VLOOKUP(G26,Table5[],13)))</f>
        <v/>
      </c>
      <c r="AV127" s="92">
        <v>15</v>
      </c>
      <c r="AW127" s="2">
        <f>VLOOKUP(B26,Table1[],8)</f>
        <v>0</v>
      </c>
      <c r="AX127">
        <f>VLOOKUP(B26,Table2[],8)</f>
        <v>0</v>
      </c>
      <c r="AY127">
        <f>IF(AND('Ship Info'!$F$7,'Ship Info'!$C$5&gt;=100),AW127,IF($B$4&lt;100,AX127,AW127))</f>
        <v>0</v>
      </c>
      <c r="AZ127">
        <f>VLOOKUP(C26,Table3[],11)</f>
        <v>0</v>
      </c>
      <c r="BA127" s="46">
        <f t="shared" si="48"/>
        <v>0</v>
      </c>
    </row>
    <row r="128" spans="22:71">
      <c r="V128" s="16" t="s">
        <v>1091</v>
      </c>
      <c r="X128" s="16" t="s">
        <v>1091</v>
      </c>
      <c r="Z128" s="16" t="s">
        <v>1091</v>
      </c>
      <c r="AA128">
        <v>0</v>
      </c>
      <c r="AB128">
        <v>0.3</v>
      </c>
      <c r="AC128">
        <v>0</v>
      </c>
      <c r="AD128">
        <v>-0.25</v>
      </c>
      <c r="AE128" t="s">
        <v>416</v>
      </c>
      <c r="AF128" s="2">
        <v>3</v>
      </c>
      <c r="AG128" s="16" t="s">
        <v>645</v>
      </c>
      <c r="AI128" s="46"/>
      <c r="AL128">
        <v>16</v>
      </c>
      <c r="AM128" s="22" t="str">
        <f t="shared" si="49"/>
        <v/>
      </c>
      <c r="AS128" s="22" t="str">
        <f t="shared" si="50"/>
        <v/>
      </c>
      <c r="AU128" s="22" t="str">
        <f>IF(AA43=0,"",IF(I27="No",""," Ignore Ion")&amp;IF(J27="No","",", CS-1")&amp;IF(VLOOKUP(E27,Table5[],13)="","",", "&amp;VLOOKUP(E27,Table5[],13))&amp;IF(VLOOKUP(F27,Table5[],13)="","",", "&amp;VLOOKUP(F27,Table5[],13))&amp;IF(VLOOKUP(G27,Table5[],13)="","",""&amp;VLOOKUP(G27,Table5[],13)))</f>
        <v/>
      </c>
      <c r="AV128" s="92">
        <v>16</v>
      </c>
      <c r="AW128" s="2">
        <f>VLOOKUP(B27,Table1[],8)</f>
        <v>0</v>
      </c>
      <c r="AX128">
        <f>VLOOKUP(B27,Table2[],8)</f>
        <v>0</v>
      </c>
      <c r="AY128">
        <f>IF(AND('Ship Info'!$F$7,'Ship Info'!$C$5&gt;=100),AW128,IF($B$4&lt;100,AX128,AW128))</f>
        <v>0</v>
      </c>
      <c r="AZ128">
        <f>VLOOKUP(C27,Table3[],11)</f>
        <v>0</v>
      </c>
      <c r="BA128" s="46">
        <f t="shared" si="48"/>
        <v>0</v>
      </c>
    </row>
    <row r="129" spans="22:53">
      <c r="V129" s="16" t="s">
        <v>1092</v>
      </c>
      <c r="X129" s="16" t="s">
        <v>1092</v>
      </c>
      <c r="Z129" s="16" t="s">
        <v>1092</v>
      </c>
      <c r="AA129">
        <v>1</v>
      </c>
      <c r="AB129">
        <v>0</v>
      </c>
      <c r="AC129">
        <v>0</v>
      </c>
      <c r="AD129">
        <v>-0.1</v>
      </c>
      <c r="AE129" t="s">
        <v>727</v>
      </c>
      <c r="AF129" s="2">
        <v>3</v>
      </c>
      <c r="AG129" s="16" t="s">
        <v>646</v>
      </c>
      <c r="AI129" s="46"/>
      <c r="AL129">
        <v>17</v>
      </c>
      <c r="AM129" s="22" t="str">
        <f t="shared" si="49"/>
        <v/>
      </c>
      <c r="AS129" s="22" t="str">
        <f t="shared" si="50"/>
        <v/>
      </c>
      <c r="AU129" s="22" t="str">
        <f>IF(AA44=0,"",IF(I28="No",""," Ignore Ion")&amp;IF(J28="No","",", CS-1")&amp;IF(VLOOKUP(E28,Table5[],13)="","",", "&amp;VLOOKUP(E28,Table5[],13))&amp;IF(VLOOKUP(F28,Table5[],13)="","",", "&amp;VLOOKUP(F28,Table5[],13))&amp;IF(VLOOKUP(G28,Table5[],13)="","",""&amp;VLOOKUP(G28,Table5[],13)))</f>
        <v/>
      </c>
      <c r="AV129" s="92">
        <v>17</v>
      </c>
      <c r="AW129" s="2">
        <f>VLOOKUP(B28,Table1[],8)</f>
        <v>0</v>
      </c>
      <c r="AX129">
        <f>VLOOKUP(B28,Table2[],8)</f>
        <v>0</v>
      </c>
      <c r="AY129">
        <f>IF(AND('Ship Info'!$F$7,'Ship Info'!$C$5&gt;=100),AW129,IF($B$4&lt;100,AX129,AW129))</f>
        <v>0</v>
      </c>
      <c r="AZ129">
        <f>VLOOKUP(C28,Table3[],11)</f>
        <v>0</v>
      </c>
      <c r="BA129" s="46">
        <f t="shared" si="48"/>
        <v>0</v>
      </c>
    </row>
    <row r="130" spans="22:53">
      <c r="V130" s="16" t="s">
        <v>1093</v>
      </c>
      <c r="X130" s="16" t="s">
        <v>1093</v>
      </c>
      <c r="Z130" s="16" t="s">
        <v>1093</v>
      </c>
      <c r="AA130">
        <v>2</v>
      </c>
      <c r="AB130">
        <v>0</v>
      </c>
      <c r="AC130">
        <v>0</v>
      </c>
      <c r="AD130">
        <v>-0.2</v>
      </c>
      <c r="AE130" t="s">
        <v>728</v>
      </c>
      <c r="AF130" s="2">
        <v>3</v>
      </c>
      <c r="AG130" s="16" t="s">
        <v>647</v>
      </c>
      <c r="AI130" s="46"/>
      <c r="AL130">
        <v>18</v>
      </c>
      <c r="AM130" s="22" t="str">
        <f t="shared" si="49"/>
        <v/>
      </c>
      <c r="AS130" s="22" t="str">
        <f t="shared" si="50"/>
        <v/>
      </c>
      <c r="AU130" s="22" t="str">
        <f>IF(AA45=0,"",IF(I29="No",""," Ignore Ion")&amp;IF(J29="No","",", CS-1")&amp;IF(VLOOKUP(E29,Table5[],13)="","",", "&amp;VLOOKUP(E29,Table5[],13))&amp;IF(VLOOKUP(F29,Table5[],13)="","",", "&amp;VLOOKUP(F29,Table5[],13))&amp;IF(VLOOKUP(G29,Table5[],13)="","",""&amp;VLOOKUP(G29,Table5[],13)))</f>
        <v/>
      </c>
      <c r="AV130" s="92">
        <v>18</v>
      </c>
      <c r="AW130" s="2">
        <f>VLOOKUP(B29,Table1[],8)</f>
        <v>0</v>
      </c>
      <c r="AX130">
        <f>VLOOKUP(B29,Table2[],8)</f>
        <v>0</v>
      </c>
      <c r="AY130">
        <f>IF(AND('Ship Info'!$F$7,'Ship Info'!$C$5&gt;=100),AW130,IF($B$4&lt;100,AX130,AW130))</f>
        <v>0</v>
      </c>
      <c r="AZ130">
        <f>VLOOKUP(C29,Table3[],11)</f>
        <v>0</v>
      </c>
      <c r="BA130" s="46">
        <f t="shared" si="48"/>
        <v>0</v>
      </c>
    </row>
    <row r="131" spans="22:53">
      <c r="V131" s="16" t="s">
        <v>1094</v>
      </c>
      <c r="X131" s="16" t="s">
        <v>1094</v>
      </c>
      <c r="Z131" s="16" t="s">
        <v>1094</v>
      </c>
      <c r="AA131">
        <v>3</v>
      </c>
      <c r="AB131">
        <v>0</v>
      </c>
      <c r="AC131">
        <v>0</v>
      </c>
      <c r="AD131">
        <v>-0.3</v>
      </c>
      <c r="AE131" t="s">
        <v>729</v>
      </c>
      <c r="AF131" s="2">
        <v>3</v>
      </c>
      <c r="AG131" s="16" t="s">
        <v>648</v>
      </c>
      <c r="AI131" s="46"/>
      <c r="AL131">
        <v>19</v>
      </c>
      <c r="AM131" s="22" t="str">
        <f t="shared" si="49"/>
        <v/>
      </c>
      <c r="AS131" s="22" t="str">
        <f t="shared" si="50"/>
        <v/>
      </c>
      <c r="AU131" s="22" t="str">
        <f>IF(AA46=0,"",IF(I30="No",""," Ignore Ion")&amp;IF(J30="No","",", CS-1")&amp;IF(VLOOKUP(E30,Table5[],13)="","",", "&amp;VLOOKUP(E30,Table5[],13))&amp;IF(VLOOKUP(F30,Table5[],13)="","",", "&amp;VLOOKUP(F30,Table5[],13))&amp;IF(VLOOKUP(G30,Table5[],13)="","",""&amp;VLOOKUP(G30,Table5[],13)))</f>
        <v/>
      </c>
      <c r="AV131" s="92">
        <v>19</v>
      </c>
      <c r="AW131" s="2">
        <f>VLOOKUP(B30,Table1[],8)</f>
        <v>0</v>
      </c>
      <c r="AX131">
        <f>VLOOKUP(B30,Table2[],8)</f>
        <v>0</v>
      </c>
      <c r="AY131">
        <f>IF(AND('Ship Info'!$F$7,'Ship Info'!$C$5&gt;=100),AW131,IF($B$4&lt;100,AX131,AW131))</f>
        <v>0</v>
      </c>
      <c r="AZ131">
        <f>VLOOKUP(C30,Table3[],11)</f>
        <v>0</v>
      </c>
      <c r="BA131" s="46">
        <f t="shared" si="48"/>
        <v>0</v>
      </c>
    </row>
    <row r="132" spans="22:53">
      <c r="V132" t="s">
        <v>1169</v>
      </c>
      <c r="X132" s="16" t="s">
        <v>1172</v>
      </c>
      <c r="Z132" t="s">
        <v>1169</v>
      </c>
      <c r="AA132">
        <v>1</v>
      </c>
      <c r="AC132">
        <v>-0.1</v>
      </c>
      <c r="AD132">
        <v>0.1</v>
      </c>
      <c r="AE132" t="s">
        <v>1167</v>
      </c>
      <c r="AF132" s="2">
        <v>1</v>
      </c>
      <c r="AG132" t="s">
        <v>1182</v>
      </c>
      <c r="AI132" s="46"/>
      <c r="AL132">
        <v>20</v>
      </c>
      <c r="AM132" s="22" t="str">
        <f t="shared" si="49"/>
        <v/>
      </c>
      <c r="AS132" s="22" t="str">
        <f t="shared" si="50"/>
        <v/>
      </c>
      <c r="AU132" s="22" t="str">
        <f>IF(AA47=0,"",IF(I31="No",""," Ignore Ion")&amp;IF(J31="No","",", CS-1")&amp;IF(VLOOKUP(E31,Table5[],13)="","",", "&amp;VLOOKUP(E31,Table5[],13))&amp;IF(VLOOKUP(F31,Table5[],13)="","",", "&amp;VLOOKUP(F31,Table5[],13))&amp;IF(VLOOKUP(G31,Table5[],13)="","",""&amp;VLOOKUP(G31,Table5[],13)))</f>
        <v/>
      </c>
      <c r="AV132" s="141">
        <v>20</v>
      </c>
      <c r="AW132" s="131">
        <f>VLOOKUP(B31,Table1[],8)</f>
        <v>0</v>
      </c>
      <c r="AX132" s="28">
        <f>VLOOKUP(B31,Table2[],8)</f>
        <v>0</v>
      </c>
      <c r="AY132">
        <f>IF(AND('Ship Info'!$F$7,'Ship Info'!$C$5&gt;=100),AW132,IF($B$4&lt;100,AX132,AW132))</f>
        <v>0</v>
      </c>
      <c r="AZ132" s="28">
        <f>VLOOKUP(C31,Table3[],11)</f>
        <v>0</v>
      </c>
      <c r="BA132" s="79">
        <f t="shared" si="48"/>
        <v>0</v>
      </c>
    </row>
    <row r="133" spans="22:53">
      <c r="V133" t="s">
        <v>1170</v>
      </c>
      <c r="X133" s="16" t="s">
        <v>1173</v>
      </c>
      <c r="Z133" t="s">
        <v>1171</v>
      </c>
      <c r="AA133">
        <v>3</v>
      </c>
      <c r="AC133">
        <v>-0.2</v>
      </c>
      <c r="AD133">
        <v>0.3</v>
      </c>
      <c r="AE133" t="s">
        <v>386</v>
      </c>
      <c r="AF133" s="2">
        <v>3</v>
      </c>
      <c r="AG133" t="s">
        <v>1184</v>
      </c>
      <c r="AI133" s="46"/>
    </row>
    <row r="134" spans="22:53">
      <c r="V134" t="s">
        <v>1171</v>
      </c>
      <c r="X134" s="16" t="s">
        <v>1174</v>
      </c>
      <c r="Z134" t="s">
        <v>1170</v>
      </c>
      <c r="AA134">
        <v>2</v>
      </c>
      <c r="AC134">
        <v>-0.15</v>
      </c>
      <c r="AD134">
        <v>0.2</v>
      </c>
      <c r="AE134" t="s">
        <v>1168</v>
      </c>
      <c r="AF134" s="2">
        <v>2</v>
      </c>
      <c r="AG134" t="s">
        <v>1183</v>
      </c>
      <c r="AI134" s="46"/>
      <c r="AL134" s="9" t="s">
        <v>1198</v>
      </c>
      <c r="AM134" s="22" t="str">
        <f>IF(D32=0,"",", "&amp;D32&amp;"x Small Weapons Mounts"&amp;IF(J32="No","",", Armored"))&amp;IF(D33=0,"",", "&amp;D33&amp;"x Small Weapons Turrets"&amp;IF(J33="No","",", Armored"))&amp;IF(D34=0,"",", "&amp;F34&amp;" tons Vehicle Weapons &gt;.25 Dt on "&amp;D34&amp;" Fixed Mounts")</f>
        <v/>
      </c>
    </row>
    <row r="135" spans="22:53">
      <c r="V135" s="16" t="s">
        <v>1172</v>
      </c>
      <c r="X135" s="16" t="s">
        <v>1175</v>
      </c>
      <c r="Z135" s="16" t="s">
        <v>1172</v>
      </c>
      <c r="AA135">
        <v>1</v>
      </c>
      <c r="AB135">
        <v>0</v>
      </c>
      <c r="AC135">
        <v>0</v>
      </c>
      <c r="AD135">
        <v>0</v>
      </c>
      <c r="AE135" t="s">
        <v>415</v>
      </c>
      <c r="AF135" s="2">
        <v>1</v>
      </c>
      <c r="AG135" s="16" t="s">
        <v>1163</v>
      </c>
      <c r="AH135" s="125" t="s">
        <v>732</v>
      </c>
      <c r="AI135" s="46"/>
      <c r="AW135" s="3" t="s">
        <v>326</v>
      </c>
      <c r="AX135" s="3" t="s">
        <v>391</v>
      </c>
    </row>
    <row r="136" spans="22:53">
      <c r="V136" s="16" t="s">
        <v>1173</v>
      </c>
      <c r="X136" s="16" t="s">
        <v>1176</v>
      </c>
      <c r="Z136" s="16" t="s">
        <v>1173</v>
      </c>
      <c r="AA136">
        <v>1</v>
      </c>
      <c r="AB136">
        <v>-0.25</v>
      </c>
      <c r="AC136">
        <v>0</v>
      </c>
      <c r="AD136">
        <v>0</v>
      </c>
      <c r="AE136" t="s">
        <v>418</v>
      </c>
      <c r="AF136" s="2">
        <v>1</v>
      </c>
      <c r="AG136" s="16" t="s">
        <v>649</v>
      </c>
      <c r="AH136" s="125"/>
      <c r="AI136" s="46"/>
      <c r="AL136" s="9" t="s">
        <v>636</v>
      </c>
      <c r="AM136" s="22" t="str">
        <f>IF(B36=Z113,"","Class "&amp;D36&amp;" "&amp;B36&amp;IF(I36="No",""," EM Hardened")&amp;IF(J36="No","",", Armored")&amp;" "&amp;Z157&amp;Z158&amp;Z159)</f>
        <v/>
      </c>
      <c r="AS136" s="22" t="str">
        <f>IF(B36=Z113,"","Class "&amp;D36&amp;" "&amp;B36)</f>
        <v/>
      </c>
      <c r="AU136" s="22" t="str">
        <f>IF(B36=Z113,"",IF(I36="No",""," Ignore Ion")&amp;IF(J36="No","",", CS-1")&amp;" "&amp;Z161&amp;Z162&amp;Z163)</f>
        <v/>
      </c>
      <c r="AW136" s="22" t="str">
        <f>INDEX(Z113:AH121,MATCH(B36,Z113:Z121,0),3)</f>
        <v/>
      </c>
      <c r="AX136" s="22" t="str">
        <f>IF(D36=0,"",D36*INDEX(Z113:AH121,MATCH(B36,Z113:Z121,0),6)&amp;"DD (xK)")</f>
        <v>0DD (xK)</v>
      </c>
    </row>
    <row r="137" spans="22:53">
      <c r="V137" s="16" t="s">
        <v>1174</v>
      </c>
      <c r="X137" t="s">
        <v>1177</v>
      </c>
      <c r="Z137" s="16" t="s">
        <v>1174</v>
      </c>
      <c r="AA137">
        <v>1</v>
      </c>
      <c r="AB137">
        <v>0</v>
      </c>
      <c r="AC137">
        <v>0</v>
      </c>
      <c r="AD137">
        <v>0</v>
      </c>
      <c r="AE137" t="s">
        <v>1203</v>
      </c>
      <c r="AF137" s="2">
        <v>1</v>
      </c>
      <c r="AG137" s="16" t="s">
        <v>1164</v>
      </c>
      <c r="AH137" s="125" t="s">
        <v>733</v>
      </c>
      <c r="AI137" s="46"/>
    </row>
    <row r="138" spans="22:53">
      <c r="V138" s="16" t="s">
        <v>1175</v>
      </c>
      <c r="X138" s="16" t="s">
        <v>1178</v>
      </c>
      <c r="Z138" s="16" t="s">
        <v>1175</v>
      </c>
      <c r="AA138">
        <v>1</v>
      </c>
      <c r="AB138">
        <v>0</v>
      </c>
      <c r="AC138">
        <v>0</v>
      </c>
      <c r="AD138">
        <v>0</v>
      </c>
      <c r="AE138" t="s">
        <v>379</v>
      </c>
      <c r="AF138" s="2">
        <v>1</v>
      </c>
      <c r="AG138" s="16" t="s">
        <v>1165</v>
      </c>
      <c r="AH138" s="125" t="s">
        <v>734</v>
      </c>
      <c r="AI138" s="46"/>
    </row>
    <row r="139" spans="22:53">
      <c r="V139" s="16" t="s">
        <v>1176</v>
      </c>
      <c r="X139" s="16" t="s">
        <v>1179</v>
      </c>
      <c r="Z139" s="16" t="s">
        <v>1176</v>
      </c>
      <c r="AA139">
        <v>2</v>
      </c>
      <c r="AB139">
        <v>0</v>
      </c>
      <c r="AC139">
        <v>0</v>
      </c>
      <c r="AD139">
        <v>0</v>
      </c>
      <c r="AE139" t="s">
        <v>735</v>
      </c>
      <c r="AF139" s="2">
        <v>2</v>
      </c>
      <c r="AG139" s="16" t="s">
        <v>651</v>
      </c>
      <c r="AH139" s="125"/>
      <c r="AI139" s="46"/>
    </row>
    <row r="140" spans="22:53">
      <c r="V140" t="s">
        <v>1177</v>
      </c>
      <c r="X140" t="s">
        <v>1017</v>
      </c>
      <c r="Z140" t="s">
        <v>1177</v>
      </c>
      <c r="AA140">
        <v>2</v>
      </c>
      <c r="AB140">
        <v>0</v>
      </c>
      <c r="AC140">
        <v>0</v>
      </c>
      <c r="AD140">
        <v>0</v>
      </c>
      <c r="AE140" t="s">
        <v>731</v>
      </c>
      <c r="AF140" s="2">
        <v>2</v>
      </c>
      <c r="AG140" t="s">
        <v>652</v>
      </c>
      <c r="AH140" s="125" t="s">
        <v>735</v>
      </c>
      <c r="AI140" s="46"/>
    </row>
    <row r="141" spans="22:53">
      <c r="V141" s="16" t="s">
        <v>1178</v>
      </c>
      <c r="X141" t="s">
        <v>1018</v>
      </c>
      <c r="Z141" s="16" t="s">
        <v>1178</v>
      </c>
      <c r="AA141">
        <v>2</v>
      </c>
      <c r="AB141">
        <v>0</v>
      </c>
      <c r="AC141">
        <v>0</v>
      </c>
      <c r="AD141">
        <v>0</v>
      </c>
      <c r="AE141" t="s">
        <v>385</v>
      </c>
      <c r="AF141" s="2">
        <v>2</v>
      </c>
      <c r="AG141" s="16" t="s">
        <v>653</v>
      </c>
      <c r="AH141" s="125" t="s">
        <v>731</v>
      </c>
      <c r="AI141" s="46"/>
    </row>
    <row r="142" spans="22:53">
      <c r="V142" s="16" t="s">
        <v>1179</v>
      </c>
      <c r="X142" t="s">
        <v>1019</v>
      </c>
      <c r="Z142" s="16" t="s">
        <v>1179</v>
      </c>
      <c r="AA142">
        <v>2</v>
      </c>
      <c r="AB142">
        <v>0</v>
      </c>
      <c r="AC142">
        <v>0</v>
      </c>
      <c r="AD142">
        <v>0</v>
      </c>
      <c r="AE142" t="s">
        <v>1204</v>
      </c>
      <c r="AF142" s="2">
        <v>2</v>
      </c>
      <c r="AG142" s="16" t="s">
        <v>654</v>
      </c>
      <c r="AH142" s="125" t="s">
        <v>736</v>
      </c>
      <c r="AI142" s="46"/>
    </row>
    <row r="143" spans="22:53">
      <c r="V143" t="s">
        <v>1017</v>
      </c>
      <c r="X143" t="s">
        <v>1020</v>
      </c>
      <c r="Z143" t="s">
        <v>1017</v>
      </c>
      <c r="AA143">
        <v>-1</v>
      </c>
      <c r="AB143">
        <v>0</v>
      </c>
      <c r="AC143">
        <v>0.2</v>
      </c>
      <c r="AD143">
        <v>5</v>
      </c>
      <c r="AE143" t="s">
        <v>1202</v>
      </c>
      <c r="AF143" s="2">
        <v>3</v>
      </c>
      <c r="AG143" t="s">
        <v>1032</v>
      </c>
      <c r="AH143" s="125" t="s">
        <v>737</v>
      </c>
      <c r="AI143" s="46"/>
    </row>
    <row r="144" spans="22:53">
      <c r="V144" t="s">
        <v>1018</v>
      </c>
      <c r="X144" t="s">
        <v>1021</v>
      </c>
      <c r="Z144" t="s">
        <v>1018</v>
      </c>
      <c r="AA144">
        <v>-1</v>
      </c>
      <c r="AB144">
        <v>0</v>
      </c>
      <c r="AC144">
        <v>0</v>
      </c>
      <c r="AD144">
        <v>5</v>
      </c>
      <c r="AE144" t="s">
        <v>1041</v>
      </c>
      <c r="AF144" s="2">
        <v>3</v>
      </c>
      <c r="AG144" t="s">
        <v>1033</v>
      </c>
      <c r="AH144" s="125"/>
      <c r="AI144" s="46"/>
    </row>
    <row r="145" spans="22:35">
      <c r="V145" t="s">
        <v>1019</v>
      </c>
      <c r="X145" t="s">
        <v>1022</v>
      </c>
      <c r="Z145" t="s">
        <v>1019</v>
      </c>
      <c r="AA145">
        <v>-1</v>
      </c>
      <c r="AB145">
        <v>0.3</v>
      </c>
      <c r="AC145">
        <v>0</v>
      </c>
      <c r="AD145">
        <v>5</v>
      </c>
      <c r="AE145" t="s">
        <v>416</v>
      </c>
      <c r="AF145" s="2">
        <v>3</v>
      </c>
      <c r="AG145" t="s">
        <v>1034</v>
      </c>
      <c r="AH145" s="125" t="s">
        <v>1041</v>
      </c>
      <c r="AI145" s="46"/>
    </row>
    <row r="146" spans="22:35">
      <c r="V146" t="s">
        <v>1020</v>
      </c>
      <c r="X146" t="s">
        <v>1023</v>
      </c>
      <c r="Z146" t="s">
        <v>1020</v>
      </c>
      <c r="AA146">
        <v>-2</v>
      </c>
      <c r="AB146">
        <v>0</v>
      </c>
      <c r="AC146">
        <v>1.4</v>
      </c>
      <c r="AD146">
        <v>10</v>
      </c>
      <c r="AE146" t="s">
        <v>1205</v>
      </c>
      <c r="AF146" s="2">
        <v>3</v>
      </c>
      <c r="AG146" t="s">
        <v>1035</v>
      </c>
      <c r="AH146" s="125"/>
      <c r="AI146" s="46"/>
    </row>
    <row r="147" spans="22:35">
      <c r="V147" t="s">
        <v>1021</v>
      </c>
      <c r="X147" t="s">
        <v>1024</v>
      </c>
      <c r="Z147" t="s">
        <v>1021</v>
      </c>
      <c r="AA147">
        <v>-2</v>
      </c>
      <c r="AB147">
        <v>0.3</v>
      </c>
      <c r="AC147">
        <v>1.2</v>
      </c>
      <c r="AD147">
        <v>10</v>
      </c>
      <c r="AE147" t="s">
        <v>1206</v>
      </c>
      <c r="AF147" s="2">
        <v>3</v>
      </c>
      <c r="AG147" t="s">
        <v>1036</v>
      </c>
      <c r="AH147" s="125"/>
      <c r="AI147" s="46"/>
    </row>
    <row r="148" spans="22:35">
      <c r="V148" t="s">
        <v>1022</v>
      </c>
      <c r="X148" t="s">
        <v>1025</v>
      </c>
      <c r="Z148" t="s">
        <v>1022</v>
      </c>
      <c r="AA148">
        <v>-2</v>
      </c>
      <c r="AB148">
        <v>0</v>
      </c>
      <c r="AC148">
        <v>1.2</v>
      </c>
      <c r="AD148">
        <v>10</v>
      </c>
      <c r="AE148" t="s">
        <v>1207</v>
      </c>
      <c r="AF148" s="2">
        <v>3</v>
      </c>
      <c r="AG148" t="s">
        <v>1037</v>
      </c>
      <c r="AH148" s="125"/>
      <c r="AI148" s="46"/>
    </row>
    <row r="149" spans="22:35">
      <c r="V149" t="s">
        <v>1023</v>
      </c>
      <c r="Z149" t="s">
        <v>1023</v>
      </c>
      <c r="AA149">
        <v>-2</v>
      </c>
      <c r="AB149">
        <v>0</v>
      </c>
      <c r="AC149">
        <v>1</v>
      </c>
      <c r="AD149">
        <v>10</v>
      </c>
      <c r="AE149" t="s">
        <v>1208</v>
      </c>
      <c r="AF149" s="2">
        <v>3</v>
      </c>
      <c r="AG149" t="s">
        <v>1038</v>
      </c>
      <c r="AH149" s="125" t="s">
        <v>1041</v>
      </c>
      <c r="AI149" s="46"/>
    </row>
    <row r="150" spans="22:35">
      <c r="V150" t="s">
        <v>1024</v>
      </c>
      <c r="Z150" t="s">
        <v>1024</v>
      </c>
      <c r="AA150">
        <v>-2</v>
      </c>
      <c r="AB150">
        <v>0.3</v>
      </c>
      <c r="AC150">
        <v>1</v>
      </c>
      <c r="AD150">
        <v>10</v>
      </c>
      <c r="AE150" t="s">
        <v>1030</v>
      </c>
      <c r="AF150" s="2">
        <v>3</v>
      </c>
      <c r="AG150" t="s">
        <v>1039</v>
      </c>
      <c r="AH150" s="125" t="s">
        <v>1042</v>
      </c>
      <c r="AI150" s="46"/>
    </row>
    <row r="151" spans="22:35">
      <c r="V151" t="s">
        <v>1025</v>
      </c>
      <c r="Z151" t="s">
        <v>1025</v>
      </c>
      <c r="AA151">
        <v>-2</v>
      </c>
      <c r="AB151">
        <v>0.6</v>
      </c>
      <c r="AC151">
        <v>1</v>
      </c>
      <c r="AD151">
        <v>10</v>
      </c>
      <c r="AE151" t="s">
        <v>1031</v>
      </c>
      <c r="AF151" s="2">
        <v>3</v>
      </c>
      <c r="AG151" t="s">
        <v>1040</v>
      </c>
      <c r="AH151" s="126" t="s">
        <v>1041</v>
      </c>
      <c r="AI151" s="79"/>
    </row>
    <row r="153" spans="22:35">
      <c r="X153" s="1" t="s">
        <v>1186</v>
      </c>
      <c r="Y153" s="1" t="s">
        <v>1187</v>
      </c>
      <c r="Z153" s="1" t="s">
        <v>1185</v>
      </c>
      <c r="AA153" s="1" t="s">
        <v>322</v>
      </c>
      <c r="AB153">
        <f>INDEX(Z113:AH121,MATCH(B36,Z113:Z121,0),5)</f>
        <v>0</v>
      </c>
      <c r="AC153">
        <f>VLOOKUP(E36,Table6[],3)</f>
        <v>0</v>
      </c>
      <c r="AD153">
        <f>VLOOKUP(F36,Table6[],3)</f>
        <v>0</v>
      </c>
      <c r="AE153">
        <f>VLOOKUP(G36,Table6[],3)</f>
        <v>0</v>
      </c>
    </row>
    <row r="154" spans="22:35">
      <c r="X154" s="2">
        <f>INDEX(Z113:AH121,MATCH(B36,Z113:Z121,0),2)</f>
        <v>0</v>
      </c>
      <c r="Y154" s="2">
        <f>VLOOKUP(E36,Table6[],2)+VLOOKUP(F36,Table6[],2)+VLOOKUP(G36,Table6[],2)</f>
        <v>0</v>
      </c>
      <c r="Z154" s="2">
        <f>IF(B36=Z113,0,D36*INDEX(Z113:AH121,MATCH(B36,Z113:Z121,0),4)*(1+VLOOKUP(E36,Table6[],4)+VLOOKUP(F36,Table6[],4)+VLOOKUP(G36,Table6[],4)))</f>
        <v>0</v>
      </c>
      <c r="AA154" s="2">
        <f>D36*AB153*(1+AC153+AD153+AE153)</f>
        <v>0</v>
      </c>
    </row>
    <row r="155" spans="22:35">
      <c r="Z155" s="1" t="s">
        <v>1188</v>
      </c>
      <c r="AA155" t="s">
        <v>1064</v>
      </c>
      <c r="AB155" t="s">
        <v>1065</v>
      </c>
      <c r="AC155" t="s">
        <v>1066</v>
      </c>
      <c r="AD155" t="s">
        <v>123</v>
      </c>
    </row>
    <row r="156" spans="22:35">
      <c r="Z156">
        <f>D36*INDEX(Z113:AH121,MATCH(B36,Z113:Z121,0),7)*SUM(1,AD156)</f>
        <v>0</v>
      </c>
      <c r="AA156">
        <f>VLOOKUP(E36,Table6[],5)</f>
        <v>0</v>
      </c>
      <c r="AB156">
        <f>VLOOKUP(F36,Table6[],5)</f>
        <v>0</v>
      </c>
      <c r="AC156">
        <f>VLOOKUP(G36,Table6[],5)</f>
        <v>0</v>
      </c>
      <c r="AD156">
        <f>IF(SUM(AA156:AC156)=0,VLOOKUP(H36,AC17:AD20,2),SUM(AA156:AC156))</f>
        <v>0</v>
      </c>
    </row>
    <row r="157" spans="22:35">
      <c r="X157" t="s">
        <v>1209</v>
      </c>
      <c r="Y157">
        <v>1</v>
      </c>
      <c r="Z157" t="str">
        <f>IF(E36="A Standard","",VLOOKUP(E36,Table6[],8)&amp;IF(AND(E36=G36,E36=F36)," x3",IF(OR(E36=F36,E36=G36)," x2","")))</f>
        <v/>
      </c>
    </row>
    <row r="158" spans="22:35">
      <c r="Y158">
        <v>2</v>
      </c>
      <c r="Z158" t="str">
        <f>IF(F36="A Standard","",IF(E36=F36,"",IF(Z157="","",", ")&amp;VLOOKUP(F36,Table6[],8)&amp;IF(F36=G36," x2","")))</f>
        <v/>
      </c>
    </row>
    <row r="159" spans="22:35">
      <c r="Y159">
        <v>3</v>
      </c>
      <c r="Z159" t="str">
        <f>IF(G36="A Standard","",IF(OR(G36=E36,G36=F36),"", IF(AND(Z157="",Z158=""),"",", ")&amp;VLOOKUP(G36,Table6[],8)))</f>
        <v/>
      </c>
    </row>
    <row r="161" spans="24:26">
      <c r="X161" t="s">
        <v>701</v>
      </c>
      <c r="Y161">
        <v>1</v>
      </c>
      <c r="Z161" t="str">
        <f>IF(E36="A Standard","",VLOOKUP(E36,Table6[],6)&amp;IF(AND(E36=G36,E36=F36)," x3",IF(OR(E36=F36,E36=G36)," x2","")))</f>
        <v/>
      </c>
    </row>
    <row r="162" spans="24:26">
      <c r="Y162">
        <v>2</v>
      </c>
      <c r="Z162" t="str">
        <f>IF(F36="A Standard","",IF(E36=F36,"",IF(Z161="","",", ")&amp;VLOOKUP(F36,Table6[],6)&amp;IF(F36=G36," x2","")))</f>
        <v/>
      </c>
    </row>
    <row r="163" spans="24:26">
      <c r="Y163">
        <v>3</v>
      </c>
      <c r="Z163" t="str">
        <f>IF(G36="A Standard","",IF(OR(G36=E36,G36=F36),"", IF(AND(Z161="",Z162=""),"",", ")&amp;VLOOKUP(G36,Table6[],6)))</f>
        <v/>
      </c>
    </row>
  </sheetData>
  <sheetProtection algorithmName="SHA-512" hashValue="P52kcqyzgqL2w+tM/PDEptRN9nU/nlipmfXiZEjGOAHB5HL/bYYGHsTR5JrmwmPTuwKdDC9fhanenX3Pe9V0VQ==" saltValue="wO+ZQaCfvvYQfm6WZk9Xlw==" spinCount="100000" sheet="1" selectLockedCells="1"/>
  <sortState xmlns:xlrd2="http://schemas.microsoft.com/office/spreadsheetml/2017/richdata2" ref="V63:V70">
    <sortCondition ref="V63:V70"/>
  </sortState>
  <mergeCells count="31">
    <mergeCell ref="A6:B10"/>
    <mergeCell ref="B5:C5"/>
    <mergeCell ref="R41:S41"/>
    <mergeCell ref="N4:O4"/>
    <mergeCell ref="Q4:R4"/>
    <mergeCell ref="R39:S39"/>
    <mergeCell ref="R40:S40"/>
    <mergeCell ref="E37:F37"/>
    <mergeCell ref="E3:E4"/>
    <mergeCell ref="F3:F4"/>
    <mergeCell ref="G3:G4"/>
    <mergeCell ref="A32:B33"/>
    <mergeCell ref="S36:S37"/>
    <mergeCell ref="M45:O45"/>
    <mergeCell ref="M46:O46"/>
    <mergeCell ref="M47:O47"/>
    <mergeCell ref="J46:K46"/>
    <mergeCell ref="J47:K47"/>
    <mergeCell ref="M49:O49"/>
    <mergeCell ref="J50:K50"/>
    <mergeCell ref="M50:O50"/>
    <mergeCell ref="M52:O52"/>
    <mergeCell ref="J53:K53"/>
    <mergeCell ref="M53:O53"/>
    <mergeCell ref="P53:Q53"/>
    <mergeCell ref="P45:Q45"/>
    <mergeCell ref="P49:Q49"/>
    <mergeCell ref="P52:Q52"/>
    <mergeCell ref="P46:Q46"/>
    <mergeCell ref="P47:Q47"/>
    <mergeCell ref="P50:Q50"/>
  </mergeCells>
  <phoneticPr fontId="13" type="noConversion"/>
  <conditionalFormatting sqref="B5">
    <cfRule type="expression" dxfId="375" priority="37">
      <formula>SUM($AO$28:$AO$47)&gt;0</formula>
    </cfRule>
  </conditionalFormatting>
  <conditionalFormatting sqref="B12">
    <cfRule type="expression" dxfId="374" priority="91">
      <formula>AO28=1</formula>
    </cfRule>
  </conditionalFormatting>
  <conditionalFormatting sqref="B13:B14">
    <cfRule type="expression" dxfId="373" priority="38">
      <formula>AO29&gt;0</formula>
    </cfRule>
  </conditionalFormatting>
  <conditionalFormatting sqref="B15">
    <cfRule type="expression" dxfId="372" priority="516">
      <formula>AND($A$15="N/A",$B$15&gt;$BB$2)</formula>
    </cfRule>
  </conditionalFormatting>
  <conditionalFormatting sqref="B16">
    <cfRule type="expression" dxfId="371" priority="517">
      <formula>AND($A$16="N/A",$B$16&gt;$BB$2)</formula>
    </cfRule>
  </conditionalFormatting>
  <conditionalFormatting sqref="B17">
    <cfRule type="expression" dxfId="370" priority="518">
      <formula>AND($A$17="N/A",$B$17&gt;$BB$2)</formula>
    </cfRule>
  </conditionalFormatting>
  <conditionalFormatting sqref="B18">
    <cfRule type="expression" dxfId="369" priority="519">
      <formula>AND($A$18="N/A",$B$18&gt;$BB$2)</formula>
    </cfRule>
  </conditionalFormatting>
  <conditionalFormatting sqref="B19">
    <cfRule type="expression" dxfId="368" priority="520">
      <formula>AND($A$19="N/A",$B$19&gt;$BB$2)</formula>
    </cfRule>
  </conditionalFormatting>
  <conditionalFormatting sqref="B20">
    <cfRule type="expression" dxfId="367" priority="521">
      <formula>AND($A$20="N/A",$B$20&gt;$BB$2)</formula>
    </cfRule>
  </conditionalFormatting>
  <conditionalFormatting sqref="B21">
    <cfRule type="expression" dxfId="366" priority="522">
      <formula>AND($A$21="N/A",$B$21&gt;$BB$2)</formula>
    </cfRule>
  </conditionalFormatting>
  <conditionalFormatting sqref="B22">
    <cfRule type="expression" dxfId="365" priority="523">
      <formula>AND($A$22="N/A",$B$22&gt;$BB$2)</formula>
    </cfRule>
  </conditionalFormatting>
  <conditionalFormatting sqref="B23">
    <cfRule type="expression" dxfId="364" priority="524">
      <formula>AND($A$23="N/A",$B$23&gt;$BB$2)</formula>
    </cfRule>
  </conditionalFormatting>
  <conditionalFormatting sqref="B24">
    <cfRule type="expression" dxfId="363" priority="525">
      <formula>AND($A$24="N/A",$B$24&gt;$BB$2)</formula>
    </cfRule>
  </conditionalFormatting>
  <conditionalFormatting sqref="B25">
    <cfRule type="expression" dxfId="362" priority="526">
      <formula>AND($A$25="N/A",$B$25&gt;$BB$2)</formula>
    </cfRule>
  </conditionalFormatting>
  <conditionalFormatting sqref="B26">
    <cfRule type="expression" dxfId="361" priority="527">
      <formula>AND($A$26="N/A",$B$26&gt;$BB$2)</formula>
    </cfRule>
  </conditionalFormatting>
  <conditionalFormatting sqref="B27">
    <cfRule type="expression" dxfId="360" priority="528">
      <formula>AND($A$27="N/A",$B$27&gt;$BB$2)</formula>
    </cfRule>
  </conditionalFormatting>
  <conditionalFormatting sqref="B28">
    <cfRule type="expression" dxfId="359" priority="529">
      <formula>AND($A$28="N/A",$B$28&gt;$BB$2)</formula>
    </cfRule>
  </conditionalFormatting>
  <conditionalFormatting sqref="B29">
    <cfRule type="expression" dxfId="358" priority="530">
      <formula>AND($A$29="N/A",$B$29&gt;$BB$2)</formula>
    </cfRule>
  </conditionalFormatting>
  <conditionalFormatting sqref="B30">
    <cfRule type="expression" dxfId="357" priority="531">
      <formula>AND($A$30="N/A",$B$30&gt;$BB$2)</formula>
    </cfRule>
  </conditionalFormatting>
  <conditionalFormatting sqref="B31">
    <cfRule type="expression" dxfId="356" priority="532">
      <formula>AND($A$31="N/A",$B$31&gt;$BB$2)</formula>
    </cfRule>
  </conditionalFormatting>
  <conditionalFormatting sqref="C6">
    <cfRule type="expression" dxfId="355" priority="101">
      <formula>B4&lt;100</formula>
    </cfRule>
  </conditionalFormatting>
  <conditionalFormatting sqref="C7">
    <cfRule type="expression" dxfId="354" priority="98">
      <formula>B4&lt;100</formula>
    </cfRule>
  </conditionalFormatting>
  <conditionalFormatting sqref="C8">
    <cfRule type="expression" dxfId="353" priority="94">
      <formula>B4&lt;100</formula>
    </cfRule>
  </conditionalFormatting>
  <conditionalFormatting sqref="C12">
    <cfRule type="expression" dxfId="352" priority="923">
      <formula>$BA$113&gt;0</formula>
    </cfRule>
    <cfRule type="expression" dxfId="351" priority="924">
      <formula>$E$5="Yes"</formula>
    </cfRule>
  </conditionalFormatting>
  <conditionalFormatting sqref="C12:C31">
    <cfRule type="expression" dxfId="350" priority="925">
      <formula>$BA113&gt;0</formula>
    </cfRule>
  </conditionalFormatting>
  <conditionalFormatting sqref="C13">
    <cfRule type="expression" dxfId="349" priority="541">
      <formula>$F$5="Yes"</formula>
    </cfRule>
  </conditionalFormatting>
  <conditionalFormatting sqref="C14">
    <cfRule type="expression" dxfId="348" priority="545">
      <formula>$G$5="Yes"</formula>
    </cfRule>
  </conditionalFormatting>
  <conditionalFormatting sqref="D12:D31">
    <cfRule type="expression" dxfId="347" priority="5">
      <formula>AND($B12&lt;&gt;$Z$2,$D12=0)</formula>
    </cfRule>
  </conditionalFormatting>
  <conditionalFormatting sqref="D33">
    <cfRule type="cellIs" dxfId="346" priority="10" operator="greaterThan">
      <formula>0</formula>
    </cfRule>
    <cfRule type="expression" dxfId="345" priority="3">
      <formula>AND($B$4&lt;50.1,$D$33&gt;0)</formula>
    </cfRule>
  </conditionalFormatting>
  <conditionalFormatting sqref="D33:D34 F34">
    <cfRule type="expression" dxfId="344" priority="4">
      <formula>$B$4&lt;50.01</formula>
    </cfRule>
  </conditionalFormatting>
  <conditionalFormatting sqref="D34 F34 D32">
    <cfRule type="cellIs" dxfId="343" priority="11" operator="greaterThan">
      <formula>0</formula>
    </cfRule>
  </conditionalFormatting>
  <conditionalFormatting sqref="D34">
    <cfRule type="expression" dxfId="342" priority="2">
      <formula>AND($B$4&lt;50.1,$D$34&gt;0)</formula>
    </cfRule>
  </conditionalFormatting>
  <conditionalFormatting sqref="E5">
    <cfRule type="expression" dxfId="341" priority="100">
      <formula>B4&lt;100</formula>
    </cfRule>
    <cfRule type="expression" dxfId="340" priority="99" stopIfTrue="1">
      <formula>AND(E5="Yes",B4&lt;100)</formula>
    </cfRule>
  </conditionalFormatting>
  <conditionalFormatting sqref="E6">
    <cfRule type="expression" dxfId="339" priority="64">
      <formula>$U$6=0</formula>
    </cfRule>
  </conditionalFormatting>
  <conditionalFormatting sqref="E6:E9">
    <cfRule type="expression" dxfId="338" priority="535">
      <formula>$E$5="No"</formula>
    </cfRule>
  </conditionalFormatting>
  <conditionalFormatting sqref="E7">
    <cfRule type="expression" dxfId="337" priority="65">
      <formula>$U$6&lt;2</formula>
    </cfRule>
  </conditionalFormatting>
  <conditionalFormatting sqref="E8">
    <cfRule type="expression" dxfId="336" priority="63">
      <formula>$U$6&lt;3</formula>
    </cfRule>
  </conditionalFormatting>
  <conditionalFormatting sqref="E9">
    <cfRule type="expression" dxfId="335" priority="62">
      <formula>$U$6&lt;4</formula>
    </cfRule>
  </conditionalFormatting>
  <conditionalFormatting sqref="E37">
    <cfRule type="expression" dxfId="334" priority="6">
      <formula>$W$60&gt;0</formula>
    </cfRule>
  </conditionalFormatting>
  <conditionalFormatting sqref="E12:G12 E14:G14 E16:G16 E18:G18 E20:G20 E22:G22 E24:G24 E26:G26 E28:G28 E30:G30">
    <cfRule type="cellIs" dxfId="333" priority="45" operator="notEqual">
      <formula>"A Standard"</formula>
    </cfRule>
  </conditionalFormatting>
  <conditionalFormatting sqref="E12:G14">
    <cfRule type="expression" dxfId="332" priority="1">
      <formula>AND(Tonnage&lt;100,E12=$Z$66)</formula>
    </cfRule>
  </conditionalFormatting>
  <conditionalFormatting sqref="E13:G13 E15:G15 E17:G17 E19:G19 E21:G21 E23:G23 E25:G25 E27:G27 E29:G29 E31:G31 E36:G36">
    <cfRule type="cellIs" dxfId="331" priority="40" operator="notEqual">
      <formula>"A Standard"</formula>
    </cfRule>
  </conditionalFormatting>
  <conditionalFormatting sqref="F5">
    <cfRule type="expression" dxfId="330" priority="97">
      <formula>B4&lt;100</formula>
    </cfRule>
    <cfRule type="expression" dxfId="329" priority="96" stopIfTrue="1">
      <formula>AND(F5="Yes",B4&lt;100)</formula>
    </cfRule>
  </conditionalFormatting>
  <conditionalFormatting sqref="F6">
    <cfRule type="expression" dxfId="328" priority="61">
      <formula>$U$7=0</formula>
    </cfRule>
  </conditionalFormatting>
  <conditionalFormatting sqref="F6:F9">
    <cfRule type="expression" dxfId="327" priority="540">
      <formula>$F$5="No"</formula>
    </cfRule>
  </conditionalFormatting>
  <conditionalFormatting sqref="F7">
    <cfRule type="expression" dxfId="326" priority="60">
      <formula>$U$7&lt;2</formula>
    </cfRule>
  </conditionalFormatting>
  <conditionalFormatting sqref="F8">
    <cfRule type="expression" dxfId="325" priority="59">
      <formula>$U$7&lt;3</formula>
    </cfRule>
  </conditionalFormatting>
  <conditionalFormatting sqref="F9">
    <cfRule type="expression" dxfId="324" priority="58">
      <formula>$U$7&lt;4</formula>
    </cfRule>
  </conditionalFormatting>
  <conditionalFormatting sqref="F10">
    <cfRule type="expression" dxfId="323" priority="53">
      <formula>$W$57&gt;0</formula>
    </cfRule>
  </conditionalFormatting>
  <conditionalFormatting sqref="F50 H50:L50">
    <cfRule type="cellIs" dxfId="322" priority="49" operator="greaterThan">
      <formula>0</formula>
    </cfRule>
  </conditionalFormatting>
  <conditionalFormatting sqref="F53 H53:L53">
    <cfRule type="cellIs" dxfId="321" priority="47" operator="greaterThan">
      <formula>0</formula>
    </cfRule>
  </conditionalFormatting>
  <conditionalFormatting sqref="G1">
    <cfRule type="expression" dxfId="320" priority="41">
      <formula>$W$71&gt;0</formula>
    </cfRule>
  </conditionalFormatting>
  <conditionalFormatting sqref="G5">
    <cfRule type="expression" dxfId="319" priority="92" stopIfTrue="1">
      <formula>AND(G5="Yes",B4&lt;100)</formula>
    </cfRule>
    <cfRule type="expression" dxfId="318" priority="93">
      <formula>B4&lt;100</formula>
    </cfRule>
  </conditionalFormatting>
  <conditionalFormatting sqref="G6">
    <cfRule type="expression" dxfId="317" priority="57">
      <formula>$U$8=0</formula>
    </cfRule>
  </conditionalFormatting>
  <conditionalFormatting sqref="G6:G9">
    <cfRule type="expression" dxfId="316" priority="544">
      <formula>$G$5="No"</formula>
    </cfRule>
  </conditionalFormatting>
  <conditionalFormatting sqref="G7">
    <cfRule type="expression" dxfId="315" priority="56">
      <formula>$U$8&lt;2</formula>
    </cfRule>
  </conditionalFormatting>
  <conditionalFormatting sqref="G8">
    <cfRule type="expression" dxfId="314" priority="55">
      <formula>$U$8&lt;3</formula>
    </cfRule>
  </conditionalFormatting>
  <conditionalFormatting sqref="G9">
    <cfRule type="expression" dxfId="313" priority="54">
      <formula>$U$8&lt;4</formula>
    </cfRule>
  </conditionalFormatting>
  <conditionalFormatting sqref="G46 G50 G53">
    <cfRule type="cellIs" dxfId="312" priority="43" operator="equal">
      <formula>$V$71</formula>
    </cfRule>
  </conditionalFormatting>
  <conditionalFormatting sqref="G46">
    <cfRule type="cellIs" dxfId="311" priority="50" operator="notEqual">
      <formula>$V$63</formula>
    </cfRule>
  </conditionalFormatting>
  <conditionalFormatting sqref="G50">
    <cfRule type="cellIs" dxfId="310" priority="48" operator="notEqual">
      <formula>$V$63</formula>
    </cfRule>
  </conditionalFormatting>
  <conditionalFormatting sqref="G53">
    <cfRule type="cellIs" dxfId="309" priority="46" operator="notEqual">
      <formula>$V$63</formula>
    </cfRule>
  </conditionalFormatting>
  <conditionalFormatting sqref="G55">
    <cfRule type="expression" dxfId="308" priority="42">
      <formula>$W$71&gt;0</formula>
    </cfRule>
  </conditionalFormatting>
  <conditionalFormatting sqref="G40:O40 F46 H46:L46">
    <cfRule type="cellIs" dxfId="307" priority="51" operator="greaterThan">
      <formula>0</formula>
    </cfRule>
  </conditionalFormatting>
  <conditionalFormatting sqref="H12:H31 H36">
    <cfRule type="cellIs" dxfId="306" priority="72" operator="greaterThan">
      <formula>3</formula>
    </cfRule>
  </conditionalFormatting>
  <conditionalFormatting sqref="I12:I31">
    <cfRule type="expression" dxfId="305" priority="14">
      <formula>Q12=0</formula>
    </cfRule>
  </conditionalFormatting>
  <conditionalFormatting sqref="I5:J8">
    <cfRule type="expression" dxfId="304" priority="52">
      <formula>$J$8&gt;$J$6</formula>
    </cfRule>
  </conditionalFormatting>
  <conditionalFormatting sqref="I12:J36">
    <cfRule type="cellIs" dxfId="303" priority="9" stopIfTrue="1" operator="equal">
      <formula>"Yes"</formula>
    </cfRule>
  </conditionalFormatting>
  <conditionalFormatting sqref="I36:J36">
    <cfRule type="expression" dxfId="302" priority="35">
      <formula>$D$36=0</formula>
    </cfRule>
  </conditionalFormatting>
  <conditionalFormatting sqref="J12">
    <cfRule type="expression" dxfId="301" priority="44">
      <formula>$N$12=0</formula>
    </cfRule>
  </conditionalFormatting>
  <conditionalFormatting sqref="J13">
    <cfRule type="expression" dxfId="300" priority="34">
      <formula>$N$13=0</formula>
    </cfRule>
  </conditionalFormatting>
  <conditionalFormatting sqref="J14">
    <cfRule type="expression" dxfId="299" priority="33">
      <formula>$N$14=0</formula>
    </cfRule>
  </conditionalFormatting>
  <conditionalFormatting sqref="J15">
    <cfRule type="expression" dxfId="298" priority="32">
      <formula>$N$15=0</formula>
    </cfRule>
  </conditionalFormatting>
  <conditionalFormatting sqref="J16">
    <cfRule type="expression" dxfId="297" priority="31">
      <formula>$N$16=0</formula>
    </cfRule>
  </conditionalFormatting>
  <conditionalFormatting sqref="J17">
    <cfRule type="expression" dxfId="296" priority="30">
      <formula>$N$17=0</formula>
    </cfRule>
  </conditionalFormatting>
  <conditionalFormatting sqref="J18">
    <cfRule type="expression" dxfId="295" priority="29">
      <formula>$N$18=0</formula>
    </cfRule>
  </conditionalFormatting>
  <conditionalFormatting sqref="J19">
    <cfRule type="expression" dxfId="294" priority="28">
      <formula>$N$19=0</formula>
    </cfRule>
  </conditionalFormatting>
  <conditionalFormatting sqref="J20">
    <cfRule type="expression" dxfId="293" priority="27">
      <formula>$N$20=0</formula>
    </cfRule>
  </conditionalFormatting>
  <conditionalFormatting sqref="J21">
    <cfRule type="expression" dxfId="292" priority="26">
      <formula>$N$21=0</formula>
    </cfRule>
  </conditionalFormatting>
  <conditionalFormatting sqref="J22">
    <cfRule type="expression" dxfId="291" priority="25">
      <formula>$N$22=0</formula>
    </cfRule>
  </conditionalFormatting>
  <conditionalFormatting sqref="J23">
    <cfRule type="expression" dxfId="290" priority="24">
      <formula>$N$23=0</formula>
    </cfRule>
  </conditionalFormatting>
  <conditionalFormatting sqref="J24">
    <cfRule type="expression" dxfId="289" priority="23">
      <formula>$N$24=0</formula>
    </cfRule>
  </conditionalFormatting>
  <conditionalFormatting sqref="J25">
    <cfRule type="expression" dxfId="288" priority="22">
      <formula>$N$25=0</formula>
    </cfRule>
  </conditionalFormatting>
  <conditionalFormatting sqref="J26">
    <cfRule type="expression" dxfId="287" priority="21">
      <formula>$N$26=0</formula>
    </cfRule>
  </conditionalFormatting>
  <conditionalFormatting sqref="J27">
    <cfRule type="expression" dxfId="286" priority="20">
      <formula>$N$27=0</formula>
    </cfRule>
  </conditionalFormatting>
  <conditionalFormatting sqref="J28">
    <cfRule type="expression" dxfId="285" priority="19">
      <formula>$N$28=0</formula>
    </cfRule>
  </conditionalFormatting>
  <conditionalFormatting sqref="J29">
    <cfRule type="expression" dxfId="284" priority="18">
      <formula>$N$29=0</formula>
    </cfRule>
  </conditionalFormatting>
  <conditionalFormatting sqref="J30">
    <cfRule type="expression" dxfId="283" priority="17">
      <formula>$N$30=0</formula>
    </cfRule>
  </conditionalFormatting>
  <conditionalFormatting sqref="J31">
    <cfRule type="expression" dxfId="282" priority="16">
      <formula>$N$31=0</formula>
    </cfRule>
  </conditionalFormatting>
  <conditionalFormatting sqref="J33">
    <cfRule type="expression" dxfId="281" priority="36">
      <formula>OR($D$33=0,$B$4&lt;50)</formula>
    </cfRule>
  </conditionalFormatting>
  <conditionalFormatting sqref="J33:J34">
    <cfRule type="cellIs" dxfId="280" priority="13" stopIfTrue="1" operator="equal">
      <formula>"Yes"</formula>
    </cfRule>
  </conditionalFormatting>
  <conditionalFormatting sqref="J34">
    <cfRule type="expression" dxfId="279" priority="15">
      <formula>OR($D$34=0,$B$4&lt;50)</formula>
    </cfRule>
  </conditionalFormatting>
  <conditionalFormatting sqref="K12:K31 K36">
    <cfRule type="cellIs" dxfId="278" priority="73" operator="greaterThan">
      <formula>TL</formula>
    </cfRule>
  </conditionalFormatting>
  <conditionalFormatting sqref="N6">
    <cfRule type="expression" dxfId="277" priority="104">
      <formula>$N$6&lt;0</formula>
    </cfRule>
  </conditionalFormatting>
  <conditionalFormatting sqref="Q6">
    <cfRule type="expression" dxfId="276" priority="103">
      <formula>$Q$6&lt;0</formula>
    </cfRule>
  </conditionalFormatting>
  <dataValidations count="42">
    <dataValidation type="list" allowBlank="1" showInputMessage="1" showErrorMessage="1" sqref="B12" xr:uid="{0C84B930-0803-40E5-828D-18BD57807C17}">
      <formula1>$AS$2:$AS$16</formula1>
    </dataValidation>
    <dataValidation type="list" allowBlank="1" showInputMessage="1" showErrorMessage="1" sqref="B13" xr:uid="{9BEB2254-B2DF-4B11-99F1-C6302D15FB5E}">
      <formula1>$AT$2:$AT$16</formula1>
    </dataValidation>
    <dataValidation type="list" allowBlank="1" showInputMessage="1" showErrorMessage="1" sqref="B14" xr:uid="{FBDB76A7-6FF2-476E-9887-1BF4BD6C95E6}">
      <formula1>$AU$2:$AU$16</formula1>
    </dataValidation>
    <dataValidation type="list" allowBlank="1" showInputMessage="1" showErrorMessage="1" sqref="B15:B31" xr:uid="{2D90D933-6223-4BFE-8A50-3B568D5AD70F}">
      <formula1>$AV$2:$AV$23</formula1>
    </dataValidation>
    <dataValidation type="list" allowBlank="1" showInputMessage="1" showErrorMessage="1" sqref="I12:J31 I36:J36 J33:J34" xr:uid="{749C10AC-A698-405A-81B7-F689DCEAE7E3}">
      <formula1>$U$1:$U$2</formula1>
    </dataValidation>
    <dataValidation type="whole" operator="greaterThanOrEqual" allowBlank="1" showInputMessage="1" showErrorMessage="1" sqref="D12:D31" xr:uid="{56904941-5238-4E4C-9A97-F3D6459CA978}">
      <formula1>0</formula1>
    </dataValidation>
    <dataValidation type="list" allowBlank="1" showInputMessage="1" showErrorMessage="1" sqref="C12 E6:E9" xr:uid="{5FAFA7BB-D4A8-4921-B62F-6CBDBE7215FD}">
      <formula1>$AA$78:$AO$78</formula1>
    </dataValidation>
    <dataValidation type="list" allowBlank="1" showInputMessage="1" showErrorMessage="1" sqref="C13 F6:F9" xr:uid="{78705A8A-E4D6-4FBC-BCEB-9E1C6FF2E9A6}">
      <formula1>$AA$79:$AO$79</formula1>
    </dataValidation>
    <dataValidation type="list" allowBlank="1" showInputMessage="1" showErrorMessage="1" sqref="C14 G6:G9" xr:uid="{A29EEB0B-3D24-4CE2-BF35-3D6724F5F694}">
      <formula1>$AA$80:$AO$80</formula1>
    </dataValidation>
    <dataValidation type="list" allowBlank="1" showInputMessage="1" showErrorMessage="1" sqref="C15" xr:uid="{62EE5772-CA72-40AD-A7CF-B79D3DE47544}">
      <formula1>$AA$81:$AZ$81</formula1>
    </dataValidation>
    <dataValidation type="list" allowBlank="1" showInputMessage="1" showErrorMessage="1" sqref="C16" xr:uid="{0FC66FB0-4DD6-40DA-8092-93ECB926C6BF}">
      <formula1>$AA$82:$AZ$82</formula1>
    </dataValidation>
    <dataValidation type="list" allowBlank="1" showInputMessage="1" showErrorMessage="1" sqref="C17" xr:uid="{E96D077A-C9A7-4152-A102-AE69C549A788}">
      <formula1>$AA$83:$AZ$83</formula1>
    </dataValidation>
    <dataValidation type="list" allowBlank="1" showInputMessage="1" showErrorMessage="1" sqref="C18" xr:uid="{691F6486-4708-4E29-95B0-C02F3244EA39}">
      <formula1>$AA$84:$AZ$84</formula1>
    </dataValidation>
    <dataValidation type="list" allowBlank="1" showInputMessage="1" showErrorMessage="1" sqref="C19" xr:uid="{00DD9527-3EC8-4F04-B9B5-4D1123733E1C}">
      <formula1>$AA$85:$AZ$85</formula1>
    </dataValidation>
    <dataValidation type="list" allowBlank="1" showInputMessage="1" showErrorMessage="1" sqref="C20" xr:uid="{EF94A85A-4BDA-4C61-AB04-F66276A05A53}">
      <formula1>$AA$86:$AZ$86</formula1>
    </dataValidation>
    <dataValidation type="list" allowBlank="1" showInputMessage="1" showErrorMessage="1" sqref="C21" xr:uid="{8896F188-3FE1-45B3-BA46-302013653EB5}">
      <formula1>$AA$87:$AZ$87</formula1>
    </dataValidation>
    <dataValidation type="list" allowBlank="1" showInputMessage="1" showErrorMessage="1" sqref="C22" xr:uid="{0BEB985F-7253-469C-9DE4-C8420EC8010F}">
      <formula1>$AA$88:$AZ$88</formula1>
    </dataValidation>
    <dataValidation type="list" allowBlank="1" showInputMessage="1" showErrorMessage="1" sqref="C23" xr:uid="{2CC4C028-9BF5-4849-A945-0186243BF9A5}">
      <formula1>$AA$89:$AZ$89</formula1>
    </dataValidation>
    <dataValidation type="list" allowBlank="1" showInputMessage="1" showErrorMessage="1" sqref="C24" xr:uid="{C36DBE63-F4E8-47E2-B260-A68C9A71AFB4}">
      <formula1>$AA$90:$AZ$90</formula1>
    </dataValidation>
    <dataValidation type="list" allowBlank="1" showInputMessage="1" showErrorMessage="1" sqref="C25" xr:uid="{DBF1E763-AAF6-4882-8563-0852411CA02F}">
      <formula1>$AA$91:$AZ$91</formula1>
    </dataValidation>
    <dataValidation type="list" allowBlank="1" showInputMessage="1" showErrorMessage="1" sqref="C26" xr:uid="{AD63E9B5-C1BB-41CC-81A6-B8EC8DE5F984}">
      <formula1>$AA$92:$AZ$92</formula1>
    </dataValidation>
    <dataValidation type="list" allowBlank="1" showInputMessage="1" showErrorMessage="1" sqref="C27" xr:uid="{DE92E252-7423-4ABD-8BB2-1AF050CE88F4}">
      <formula1>$AA$93:$AZ$93</formula1>
    </dataValidation>
    <dataValidation type="list" allowBlank="1" showInputMessage="1" showErrorMessage="1" sqref="C28" xr:uid="{CABD0DAC-D153-478D-B906-02CC3EFF275D}">
      <formula1>$AA$94:$AZ$94</formula1>
    </dataValidation>
    <dataValidation type="list" allowBlank="1" showInputMessage="1" showErrorMessage="1" sqref="C29" xr:uid="{438D8360-C237-4731-B166-B58B276E667A}">
      <formula1>$AA$95:$AZ$95</formula1>
    </dataValidation>
    <dataValidation type="list" allowBlank="1" showInputMessage="1" showErrorMessage="1" sqref="C30" xr:uid="{DCE3D23E-6B7F-49A8-B3F5-5BE33828E8A3}">
      <formula1>$AA$96:$AZ$96</formula1>
    </dataValidation>
    <dataValidation type="list" allowBlank="1" showInputMessage="1" showErrorMessage="1" sqref="C31" xr:uid="{F0595FB5-D682-4B72-9AD3-3C6608E6C72F}">
      <formula1>$AA$97:$AZ$97</formula1>
    </dataValidation>
    <dataValidation type="list" allowBlank="1" showInputMessage="1" showErrorMessage="1" sqref="E12:G31" xr:uid="{80875A90-32CB-4FE5-B0BF-A6A2B83AB85D}">
      <formula1>$Z$52:$Z$76</formula1>
    </dataValidation>
    <dataValidation type="decimal" operator="greaterThanOrEqual" allowBlank="1" showInputMessage="1" showErrorMessage="1" sqref="I40:J40 L40:M40" xr:uid="{584A42E6-8CEA-4C85-A52E-EA49F135F651}">
      <formula1>0</formula1>
    </dataValidation>
    <dataValidation allowBlank="1" showInputMessage="1" showErrorMessage="1" prompt="Damage Added from multiple homogenous weapons in this hardpoint firing together." sqref="O40" xr:uid="{FFF83DD8-C0B3-44DA-A8B5-C9B0156B4B9B}"/>
    <dataValidation type="decimal" operator="greaterThanOrEqual" allowBlank="1" showInputMessage="1" showErrorMessage="1" prompt="How many weapons can be installed on a single hardpoint of this type?" sqref="N40" xr:uid="{2301387F-4636-4BCB-B570-1F0554671E89}">
      <formula1>0</formula1>
    </dataValidation>
    <dataValidation type="decimal" operator="greaterThanOrEqual" allowBlank="1" showInputMessage="1" showErrorMessage="1" prompt="Power needed to run the hardpoint only. Weapons are extra." sqref="K40" xr:uid="{EA79770E-C114-4123-8508-B54CCBFF90C7}">
      <formula1>0</formula1>
    </dataValidation>
    <dataValidation type="list" allowBlank="1" showInputMessage="1" showErrorMessage="1" sqref="G46 G50 G53" xr:uid="{6C7AFDC3-9CE8-4A3B-BCBD-3D9FA433B973}">
      <formula1>$V$63:$V$71</formula1>
    </dataValidation>
    <dataValidation type="list" allowBlank="1" showInputMessage="1" showErrorMessage="1" prompt="Which type of harpoint does this weapon fit in?" sqref="P53:Q53 P46:Q46 P50:Q50" xr:uid="{5AD00419-32E0-4F4B-A87B-38F8304785A0}">
      <formula1>$V$99:$V$107</formula1>
    </dataValidation>
    <dataValidation type="whole" operator="greaterThanOrEqual" allowBlank="1" showInputMessage="1" showErrorMessage="1" promptTitle="Number of Small Weapons Mounts" prompt="Use for weapons &lt;250kg. Larger non-ship weapons require a turret and are denoted in a Small Weapon Turret below. Small Weapons are sold separately." sqref="D33" xr:uid="{4F0790AF-F9B5-4DD9-AF49-6ED9FF7590B9}">
      <formula1>0</formula1>
    </dataValidation>
    <dataValidation allowBlank="1" showInputMessage="1" showErrorMessage="1" prompt="Quantity is multiples of the base unit" sqref="D36" xr:uid="{75442962-972E-4A29-8177-13899B4916A8}"/>
    <dataValidation type="whole" operator="greaterThanOrEqual" allowBlank="1" showInputMessage="1" showErrorMessage="1" promptTitle="Number of Small Weapons Turrets" prompt="Each turret can hold up to one ton of small weapons of 250kg or more. _x000a_Enter the number of small weapons turrets you need. (Determines small weapons tonnage)" sqref="D34" xr:uid="{695BE2BC-6A98-4079-9593-A1CFE33C8250}">
      <formula1>0</formula1>
    </dataValidation>
    <dataValidation type="decimal" operator="greaterThanOrEqual" allowBlank="1" showInputMessage="1" showErrorMessage="1" promptTitle="Tons of Fixed Mount Wpns &gt;.25 Dt" prompt="Add the tonnage of all Fixed Mount non-starship weapons for this row only._x000a_Multiply the spaces of small weapons to be installed in Turrets by 4 if mass is not listed in kg._x000a_Enter that number here._x000a_" sqref="F34" xr:uid="{C95B71EB-055F-4782-941A-589BC9072CB2}">
      <formula1>0</formula1>
    </dataValidation>
    <dataValidation type="whole" operator="greaterThanOrEqual" allowBlank="1" showInputMessage="1" showErrorMessage="1" promptTitle="Fixed Small Weapon Mounts" prompt="Weapons that will not fit in turrets or are mounted on craft smaller than 50 dTons must use these fixed mounts._x000a_Enter the number of spaces of weapons mounted on external fixed mounts. (See Vehicle Handbook or use Weapon Tonnage x 4, round up)" sqref="D32" xr:uid="{3F7ABC52-56A0-49BD-8914-8A96ACF6E1B6}">
      <formula1>0</formula1>
    </dataValidation>
    <dataValidation type="list" allowBlank="1" showInputMessage="1" showErrorMessage="1" sqref="E5:G5" xr:uid="{00153FB1-6524-4E92-BE55-F4E9609AE491}">
      <formula1>$T$1:$T$2</formula1>
    </dataValidation>
    <dataValidation type="list" allowBlank="1" showInputMessage="1" showErrorMessage="1" sqref="E36" xr:uid="{D4602F08-FB7F-420C-85FC-ED00CFECBED3}">
      <formula1>$V$125:$V$151</formula1>
    </dataValidation>
    <dataValidation type="list" allowBlank="1" showInputMessage="1" showErrorMessage="1" sqref="F36:G36" xr:uid="{A594B8F6-0598-4A11-BBBB-16A2C5CC9F9E}">
      <formula1>$X$125:$X$148</formula1>
    </dataValidation>
    <dataValidation type="list" allowBlank="1" showInputMessage="1" showErrorMessage="1" sqref="B36" xr:uid="{886D9FD5-DBE0-4718-BA8B-090DA757CA3C}">
      <formula1>$Z$113:$Z$121</formula1>
    </dataValidation>
  </dataValidation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9AC88-CBDD-4F6A-9E72-111908A08117}">
  <dimension ref="A1:AA70"/>
  <sheetViews>
    <sheetView workbookViewId="0">
      <selection activeCell="A14" sqref="A14"/>
    </sheetView>
  </sheetViews>
  <sheetFormatPr baseColWidth="10" defaultColWidth="8.83203125" defaultRowHeight="15"/>
  <cols>
    <col min="1" max="1" width="16.83203125" customWidth="1"/>
    <col min="2" max="2" width="24.1640625" customWidth="1"/>
    <col min="3" max="3" width="32.1640625" customWidth="1"/>
    <col min="6" max="6" width="18.1640625" customWidth="1"/>
    <col min="8" max="8" width="11.33203125" customWidth="1"/>
    <col min="11" max="11" width="9.83203125" customWidth="1"/>
    <col min="12" max="12" width="10.1640625" customWidth="1"/>
    <col min="13" max="13" width="26.6640625" customWidth="1"/>
    <col min="14" max="18" width="2.6640625" customWidth="1"/>
    <col min="19" max="19" width="27.33203125" hidden="1" customWidth="1"/>
    <col min="20" max="20" width="27.6640625" hidden="1" customWidth="1"/>
    <col min="21" max="21" width="29.33203125" hidden="1" customWidth="1"/>
    <col min="22" max="22" width="20.6640625" hidden="1" customWidth="1"/>
    <col min="23" max="23" width="20.33203125" hidden="1" customWidth="1"/>
    <col min="24" max="24" width="17.6640625" hidden="1" customWidth="1"/>
    <col min="25" max="26" width="18.33203125" hidden="1" customWidth="1"/>
    <col min="27" max="27" width="19" hidden="1" customWidth="1"/>
    <col min="28" max="34" width="9.1640625" customWidth="1"/>
  </cols>
  <sheetData>
    <row r="1" spans="1:27">
      <c r="A1" s="3" t="str">
        <f>'Ship Info'!A1</f>
        <v>Ship's Class Name</v>
      </c>
      <c r="B1" t="str">
        <f>'Ship Info'!B1</f>
        <v>Zhodani Long Range Scout</v>
      </c>
      <c r="F1" s="1" t="s">
        <v>1</v>
      </c>
      <c r="S1" t="s">
        <v>99</v>
      </c>
      <c r="T1">
        <v>1</v>
      </c>
    </row>
    <row r="2" spans="1:27">
      <c r="A2" s="3" t="s">
        <v>432</v>
      </c>
      <c r="B2" t="str">
        <f>'Ship Info'!B2</f>
        <v>Scout</v>
      </c>
      <c r="C2" s="3" t="s">
        <v>0</v>
      </c>
      <c r="D2" s="2">
        <f>'Ship Info'!F2</f>
        <v>14</v>
      </c>
      <c r="F2" s="10">
        <f>'Ship Info'!G2</f>
        <v>621511800.00000012</v>
      </c>
      <c r="S2" t="s">
        <v>100</v>
      </c>
      <c r="T2">
        <v>1.5</v>
      </c>
    </row>
    <row r="3" spans="1:27">
      <c r="F3" s="10"/>
      <c r="G3" s="79"/>
      <c r="H3" s="505">
        <f>S40</f>
        <v>0</v>
      </c>
      <c r="I3" s="86"/>
      <c r="J3" s="79"/>
      <c r="K3" s="518">
        <f>S43</f>
        <v>0</v>
      </c>
      <c r="S3" t="s">
        <v>411</v>
      </c>
      <c r="T3">
        <v>15</v>
      </c>
      <c r="U3">
        <v>50</v>
      </c>
      <c r="V3">
        <v>30</v>
      </c>
      <c r="W3">
        <v>100000000</v>
      </c>
      <c r="X3">
        <f>50*(E40+'2-Drives'!H25+'2-Drives'!H28)</f>
        <v>1375</v>
      </c>
    </row>
    <row r="4" spans="1:27">
      <c r="F4" s="508" t="s">
        <v>45</v>
      </c>
      <c r="H4" s="787" t="s">
        <v>46</v>
      </c>
      <c r="I4" s="787"/>
      <c r="K4" s="787" t="s">
        <v>47</v>
      </c>
      <c r="L4" s="787"/>
      <c r="S4" t="s">
        <v>663</v>
      </c>
      <c r="T4">
        <v>20</v>
      </c>
      <c r="U4">
        <v>50</v>
      </c>
      <c r="V4">
        <v>100</v>
      </c>
      <c r="W4">
        <v>1000000000</v>
      </c>
    </row>
    <row r="5" spans="1:27">
      <c r="F5" s="506">
        <f>SUM(F8:F40)</f>
        <v>0</v>
      </c>
      <c r="H5" s="1" t="s">
        <v>403</v>
      </c>
      <c r="I5" s="1" t="s">
        <v>27</v>
      </c>
      <c r="K5" s="1" t="s">
        <v>403</v>
      </c>
      <c r="L5" s="1" t="s">
        <v>27</v>
      </c>
      <c r="S5">
        <f>B45</f>
        <v>0</v>
      </c>
      <c r="T5">
        <f>D45</f>
        <v>0</v>
      </c>
      <c r="U5">
        <f>H45</f>
        <v>0</v>
      </c>
      <c r="V5">
        <f>K45</f>
        <v>0</v>
      </c>
      <c r="W5" s="4">
        <f>F45</f>
        <v>0</v>
      </c>
    </row>
    <row r="6" spans="1:27">
      <c r="F6" s="4"/>
      <c r="H6" s="10">
        <f>'Ship Info'!I3</f>
        <v>2.6000000000000227</v>
      </c>
      <c r="I6" s="270">
        <f>'1-Hull'!B4</f>
        <v>300</v>
      </c>
      <c r="J6" s="2"/>
      <c r="K6" s="270">
        <f>'Ship Info'!L3</f>
        <v>7</v>
      </c>
      <c r="L6" s="270">
        <f>'3-Pwr Plant'!L6</f>
        <v>250</v>
      </c>
      <c r="S6" t="s">
        <v>375</v>
      </c>
      <c r="T6">
        <f>INDEX(S3:W5,MATCH(B39,S3:S5,0),2)</f>
        <v>15</v>
      </c>
      <c r="U6">
        <f>INDEX(S3:W5,MATCH(B39,S3:S5,0),3)</f>
        <v>50</v>
      </c>
      <c r="V6">
        <f>INDEX(S3:W5,MATCH(B39,S3:S5,0),4)</f>
        <v>30</v>
      </c>
      <c r="W6">
        <f>INDEX(S3:W5,MATCH(B39,S3:S5,0),5)</f>
        <v>100000000</v>
      </c>
    </row>
    <row r="7" spans="1:27">
      <c r="B7" s="6" t="s">
        <v>408</v>
      </c>
      <c r="F7" s="4"/>
      <c r="S7" t="s">
        <v>113</v>
      </c>
    </row>
    <row r="8" spans="1:27" ht="16" thickBot="1">
      <c r="A8" s="3" t="s">
        <v>423</v>
      </c>
      <c r="B8" s="1" t="s">
        <v>1272</v>
      </c>
      <c r="C8" s="1" t="s">
        <v>376</v>
      </c>
      <c r="D8" s="1" t="s">
        <v>26</v>
      </c>
      <c r="E8" s="3" t="s">
        <v>308</v>
      </c>
      <c r="F8" s="4"/>
      <c r="T8" t="s">
        <v>26</v>
      </c>
      <c r="U8" t="s">
        <v>117</v>
      </c>
      <c r="V8" t="s">
        <v>55</v>
      </c>
      <c r="W8" t="s">
        <v>1</v>
      </c>
    </row>
    <row r="9" spans="1:27" ht="16" thickBot="1">
      <c r="A9" s="198" t="s">
        <v>99</v>
      </c>
      <c r="B9" s="229" t="s">
        <v>1103</v>
      </c>
      <c r="C9" s="198" t="s">
        <v>395</v>
      </c>
      <c r="D9" s="2">
        <f>INDEX($S$9:$W$13,MATCH(B9,$S$9:$S$13,0),2)+INDEX($S$15:$X$37,MATCH(C9,$S$15:$S$37,0),2)+INDEX($S$15:$X$37,MATCH(C10,$S$15:$S$37,0),2)+INDEX($S$15:$X$37,MATCH(C11,$S$15:$S$37,0),2)</f>
        <v>0</v>
      </c>
      <c r="E9" s="198">
        <v>0</v>
      </c>
      <c r="F9" s="4">
        <f>E9*INDEX($S$9:$W$13,MATCH(B9,$S$9:$S$13,0),5)*(1+IF(Z39=0,INDEX($V$39:$W$42,MATCH(B11,$V$39:$V$42,0),2),Z39))*INDEX($S$1:$T$2,MATCH(A9,$S$1:$S$2,0),2)+E9*(IF(A11="No",0,200000*0.1*H9/1.1))</f>
        <v>0</v>
      </c>
      <c r="H9" s="263">
        <f>E9*INDEX($S$9:$W$13,MATCH(B9,$S$9:$S$13,0),3)*(1+INDEX($S$15:$X$37,MATCH(C9,$S$15:$S$37,0),3)+INDEX($S$15:$X$37,MATCH(C10,$S$15:$S$37,0),3)+INDEX($S$15:$X$37,MATCH(C11,$S$15:$S$37,0),3))*IF(A11="No",1,1.1)</f>
        <v>0</v>
      </c>
      <c r="K9" s="263">
        <f>E9*INDEX($S$9:$W$13,MATCH(B9,$S$9:$S$13,0),4)*(1+INDEX($S$15:$X$37,MATCH(C9,$S$15:$S$37,0),4)+INDEX($S$15:$X$37,MATCH(C10,$S$15:$S$37,0),4)+INDEX($S$15:$X$37,MATCH(C11,$S$15:$S$37,0),4))</f>
        <v>0</v>
      </c>
      <c r="M9" t="str">
        <f>VLOOKUP(C9,$S$15:$X$37,6)</f>
        <v xml:space="preserve"> </v>
      </c>
      <c r="S9" t="str">
        <f>""</f>
        <v/>
      </c>
      <c r="T9">
        <v>0</v>
      </c>
      <c r="U9">
        <v>0</v>
      </c>
      <c r="V9">
        <v>0</v>
      </c>
      <c r="W9">
        <v>0</v>
      </c>
    </row>
    <row r="10" spans="1:27" ht="16" thickBot="1">
      <c r="A10" s="3" t="s">
        <v>1075</v>
      </c>
      <c r="B10" s="234" t="s">
        <v>1166</v>
      </c>
      <c r="C10" s="198" t="s">
        <v>395</v>
      </c>
      <c r="M10" t="str">
        <f>VLOOKUP(C10,$S$15:$X$37,6)</f>
        <v xml:space="preserve"> </v>
      </c>
      <c r="S10" t="s">
        <v>409</v>
      </c>
      <c r="T10">
        <v>10</v>
      </c>
      <c r="U10">
        <v>5</v>
      </c>
      <c r="V10">
        <v>10</v>
      </c>
      <c r="W10">
        <v>5000000</v>
      </c>
    </row>
    <row r="11" spans="1:27" ht="16" thickBot="1">
      <c r="A11" s="198" t="s">
        <v>99</v>
      </c>
      <c r="B11" s="2">
        <f>VLOOKUP(C9,$S$15:$Z$33,8)+VLOOKUP(C10,$S$15:$Z$33,8)+VLOOKUP(C11,$S$15:$Z$33,8)</f>
        <v>0</v>
      </c>
      <c r="C11" s="198" t="s">
        <v>395</v>
      </c>
      <c r="M11" t="str">
        <f>VLOOKUP(C11,$S$15:$X$37,6)</f>
        <v xml:space="preserve"> </v>
      </c>
      <c r="S11" t="s">
        <v>410</v>
      </c>
      <c r="T11">
        <v>16</v>
      </c>
      <c r="U11">
        <v>20</v>
      </c>
      <c r="V11">
        <v>50</v>
      </c>
      <c r="W11">
        <v>25000000</v>
      </c>
    </row>
    <row r="12" spans="1:27">
      <c r="A12" s="232"/>
      <c r="B12" s="233"/>
      <c r="C12" s="232"/>
      <c r="D12" s="232"/>
      <c r="E12" s="232"/>
      <c r="F12" s="232"/>
      <c r="G12" s="232"/>
      <c r="H12" s="232"/>
      <c r="I12" s="232"/>
      <c r="J12" s="232"/>
      <c r="K12" s="232"/>
      <c r="L12" s="232"/>
      <c r="M12" s="232"/>
      <c r="S12" t="s">
        <v>412</v>
      </c>
      <c r="T12">
        <v>13</v>
      </c>
      <c r="U12">
        <v>10</v>
      </c>
      <c r="V12">
        <v>30</v>
      </c>
      <c r="W12">
        <v>20000000</v>
      </c>
    </row>
    <row r="13" spans="1:27" ht="16" thickBot="1">
      <c r="A13" s="3" t="s">
        <v>423</v>
      </c>
      <c r="B13" s="1" t="s">
        <v>1273</v>
      </c>
      <c r="C13" s="1" t="s">
        <v>376</v>
      </c>
      <c r="D13" s="1" t="s">
        <v>26</v>
      </c>
      <c r="E13" s="3" t="s">
        <v>308</v>
      </c>
      <c r="S13" t="s">
        <v>413</v>
      </c>
      <c r="T13">
        <v>12</v>
      </c>
      <c r="U13">
        <v>10</v>
      </c>
      <c r="V13">
        <v>20</v>
      </c>
      <c r="W13">
        <v>10000000</v>
      </c>
    </row>
    <row r="14" spans="1:27" ht="16" thickBot="1">
      <c r="A14" s="198" t="s">
        <v>99</v>
      </c>
      <c r="B14" s="229" t="s">
        <v>1103</v>
      </c>
      <c r="C14" s="198" t="s">
        <v>395</v>
      </c>
      <c r="D14" s="2">
        <f>INDEX($S$9:$W$13,MATCH(B14,$S$9:$S$13,0),2)+INDEX($S$15:$X$37,MATCH(C14,$S$15:$S$37,0),2)+INDEX($S$15:$X$37,MATCH(C15,$S$15:$S$37,0),2)+INDEX($S$15:$X$37,MATCH(C16,$S$15:$S$37,0),2)</f>
        <v>0</v>
      </c>
      <c r="E14" s="198">
        <v>0</v>
      </c>
      <c r="F14" s="4">
        <f>E14*INDEX($S$9:$W$13,MATCH(B14,$S$9:$S$13,0),5)*(1+IF(Z40=0,INDEX($V$39:$W$42,MATCH(B16,$V$39:$V$42,0),2),Z40))*INDEX($S$1:$T$2,MATCH(A14,$S$1:$S$2,0),2)+E14*(IF(A16="No",0,200000*0.1*H14/1.1))</f>
        <v>0</v>
      </c>
      <c r="H14" s="263">
        <f>E14*INDEX($S$9:$W$13,MATCH(B14,$S$9:$S$13,0),3)*(1+INDEX($S$15:$X$37,MATCH(C14,$S$15:$S$37,0),3)+INDEX($S$15:$X$37,MATCH(C15,$S$15:$S$37,0),3)+INDEX($S$15:$X$37,MATCH(C16,$S$15:$S$37,0),3))*IF(A16="No",1,1.1)</f>
        <v>0</v>
      </c>
      <c r="K14" s="263">
        <f>E14*INDEX($S$9:$W$13,MATCH(B14,$S$9:$S$13,0),4)*(1+INDEX($S$15:$X$37,MATCH(C14,$S$15:$S$37,0),4)+INDEX($S$15:$X$37,MATCH(C15,$S$15:$S$37,0),4)+INDEX($S$15:$X$37,MATCH(C16,$S$15:$S$37,0),4))</f>
        <v>0</v>
      </c>
      <c r="M14" t="str">
        <f>VLOOKUP(C14,$S$15:$X$37,6)</f>
        <v xml:space="preserve"> </v>
      </c>
      <c r="T14" t="s">
        <v>26</v>
      </c>
      <c r="U14" t="s">
        <v>117</v>
      </c>
      <c r="V14" t="s">
        <v>322</v>
      </c>
      <c r="W14" t="s">
        <v>1</v>
      </c>
      <c r="X14" t="s">
        <v>171</v>
      </c>
      <c r="Y14" t="s">
        <v>701</v>
      </c>
      <c r="Z14" t="s">
        <v>1166</v>
      </c>
      <c r="AA14" t="s">
        <v>1265</v>
      </c>
    </row>
    <row r="15" spans="1:27" ht="16" thickBot="1">
      <c r="A15" s="3" t="s">
        <v>1075</v>
      </c>
      <c r="B15" s="234" t="s">
        <v>1166</v>
      </c>
      <c r="C15" s="198" t="s">
        <v>395</v>
      </c>
      <c r="M15" t="str">
        <f>VLOOKUP(C15,$S$15:$X$37,6)</f>
        <v xml:space="preserve"> </v>
      </c>
      <c r="S15" t="s">
        <v>395</v>
      </c>
      <c r="T15">
        <v>0</v>
      </c>
      <c r="U15">
        <v>0</v>
      </c>
      <c r="V15">
        <v>0</v>
      </c>
      <c r="W15">
        <v>0</v>
      </c>
      <c r="X15" t="s">
        <v>33</v>
      </c>
      <c r="Y15" t="str">
        <f>""</f>
        <v/>
      </c>
      <c r="Z15">
        <v>0</v>
      </c>
      <c r="AA15" t="s">
        <v>19</v>
      </c>
    </row>
    <row r="16" spans="1:27" ht="16" thickBot="1">
      <c r="A16" s="198" t="s">
        <v>99</v>
      </c>
      <c r="B16" s="2">
        <f>VLOOKUP(C14,$S$15:$Z$33,8)+VLOOKUP(C15,$S$15:$Z$33,8)+VLOOKUP(C16,$S$15:$Z$33,8)</f>
        <v>0</v>
      </c>
      <c r="C16" s="198" t="s">
        <v>395</v>
      </c>
      <c r="M16" t="str">
        <f>VLOOKUP(C16,$S$15:$X$37,6)</f>
        <v xml:space="preserve"> </v>
      </c>
      <c r="S16" t="s">
        <v>1089</v>
      </c>
      <c r="T16">
        <v>0</v>
      </c>
      <c r="U16">
        <v>0.2</v>
      </c>
      <c r="V16">
        <v>0</v>
      </c>
      <c r="W16">
        <v>-0.25</v>
      </c>
      <c r="X16" t="s">
        <v>420</v>
      </c>
      <c r="Y16" t="str">
        <f>""</f>
        <v/>
      </c>
      <c r="Z16">
        <v>3</v>
      </c>
      <c r="AA16" t="s">
        <v>643</v>
      </c>
    </row>
    <row r="17" spans="1:27">
      <c r="A17" s="232"/>
      <c r="B17" s="233"/>
      <c r="C17" s="232"/>
      <c r="D17" s="232"/>
      <c r="E17" s="232"/>
      <c r="F17" s="232"/>
      <c r="G17" s="232"/>
      <c r="H17" s="232"/>
      <c r="I17" s="232"/>
      <c r="J17" s="232"/>
      <c r="K17" s="232"/>
      <c r="L17" s="232"/>
      <c r="M17" s="232"/>
      <c r="S17" t="s">
        <v>1091</v>
      </c>
      <c r="T17">
        <v>0</v>
      </c>
      <c r="U17">
        <v>0</v>
      </c>
      <c r="V17">
        <v>0.3</v>
      </c>
      <c r="W17">
        <v>-0.25</v>
      </c>
      <c r="X17" t="s">
        <v>416</v>
      </c>
      <c r="Y17" t="str">
        <f>""</f>
        <v/>
      </c>
      <c r="Z17">
        <v>3</v>
      </c>
      <c r="AA17" t="s">
        <v>645</v>
      </c>
    </row>
    <row r="18" spans="1:27" ht="16" thickBot="1">
      <c r="A18" s="3" t="s">
        <v>423</v>
      </c>
      <c r="B18" s="1" t="s">
        <v>1274</v>
      </c>
      <c r="C18" s="1" t="s">
        <v>376</v>
      </c>
      <c r="D18" s="1" t="s">
        <v>26</v>
      </c>
      <c r="E18" s="3" t="s">
        <v>308</v>
      </c>
      <c r="S18" t="s">
        <v>1241</v>
      </c>
      <c r="T18">
        <v>0</v>
      </c>
      <c r="U18">
        <v>0</v>
      </c>
      <c r="V18">
        <v>0</v>
      </c>
      <c r="W18">
        <v>-0.25</v>
      </c>
      <c r="X18" t="s">
        <v>1242</v>
      </c>
      <c r="Y18" t="s">
        <v>1288</v>
      </c>
      <c r="Z18">
        <v>3</v>
      </c>
      <c r="AA18" t="s">
        <v>1243</v>
      </c>
    </row>
    <row r="19" spans="1:27" ht="16" thickBot="1">
      <c r="A19" s="198" t="s">
        <v>99</v>
      </c>
      <c r="B19" s="229" t="s">
        <v>1103</v>
      </c>
      <c r="C19" s="198" t="s">
        <v>395</v>
      </c>
      <c r="D19" s="2">
        <f>INDEX($S$9:$W$13,MATCH(B19,$S$9:$S$13,0),2)+INDEX($S$15:$X$37,MATCH(C19,$S$15:$S$37,0),2)+INDEX($S$15:$X$37,MATCH(C20,$S$15:$S$37,0),2)+INDEX($S$15:$X$37,MATCH(C21,$S$15:$S$37,0),2)</f>
        <v>0</v>
      </c>
      <c r="E19" s="198">
        <v>0</v>
      </c>
      <c r="F19" s="4">
        <f>E19*INDEX($S$9:$W$13,MATCH(B19,$S$9:$S$13,0),5)*(1+IF(Z41=0,INDEX($V$39:$W$42,MATCH(B21,$V$39:$V$42,0),2),Z41))*INDEX($S$1:$T$2,MATCH(A19,$S$1:$S$2,0),2)+E19*(IF(A21="No",0,200000*0.1*H19/1.1))</f>
        <v>0</v>
      </c>
      <c r="H19" s="263">
        <f>E19*INDEX($S$9:$W$13,MATCH(B19,$S$9:$S$13,0),3)*(1+INDEX($S$15:$X$37,MATCH(C19,$S$15:$S$37,0),3)+INDEX($S$15:$X$37,MATCH(C20,$S$15:$S$37,0),3)+INDEX($S$15:$X$37,MATCH(C21,$S$15:$S$37,0),3))*IF(A21="No",1,1.1)</f>
        <v>0</v>
      </c>
      <c r="K19" s="263">
        <f>E19*INDEX($S$9:$W$13,MATCH(B19,$S$9:$S$13,0),4)*(1+INDEX($S$15:$X$37,MATCH(C19,$S$15:$S$37,0),4)+INDEX($S$15:$X$37,MATCH(C20,$S$15:$S$37,0),4)+INDEX($S$15:$X$37,MATCH(C21,$S$15:$S$37,0),4))</f>
        <v>0</v>
      </c>
      <c r="M19" t="str">
        <f>VLOOKUP(C19,$S$15:$X$37,6)</f>
        <v xml:space="preserve"> </v>
      </c>
      <c r="S19" t="s">
        <v>414</v>
      </c>
      <c r="T19">
        <v>1</v>
      </c>
      <c r="U19">
        <v>0</v>
      </c>
      <c r="V19">
        <v>0</v>
      </c>
      <c r="W19">
        <v>0</v>
      </c>
      <c r="X19" t="s">
        <v>415</v>
      </c>
      <c r="Y19" t="str">
        <f>""</f>
        <v/>
      </c>
      <c r="Z19">
        <v>1</v>
      </c>
      <c r="AA19" t="s">
        <v>973</v>
      </c>
    </row>
    <row r="20" spans="1:27" ht="16" thickBot="1">
      <c r="A20" s="3" t="s">
        <v>1075</v>
      </c>
      <c r="B20" s="234" t="s">
        <v>1166</v>
      </c>
      <c r="C20" s="198" t="s">
        <v>395</v>
      </c>
      <c r="M20" t="str">
        <f>VLOOKUP(C20,$S$15:$X$37,6)</f>
        <v xml:space="preserve"> </v>
      </c>
      <c r="S20" t="s">
        <v>417</v>
      </c>
      <c r="T20">
        <v>1</v>
      </c>
      <c r="U20">
        <v>0</v>
      </c>
      <c r="V20">
        <v>-0.25</v>
      </c>
      <c r="W20">
        <v>0</v>
      </c>
      <c r="X20" t="s">
        <v>418</v>
      </c>
      <c r="Y20" t="str">
        <f>""</f>
        <v/>
      </c>
      <c r="Z20">
        <v>1</v>
      </c>
      <c r="AA20" t="s">
        <v>1282</v>
      </c>
    </row>
    <row r="21" spans="1:27" ht="16" thickBot="1">
      <c r="A21" s="198" t="s">
        <v>99</v>
      </c>
      <c r="B21" s="2">
        <f>VLOOKUP(C19,$S$15:$Z$33,8)+VLOOKUP(C20,$S$15:$Z$33,8)+VLOOKUP(C21,$S$15:$Z$33,8)</f>
        <v>0</v>
      </c>
      <c r="C21" s="198" t="s">
        <v>395</v>
      </c>
      <c r="M21" t="str">
        <f>VLOOKUP(C21,$S$15:$X$37,6)</f>
        <v xml:space="preserve"> </v>
      </c>
      <c r="S21" t="s">
        <v>1244</v>
      </c>
      <c r="T21">
        <v>1</v>
      </c>
      <c r="U21">
        <v>0</v>
      </c>
      <c r="V21">
        <v>0</v>
      </c>
      <c r="W21">
        <v>0</v>
      </c>
      <c r="X21" t="s">
        <v>1245</v>
      </c>
      <c r="Y21" t="s">
        <v>1292</v>
      </c>
      <c r="Z21">
        <v>1</v>
      </c>
      <c r="AA21" t="s">
        <v>1283</v>
      </c>
    </row>
    <row r="22" spans="1:27">
      <c r="A22" s="232"/>
      <c r="B22" s="233"/>
      <c r="C22" s="232"/>
      <c r="D22" s="232"/>
      <c r="E22" s="232"/>
      <c r="F22" s="232"/>
      <c r="G22" s="232"/>
      <c r="H22" s="232"/>
      <c r="I22" s="232"/>
      <c r="J22" s="232"/>
      <c r="K22" s="232"/>
      <c r="L22" s="232"/>
      <c r="M22" s="232"/>
      <c r="S22" t="s">
        <v>1285</v>
      </c>
      <c r="T22">
        <v>1</v>
      </c>
      <c r="U22">
        <v>0</v>
      </c>
      <c r="V22">
        <v>0</v>
      </c>
      <c r="W22">
        <v>0</v>
      </c>
      <c r="X22" t="s">
        <v>379</v>
      </c>
      <c r="Y22" t="s">
        <v>734</v>
      </c>
      <c r="Z22">
        <v>1</v>
      </c>
      <c r="AA22" t="s">
        <v>1284</v>
      </c>
    </row>
    <row r="23" spans="1:27" ht="16" thickBot="1">
      <c r="A23" s="3" t="s">
        <v>423</v>
      </c>
      <c r="B23" s="1" t="s">
        <v>1275</v>
      </c>
      <c r="C23" s="1" t="s">
        <v>376</v>
      </c>
      <c r="D23" s="1" t="s">
        <v>26</v>
      </c>
      <c r="E23" s="3" t="s">
        <v>308</v>
      </c>
      <c r="S23" t="s">
        <v>419</v>
      </c>
      <c r="T23">
        <v>1</v>
      </c>
      <c r="U23">
        <v>-0.1</v>
      </c>
      <c r="V23">
        <v>0</v>
      </c>
      <c r="W23">
        <v>0</v>
      </c>
      <c r="X23" t="s">
        <v>384</v>
      </c>
      <c r="Y23" t="str">
        <f>""</f>
        <v/>
      </c>
      <c r="Z23">
        <v>1</v>
      </c>
      <c r="AA23" t="s">
        <v>961</v>
      </c>
    </row>
    <row r="24" spans="1:27" ht="16" thickBot="1">
      <c r="A24" s="198" t="s">
        <v>99</v>
      </c>
      <c r="B24" s="229" t="s">
        <v>1103</v>
      </c>
      <c r="C24" s="198" t="s">
        <v>395</v>
      </c>
      <c r="D24" s="2">
        <f>INDEX($S$9:$W$13,MATCH(B24,$S$9:$S$13,0),2)+INDEX($S$15:$X$37,MATCH(C24,$S$15:$S$37,0),2)+INDEX($S$15:$X$37,MATCH(C25,$S$15:$S$37,0),2)+INDEX($S$15:$X$37,MATCH(C26,$S$15:$S$37,0),2)</f>
        <v>0</v>
      </c>
      <c r="E24" s="198">
        <v>0</v>
      </c>
      <c r="F24" s="4">
        <f>E24*INDEX($S$9:$W$13,MATCH(B24,$S$9:$S$13,0),5)*(1+IF(Z42=0,INDEX($V$39:$W$42,MATCH(B26,$V$39:$V$42,0),2),Z42))*INDEX($S$1:$T$2,MATCH(A24,$S$1:$S$2,0),2)+E24*(IF(A26="No",0,200000*0.1*H24/1.1))</f>
        <v>0</v>
      </c>
      <c r="H24" s="263">
        <f>E24*INDEX($S$9:$W$13,MATCH(B24,$S$9:$S$13,0),3)*(1+INDEX($S$15:$X$37,MATCH(C24,$S$15:$S$37,0),3)+INDEX($S$15:$X$37,MATCH(C25,$S$15:$S$37,0),3)+INDEX($S$15:$X$37,MATCH(C26,$S$15:$S$37,0),3))*IF(A26="No",1,1.1)</f>
        <v>0</v>
      </c>
      <c r="K24" s="263">
        <f>E24*INDEX($S$9:$W$13,MATCH(B24,$S$9:$S$13,0),4)*(1+INDEX($S$15:$X$37,MATCH(C24,$S$15:$S$37,0),4)+INDEX($S$15:$X$37,MATCH(C25,$S$15:$S$37,0),4)+INDEX($S$15:$X$37,MATCH(C26,$S$15:$S$37,0),4))</f>
        <v>0</v>
      </c>
      <c r="M24" t="str">
        <f>VLOOKUP(C24,$S$15:$X$37,6)</f>
        <v xml:space="preserve"> </v>
      </c>
      <c r="S24" t="s">
        <v>1246</v>
      </c>
      <c r="T24">
        <v>2</v>
      </c>
      <c r="U24">
        <v>0</v>
      </c>
      <c r="V24">
        <v>0</v>
      </c>
      <c r="W24">
        <v>0</v>
      </c>
      <c r="X24" t="s">
        <v>1247</v>
      </c>
      <c r="Y24" t="s">
        <v>1289</v>
      </c>
      <c r="Z24">
        <v>2</v>
      </c>
      <c r="AA24" t="s">
        <v>1286</v>
      </c>
    </row>
    <row r="25" spans="1:27" ht="16" thickBot="1">
      <c r="A25" s="3" t="s">
        <v>1075</v>
      </c>
      <c r="B25" s="234" t="s">
        <v>1166</v>
      </c>
      <c r="C25" s="198" t="s">
        <v>395</v>
      </c>
      <c r="M25" t="str">
        <f>VLOOKUP(C25,$S$15:$X$37,6)</f>
        <v xml:space="preserve"> </v>
      </c>
      <c r="S25" t="s">
        <v>1249</v>
      </c>
      <c r="T25">
        <v>2</v>
      </c>
      <c r="U25">
        <v>0</v>
      </c>
      <c r="V25">
        <v>0</v>
      </c>
      <c r="W25">
        <v>0</v>
      </c>
      <c r="X25" t="s">
        <v>1248</v>
      </c>
      <c r="Y25" t="s">
        <v>1291</v>
      </c>
      <c r="Z25">
        <v>2</v>
      </c>
      <c r="AA25" t="s">
        <v>1287</v>
      </c>
    </row>
    <row r="26" spans="1:27" ht="16" thickBot="1">
      <c r="A26" s="198" t="s">
        <v>99</v>
      </c>
      <c r="B26" s="2">
        <f>VLOOKUP(C24,$S$15:$Z$33,8)+VLOOKUP(C25,$S$15:$Z$33,8)+VLOOKUP(C26,$S$15:$Z$33,8)</f>
        <v>0</v>
      </c>
      <c r="C26" s="198" t="s">
        <v>395</v>
      </c>
      <c r="M26" t="str">
        <f>VLOOKUP(C26,$S$15:$X$37,6)</f>
        <v xml:space="preserve"> </v>
      </c>
      <c r="S26" t="s">
        <v>1017</v>
      </c>
      <c r="T26">
        <v>-1</v>
      </c>
      <c r="U26">
        <v>0.2</v>
      </c>
      <c r="V26">
        <v>0</v>
      </c>
      <c r="W26">
        <v>4</v>
      </c>
      <c r="X26" t="s">
        <v>420</v>
      </c>
      <c r="Y26" t="str">
        <f>""</f>
        <v/>
      </c>
      <c r="Z26">
        <v>3</v>
      </c>
      <c r="AA26" t="s">
        <v>1251</v>
      </c>
    </row>
    <row r="27" spans="1:27">
      <c r="A27" s="232"/>
      <c r="B27" s="233"/>
      <c r="C27" s="232"/>
      <c r="D27" s="232"/>
      <c r="E27" s="232"/>
      <c r="F27" s="232"/>
      <c r="G27" s="232"/>
      <c r="H27" s="232"/>
      <c r="I27" s="232"/>
      <c r="J27" s="232"/>
      <c r="K27" s="232"/>
      <c r="L27" s="232"/>
      <c r="M27" s="232"/>
      <c r="S27" t="s">
        <v>1019</v>
      </c>
      <c r="T27">
        <v>-1</v>
      </c>
      <c r="U27">
        <v>0</v>
      </c>
      <c r="V27">
        <v>0.3</v>
      </c>
      <c r="W27">
        <v>4</v>
      </c>
      <c r="X27" t="s">
        <v>416</v>
      </c>
      <c r="Y27" t="str">
        <f>""</f>
        <v/>
      </c>
      <c r="Z27">
        <v>3</v>
      </c>
      <c r="AA27" t="s">
        <v>1252</v>
      </c>
    </row>
    <row r="28" spans="1:27" ht="16" thickBot="1">
      <c r="A28" s="3" t="s">
        <v>423</v>
      </c>
      <c r="B28" s="2"/>
      <c r="C28" s="1" t="s">
        <v>376</v>
      </c>
      <c r="D28" s="1" t="s">
        <v>26</v>
      </c>
      <c r="E28" s="3" t="s">
        <v>308</v>
      </c>
      <c r="S28" t="s">
        <v>1250</v>
      </c>
      <c r="T28">
        <v>-1</v>
      </c>
      <c r="U28">
        <v>0</v>
      </c>
      <c r="V28">
        <v>0</v>
      </c>
      <c r="W28">
        <v>4</v>
      </c>
      <c r="X28" t="s">
        <v>1242</v>
      </c>
      <c r="Y28" t="s">
        <v>1293</v>
      </c>
      <c r="Z28">
        <v>3</v>
      </c>
      <c r="AA28" t="s">
        <v>1253</v>
      </c>
    </row>
    <row r="29" spans="1:27" ht="16" thickBot="1">
      <c r="A29" s="198" t="s">
        <v>99</v>
      </c>
      <c r="B29" s="93" t="s">
        <v>425</v>
      </c>
      <c r="C29" s="198" t="s">
        <v>395</v>
      </c>
      <c r="D29" s="2">
        <f>IF(E29&gt;0,12,0)+VLOOKUP(C29,$S$15:$X$37,2)+VLOOKUP(C30,$S$15:$X$37,2)+VLOOKUP(C31,$S$15:$X$37,2)</f>
        <v>0</v>
      </c>
      <c r="E29" s="198">
        <v>0</v>
      </c>
      <c r="F29" s="4">
        <f>W45*VLOOKUP(A29,S1:T2,2)*E29*(1+IF(Z43=0,VLOOKUP(B31,V39:W42,2),Z43))+IF(A31="No",0,200000*0.1*U45)</f>
        <v>0</v>
      </c>
      <c r="H29" s="263">
        <f>IF(E29&gt;0,U45,0)*E29*(1+VLOOKUP(C29,S15:U34,3)+VLOOKUP(C30,S15:U34,3)+VLOOKUP(C31,S15:U34,3))</f>
        <v>0</v>
      </c>
      <c r="K29" s="263">
        <f>V45*H29*(1+VLOOKUP(C29,S15:V34,4)+VLOOKUP(C30,S15:V34,4)+VLOOKUP(C31,S15:V34,4))</f>
        <v>0</v>
      </c>
      <c r="M29" t="str">
        <f>VLOOKUP(C29,$S$15:$X$37,6)</f>
        <v xml:space="preserve"> </v>
      </c>
      <c r="S29" t="s">
        <v>1258</v>
      </c>
      <c r="T29">
        <v>-2</v>
      </c>
      <c r="U29">
        <v>1.4</v>
      </c>
      <c r="V29">
        <v>0</v>
      </c>
      <c r="W29">
        <v>9</v>
      </c>
      <c r="X29" t="s">
        <v>1205</v>
      </c>
      <c r="Y29" t="str">
        <f>""</f>
        <v/>
      </c>
      <c r="Z29">
        <v>3</v>
      </c>
      <c r="AA29" t="s">
        <v>1266</v>
      </c>
    </row>
    <row r="30" spans="1:27" ht="16" thickBot="1">
      <c r="A30" s="3" t="s">
        <v>1075</v>
      </c>
      <c r="B30" s="234" t="s">
        <v>1166</v>
      </c>
      <c r="C30" s="198" t="s">
        <v>395</v>
      </c>
      <c r="M30" t="str">
        <f>VLOOKUP(C30,$S$15:$X$37,6)</f>
        <v xml:space="preserve"> </v>
      </c>
      <c r="S30" t="s">
        <v>1254</v>
      </c>
      <c r="T30">
        <v>-2</v>
      </c>
      <c r="U30">
        <v>1.2</v>
      </c>
      <c r="V30">
        <v>0.3</v>
      </c>
      <c r="W30">
        <v>9</v>
      </c>
      <c r="X30" t="s">
        <v>1262</v>
      </c>
      <c r="Y30" t="str">
        <f>""</f>
        <v/>
      </c>
      <c r="Z30">
        <v>3</v>
      </c>
      <c r="AA30" t="s">
        <v>1267</v>
      </c>
    </row>
    <row r="31" spans="1:27" ht="16" thickBot="1">
      <c r="A31" s="198" t="s">
        <v>99</v>
      </c>
      <c r="B31" s="2">
        <f>VLOOKUP(C29,$S$15:$Z$33,8)+VLOOKUP(C30,$S$15:$Z$33,8)+VLOOKUP(C31,$S$15:$Z$33,8)</f>
        <v>0</v>
      </c>
      <c r="C31" s="198" t="s">
        <v>395</v>
      </c>
      <c r="M31" t="str">
        <f>VLOOKUP(C31,$S$15:$X$37,6)</f>
        <v xml:space="preserve"> </v>
      </c>
      <c r="S31" t="s">
        <v>1255</v>
      </c>
      <c r="T31">
        <v>-2</v>
      </c>
      <c r="U31">
        <v>1.2</v>
      </c>
      <c r="V31">
        <v>0</v>
      </c>
      <c r="W31">
        <v>9</v>
      </c>
      <c r="X31" t="s">
        <v>1263</v>
      </c>
      <c r="Y31" t="s">
        <v>1293</v>
      </c>
      <c r="Z31">
        <v>3</v>
      </c>
      <c r="AA31" t="s">
        <v>1268</v>
      </c>
    </row>
    <row r="32" spans="1:27">
      <c r="A32" s="232"/>
      <c r="B32" s="233"/>
      <c r="C32" s="232"/>
      <c r="D32" s="232"/>
      <c r="E32" s="232"/>
      <c r="F32" s="232"/>
      <c r="G32" s="232"/>
      <c r="H32" s="232"/>
      <c r="I32" s="232"/>
      <c r="J32" s="232"/>
      <c r="K32" s="232"/>
      <c r="L32" s="232"/>
      <c r="M32" s="232"/>
      <c r="S32" t="s">
        <v>1257</v>
      </c>
      <c r="T32">
        <v>-2</v>
      </c>
      <c r="U32">
        <v>1.2</v>
      </c>
      <c r="V32">
        <v>0.6</v>
      </c>
      <c r="W32">
        <v>9</v>
      </c>
      <c r="X32" t="s">
        <v>1261</v>
      </c>
      <c r="Y32" t="str">
        <f>""</f>
        <v/>
      </c>
      <c r="Z32">
        <v>3</v>
      </c>
      <c r="AA32" t="s">
        <v>1269</v>
      </c>
    </row>
    <row r="33" spans="1:27" ht="16" thickBot="1">
      <c r="A33" s="3" t="s">
        <v>423</v>
      </c>
      <c r="B33" s="2"/>
      <c r="C33" s="1" t="s">
        <v>376</v>
      </c>
      <c r="D33" s="1" t="s">
        <v>26</v>
      </c>
      <c r="E33" s="3"/>
      <c r="S33" t="s">
        <v>1259</v>
      </c>
      <c r="T33">
        <v>-2</v>
      </c>
      <c r="U33">
        <v>1.2</v>
      </c>
      <c r="V33">
        <v>0</v>
      </c>
      <c r="W33">
        <v>9</v>
      </c>
      <c r="X33" t="s">
        <v>1260</v>
      </c>
      <c r="Y33" t="s">
        <v>1290</v>
      </c>
      <c r="Z33">
        <v>3</v>
      </c>
      <c r="AA33" t="s">
        <v>1270</v>
      </c>
    </row>
    <row r="34" spans="1:27" ht="16" thickBot="1">
      <c r="A34" s="198" t="s">
        <v>99</v>
      </c>
      <c r="B34" s="229" t="s">
        <v>2323</v>
      </c>
      <c r="C34" s="198" t="s">
        <v>395</v>
      </c>
      <c r="D34" s="2">
        <f>INDEX(S64:T70,MATCH(B34,S64:S70,0),2)+INDEX(S15:T34,MATCH(C34,S15:S34,0),2)+INDEX(S15:T34,MATCH(C35,S15:S34,0),2)+INDEX(S15:T34,MATCH(C36,S15:S34,0),2)</f>
        <v>0</v>
      </c>
      <c r="E34" s="2">
        <f>IF(D34&lt;10,0,1)</f>
        <v>0</v>
      </c>
      <c r="F34" s="4">
        <f>IF(D34=0,0,INDEX(S64:U70,MATCH(B34,S64:S70,0),3))*(1+INDEX(S15:W34,MATCH(C34,S15:S34,0),5)+INDEX(S15:W34,MATCH(C35,S15:S34,0),5)+INDEX(S15:W34,MATCH(C36,S15:S34,0),5))</f>
        <v>0</v>
      </c>
      <c r="H34" s="263">
        <f>IF(D34&gt;10,0.5*Tonnage/5,0)*(1+VLOOKUP(C34,S15:U34,3)+VLOOKUP(C35,S15:U34,3)+VLOOKUP(C36,S15:U34,3))</f>
        <v>0</v>
      </c>
      <c r="K34" s="263">
        <f>IF(D34&lt;10,0,Tonnage/5)</f>
        <v>0</v>
      </c>
      <c r="M34" t="str">
        <f>VLOOKUP(C34,$S$15:$X$37,6)</f>
        <v xml:space="preserve"> </v>
      </c>
      <c r="S34" t="s">
        <v>1256</v>
      </c>
      <c r="T34">
        <v>-2</v>
      </c>
      <c r="U34">
        <v>1.2</v>
      </c>
      <c r="V34">
        <v>0.3</v>
      </c>
      <c r="W34">
        <v>9</v>
      </c>
      <c r="X34" t="s">
        <v>1264</v>
      </c>
      <c r="Y34" t="s">
        <v>1293</v>
      </c>
      <c r="Z34">
        <v>3</v>
      </c>
      <c r="AA34" t="s">
        <v>1271</v>
      </c>
    </row>
    <row r="35" spans="1:27" ht="16" thickBot="1">
      <c r="A35" s="3" t="s">
        <v>1075</v>
      </c>
      <c r="B35" s="234" t="s">
        <v>1166</v>
      </c>
      <c r="C35" s="198" t="s">
        <v>395</v>
      </c>
      <c r="M35" t="str">
        <f>VLOOKUP(C35,$S$15:$X$37,6)</f>
        <v xml:space="preserve"> </v>
      </c>
    </row>
    <row r="36" spans="1:27" ht="16" thickBot="1">
      <c r="A36" s="198" t="s">
        <v>99</v>
      </c>
      <c r="B36" s="2">
        <f>VLOOKUP(C34,$S$15:$Z$33,8)+VLOOKUP(C35,$S$15:$Z$33,8)+VLOOKUP(C36,$S$15:$Z$33,8)</f>
        <v>0</v>
      </c>
      <c r="C36" s="198" t="s">
        <v>395</v>
      </c>
      <c r="M36" t="str">
        <f>VLOOKUP(C36,$S$15:$X$37,6)</f>
        <v xml:space="preserve"> </v>
      </c>
    </row>
    <row r="37" spans="1:27">
      <c r="A37" s="232"/>
      <c r="B37" s="232"/>
      <c r="C37" s="232"/>
      <c r="D37" s="232"/>
      <c r="E37" s="232"/>
      <c r="F37" s="232"/>
      <c r="G37" s="232"/>
      <c r="H37" s="232"/>
      <c r="I37" s="232"/>
      <c r="J37" s="232"/>
      <c r="K37" s="232"/>
      <c r="L37" s="232"/>
      <c r="M37" s="232"/>
    </row>
    <row r="38" spans="1:27" ht="16" thickBot="1">
      <c r="A38" s="3" t="s">
        <v>423</v>
      </c>
      <c r="D38" s="1" t="s">
        <v>26</v>
      </c>
      <c r="E38" s="3" t="s">
        <v>308</v>
      </c>
      <c r="V38" t="s">
        <v>123</v>
      </c>
      <c r="Y38" t="s">
        <v>1280</v>
      </c>
    </row>
    <row r="39" spans="1:27" ht="16" thickBot="1">
      <c r="A39" s="198" t="s">
        <v>99</v>
      </c>
      <c r="B39" s="229" t="s">
        <v>411</v>
      </c>
      <c r="C39" s="198" t="s">
        <v>375</v>
      </c>
      <c r="D39" s="2">
        <f>IF(C39=S7,T6,0)</f>
        <v>0</v>
      </c>
      <c r="E39" s="2">
        <f>IF(C39="Installed",1,0)</f>
        <v>0</v>
      </c>
      <c r="F39" s="4">
        <f>IF(C39=S7,W6,0)*VLOOKUP(A39,S1:T2,2)</f>
        <v>0</v>
      </c>
      <c r="H39" s="263">
        <f>IF(C39=S7,U6,0)</f>
        <v>0</v>
      </c>
      <c r="K39" s="263">
        <f>IF(C39=S7,V6,0)</f>
        <v>0</v>
      </c>
      <c r="S39" t="s">
        <v>399</v>
      </c>
      <c r="V39">
        <v>0</v>
      </c>
      <c r="W39">
        <v>0</v>
      </c>
      <c r="Y39" t="s">
        <v>1276</v>
      </c>
      <c r="Z39">
        <f>VLOOKUP(C9,S15:X37,5)+VLOOKUP(C10,S15:X37,5)+VLOOKUP(C11,S15:X37,5)</f>
        <v>0</v>
      </c>
    </row>
    <row r="40" spans="1:27" ht="16" thickBot="1">
      <c r="A40" s="3" t="s">
        <v>1075</v>
      </c>
      <c r="D40" s="7" t="s">
        <v>421</v>
      </c>
      <c r="E40" s="198">
        <v>0</v>
      </c>
      <c r="F40" s="4">
        <f>3000000*E40</f>
        <v>0</v>
      </c>
      <c r="H40" s="263">
        <f>E40</f>
        <v>0</v>
      </c>
      <c r="S40" s="263">
        <f>SUM(H9:H36)</f>
        <v>0</v>
      </c>
      <c r="V40">
        <v>1</v>
      </c>
      <c r="W40">
        <v>0.1</v>
      </c>
      <c r="Y40" t="s">
        <v>1277</v>
      </c>
      <c r="Z40">
        <f>VLOOKUP(C14,S15:X37,5)+VLOOKUP(C15,S15:X37,5)+VLOOKUP(C16,S15:X37,5)</f>
        <v>0</v>
      </c>
    </row>
    <row r="41" spans="1:27" ht="16" thickBot="1">
      <c r="A41" s="198" t="s">
        <v>99</v>
      </c>
      <c r="V41">
        <v>2</v>
      </c>
      <c r="W41">
        <v>0.25</v>
      </c>
      <c r="Y41" t="s">
        <v>1278</v>
      </c>
      <c r="Z41">
        <f>VLOOKUP(C19,S15:X37,5)+VLOOKUP(C20,S15:X37,5)+VLOOKUP(C21,S15:X37,5)</f>
        <v>0</v>
      </c>
    </row>
    <row r="42" spans="1:27">
      <c r="C42" s="7" t="s">
        <v>422</v>
      </c>
      <c r="D42" s="270">
        <f>IF(C39=S7,X3,0)</f>
        <v>0</v>
      </c>
      <c r="S42" t="s">
        <v>400</v>
      </c>
      <c r="V42">
        <v>3</v>
      </c>
      <c r="W42">
        <v>0.5</v>
      </c>
      <c r="Y42" t="s">
        <v>1279</v>
      </c>
      <c r="Z42">
        <f>VLOOKUP(C24,S15:X37,5)+VLOOKUP(C25,S15:X37,5)+VLOOKUP(C26,S15:X37,5)</f>
        <v>0</v>
      </c>
    </row>
    <row r="43" spans="1:27">
      <c r="S43" s="263">
        <f>SUM(K9:K39)</f>
        <v>0</v>
      </c>
      <c r="Y43" t="s">
        <v>1281</v>
      </c>
      <c r="Z43">
        <f>VLOOKUP(C29,S15:X37,5)+VLOOKUP(C30,S15:X37,5)+VLOOKUP(C31,S15:X37,5)</f>
        <v>0</v>
      </c>
    </row>
    <row r="44" spans="1:27" ht="16" thickBot="1">
      <c r="B44" s="1" t="s">
        <v>1215</v>
      </c>
      <c r="C44" s="1" t="s">
        <v>171</v>
      </c>
      <c r="D44" s="1" t="s">
        <v>26</v>
      </c>
      <c r="E44" s="1"/>
      <c r="F44" s="1" t="s">
        <v>1</v>
      </c>
      <c r="G44" s="1"/>
      <c r="H44" s="1" t="s">
        <v>2</v>
      </c>
      <c r="I44" s="1"/>
      <c r="J44" s="1"/>
      <c r="K44" s="1" t="s">
        <v>55</v>
      </c>
      <c r="T44" t="s">
        <v>26</v>
      </c>
      <c r="U44" t="s">
        <v>117</v>
      </c>
      <c r="V44" t="s">
        <v>322</v>
      </c>
      <c r="W44" t="s">
        <v>1</v>
      </c>
    </row>
    <row r="45" spans="1:27" ht="16" thickBot="1">
      <c r="B45" s="197"/>
      <c r="C45" s="197"/>
      <c r="D45" s="198">
        <v>0</v>
      </c>
      <c r="F45" s="221">
        <v>0</v>
      </c>
      <c r="H45" s="197">
        <v>0</v>
      </c>
      <c r="K45" s="197">
        <v>0</v>
      </c>
      <c r="S45" t="s">
        <v>425</v>
      </c>
      <c r="T45">
        <v>12</v>
      </c>
      <c r="U45">
        <f>ROUNDUP('1-Hull'!B4/200,0)</f>
        <v>2</v>
      </c>
      <c r="V45">
        <v>2</v>
      </c>
      <c r="W45">
        <f>U45*1000000</f>
        <v>2000000</v>
      </c>
    </row>
    <row r="46" spans="1:27">
      <c r="B46" t="s">
        <v>2421</v>
      </c>
      <c r="Y46" t="s">
        <v>1281</v>
      </c>
    </row>
    <row r="47" spans="1:27">
      <c r="Y47" t="str">
        <f>IF(VLOOKUP(C29,$S$15:$AA$34,9)=$AA$15,"",VLOOKUP(C29,$S$15:$AA$34,9))</f>
        <v/>
      </c>
      <c r="Z47" t="str">
        <f>IF(Y47="","",IF(AND(Y48=Y47,Y49=Y47),Y47&amp;" x3",IF(OR(Y48=Y47,Y49=Y47),Y47&amp;" x2",Y47)))</f>
        <v/>
      </c>
    </row>
    <row r="48" spans="1:27">
      <c r="S48" t="s">
        <v>794</v>
      </c>
      <c r="T48">
        <f>SUM(T49:T51)</f>
        <v>0</v>
      </c>
      <c r="Y48" t="str">
        <f>IF(VLOOKUP(C30,$S$15:$AA$34,9)=$AA$15,"",VLOOKUP(C30,$S$15:$AA$34,9))</f>
        <v/>
      </c>
      <c r="Z48" t="str">
        <f>IF(OR(Y48="",Y48=Y47),"",IF(Y47="","",", ")&amp;IF(Y48=Y49,Y48&amp;" x2",Y48))</f>
        <v/>
      </c>
    </row>
    <row r="49" spans="19:27">
      <c r="S49" t="s">
        <v>809</v>
      </c>
      <c r="T49">
        <f>IF(MAX(D9:D39)&gt;D2,1,0)</f>
        <v>0</v>
      </c>
      <c r="Y49" t="str">
        <f>IF(VLOOKUP(C31,$S$15:$AA$34,9)=$AA$15,"",VLOOKUP(C31,$S$15:$AA$34,9))</f>
        <v/>
      </c>
      <c r="Z49" t="str">
        <f>IF(OR(Y49="",Y49=Y47,Y49=Y48),"",IF(AND(Y47="",Y48=""),"",", ")&amp;Y49)</f>
        <v/>
      </c>
    </row>
    <row r="50" spans="19:27">
      <c r="S50" t="s">
        <v>1166</v>
      </c>
      <c r="T50">
        <f>IF(OR(B11&gt;3,B16&gt;3,B21&gt;3,B26&gt;3,B31&gt;3),1,0)</f>
        <v>0</v>
      </c>
      <c r="Y50" s="3" t="s">
        <v>1200</v>
      </c>
    </row>
    <row r="51" spans="19:27">
      <c r="S51" t="s">
        <v>579</v>
      </c>
      <c r="T51">
        <v>0</v>
      </c>
      <c r="Y51" s="232" t="str">
        <f>Z47&amp;Z48&amp;Z49</f>
        <v/>
      </c>
    </row>
    <row r="52" spans="19:27">
      <c r="X52" s="7" t="s">
        <v>701</v>
      </c>
      <c r="Y52" s="232" t="str">
        <f>VLOOKUP(C29,$S$15:$AA$34,7)&amp;" "&amp;VLOOKUP(C30,$S$15:$AA$34,7)&amp;" "&amp;VLOOKUP(C31,$S$15:$AA$34,7)</f>
        <v xml:space="preserve">  </v>
      </c>
    </row>
    <row r="53" spans="19:27">
      <c r="T53" t="s">
        <v>1272</v>
      </c>
      <c r="V53" t="s">
        <v>1273</v>
      </c>
      <c r="X53" t="s">
        <v>1274</v>
      </c>
      <c r="Z53" t="s">
        <v>1275</v>
      </c>
    </row>
    <row r="54" spans="19:27">
      <c r="T54" t="str">
        <f>IF(VLOOKUP(C9,$S$15:$AA$34,9)=$AA$15,"",VLOOKUP(C9,$S$15:$AA$34,9))</f>
        <v/>
      </c>
      <c r="U54" t="str">
        <f>IF(T54="","",IF(AND(T55=T54,T56=T54),T54&amp;" x3",IF(OR(T55=T54,T56=T54),T54&amp;" x2",T54)))</f>
        <v/>
      </c>
      <c r="V54" t="str">
        <f>IF(VLOOKUP(C14,$S$15:$AA$34,9)=$AA$15,"",VLOOKUP(C14,$S$15:$AA$34,9))</f>
        <v/>
      </c>
      <c r="W54" t="str">
        <f>IF(V54="","",IF(AND(V55=V54,V56=V54),V54&amp;" x3",IF(OR(V55=V54,V56=V54),V54&amp;" x2",V54)))</f>
        <v/>
      </c>
      <c r="X54" t="str">
        <f>IF(VLOOKUP(C19,$S$15:$AA$34,9)=$AA$15,"",VLOOKUP(C19,$S$15:$AA$34,9))</f>
        <v/>
      </c>
      <c r="Y54" t="str">
        <f>IF(X54="","",IF(AND(X55=X54,X56=X54),X54&amp;" x3",IF(OR(X55=X54,X56=X54),X54&amp;" x2",X54)))</f>
        <v/>
      </c>
      <c r="Z54" t="str">
        <f>IF(VLOOKUP(C24,$S$15:$AA$34,9)=$AA$15,"",VLOOKUP(C24,$S$15:$AA$34,9))</f>
        <v/>
      </c>
      <c r="AA54" t="str">
        <f>IF(Z54="","",IF(AND(Z55=Z54,Z56=Z54),Z54&amp;" x3",IF(OR(Z55=Z54,Z56=Z54),Z54&amp;" x2",Z54)))</f>
        <v/>
      </c>
    </row>
    <row r="55" spans="19:27">
      <c r="T55" t="str">
        <f>IF(VLOOKUP(C10,$S$15:$AA$34,9)=$AA$15,"",VLOOKUP(C10,$S$15:$AA$34,9))</f>
        <v/>
      </c>
      <c r="U55" t="str">
        <f>IF(OR(T55="",T55=T54),"",IF(T54="","",", ")&amp;IF(T55=T56,T55&amp;" x2",T55))</f>
        <v/>
      </c>
      <c r="V55" t="str">
        <f>IF(VLOOKUP(C15,$S$15:$AA$34,9)=$AA$15,"",VLOOKUP(C15,$S$15:$AA$34,9))</f>
        <v/>
      </c>
      <c r="W55" t="str">
        <f>IF(OR(V55="",V55=V54),"",IF(V54="","",", ")&amp;IF(V55=V56,V55&amp;" x2",V55))</f>
        <v/>
      </c>
      <c r="X55" t="str">
        <f>IF(VLOOKUP(C20,$S$15:$AA$34,9)=$AA$15,"",VLOOKUP(C20,$S$15:$AA$34,9))</f>
        <v/>
      </c>
      <c r="Y55" t="str">
        <f>IF(OR(X55="",X55=X54),"",IF(X54="","",", ")&amp;IF(X55=X56,X55&amp;" x2",X55))</f>
        <v/>
      </c>
      <c r="Z55" t="str">
        <f>IF(VLOOKUP(C25,$S$15:$AA$34,9)=$AA$15,"",VLOOKUP(C25,$S$15:$AA$34,9))</f>
        <v/>
      </c>
      <c r="AA55" t="str">
        <f>IF(OR(Z55="",Z55=Z54),"",IF(Z54="","",", ")&amp;IF(Z55=Z56,Z55&amp;" x2",Z55))</f>
        <v/>
      </c>
    </row>
    <row r="56" spans="19:27">
      <c r="T56" t="str">
        <f>IF(VLOOKUP(C11,$S$15:$AA$34,9)=$AA$15,"",VLOOKUP(C11,$S$15:$AA$34,9))</f>
        <v/>
      </c>
      <c r="U56" t="str">
        <f>IF(OR(T56="",T56=T54,T56=T55),"",IF(AND(T54="",T55=""),"",", ")&amp;T56)</f>
        <v/>
      </c>
      <c r="V56" t="str">
        <f>IF(VLOOKUP(C16,$S$15:$AA$34,9)=$AA$15,"",VLOOKUP(C16,$S$15:$AA$34,9))</f>
        <v/>
      </c>
      <c r="W56" t="str">
        <f>IF(OR(V56="",V56=V54,V56=V55),"",IF(AND(V54="",V55=""),"",", ")&amp;V56)</f>
        <v/>
      </c>
      <c r="X56" t="str">
        <f>IF(VLOOKUP(C21,$S$15:$AA$34,9)=$AA$15,"",VLOOKUP(C21,$S$15:$AA$34,9))</f>
        <v/>
      </c>
      <c r="Y56" t="str">
        <f>IF(OR(X56="",X56=X54,X56=X55),"",IF(AND(X54="",X55=""),"",", ")&amp;X56)</f>
        <v/>
      </c>
      <c r="Z56" t="str">
        <f>IF(VLOOKUP(C26,$S$15:$AA$34,9)=$AA$15,"",VLOOKUP(C26,$S$15:$AA$34,9))</f>
        <v/>
      </c>
      <c r="AA56" t="str">
        <f>IF(OR(Z56="",Z56=Z54,Z56=Z55),"",IF(AND(Z54="",Z55=""),"",", ")&amp;Z56)</f>
        <v/>
      </c>
    </row>
    <row r="57" spans="19:27">
      <c r="T57" s="3" t="s">
        <v>1200</v>
      </c>
      <c r="V57" s="3" t="s">
        <v>1200</v>
      </c>
      <c r="X57" s="3" t="s">
        <v>1200</v>
      </c>
      <c r="Z57" s="3" t="s">
        <v>1200</v>
      </c>
    </row>
    <row r="58" spans="19:27">
      <c r="T58" s="232" t="str">
        <f>U54&amp;U55&amp;U56</f>
        <v/>
      </c>
      <c r="V58" s="232" t="str">
        <f>W54&amp;W55&amp;W56</f>
        <v/>
      </c>
      <c r="X58" s="232" t="str">
        <f>Y54&amp;Y55&amp;Y56</f>
        <v/>
      </c>
      <c r="Z58" s="232" t="str">
        <f>AA54&amp;AA55&amp;AA56</f>
        <v/>
      </c>
    </row>
    <row r="59" spans="19:27">
      <c r="T59" s="3" t="s">
        <v>701</v>
      </c>
      <c r="V59" s="3" t="s">
        <v>701</v>
      </c>
      <c r="X59" s="3" t="s">
        <v>701</v>
      </c>
      <c r="Z59" s="3" t="s">
        <v>701</v>
      </c>
    </row>
    <row r="60" spans="19:27">
      <c r="T60" s="232" t="str">
        <f>VLOOKUP(C9,$S$15:$AA$34,7)&amp;" "&amp;VLOOKUP(C10,$S$15:$AA$34,7)&amp;" "&amp;VLOOKUP(C11,$S$15:$AA$34,7)</f>
        <v xml:space="preserve">  </v>
      </c>
      <c r="V60" s="232" t="str">
        <f>VLOOKUP(C14,$S$15:$AA$34,7)&amp;" "&amp;VLOOKUP(C15,$S$15:$AA$34,7)&amp;" "&amp;VLOOKUP(C16,$S$15:$AA$34,7)</f>
        <v xml:space="preserve">  </v>
      </c>
      <c r="X60" s="232" t="str">
        <f>VLOOKUP(C19,$S$15:$AA$34,7)&amp;" "&amp;VLOOKUP(C20,$S$15:$AA$34,7)&amp;" "&amp;VLOOKUP(C21,$S$15:$AA$34,7)</f>
        <v xml:space="preserve">  </v>
      </c>
      <c r="Z60" s="232" t="str">
        <f>VLOOKUP(C24,$S$15:$AA$34,7)&amp;" "&amp;VLOOKUP(C25,$S$15:$AA$34,7)&amp;" "&amp;VLOOKUP(C26,$S$15:$AA$34,7)</f>
        <v xml:space="preserve">  </v>
      </c>
    </row>
    <row r="63" spans="19:27">
      <c r="T63" t="s">
        <v>26</v>
      </c>
      <c r="U63" t="s">
        <v>1</v>
      </c>
    </row>
    <row r="64" spans="19:27">
      <c r="S64" t="s">
        <v>2323</v>
      </c>
      <c r="T64">
        <v>0</v>
      </c>
      <c r="U64">
        <v>0</v>
      </c>
      <c r="V64" t="str">
        <f>""</f>
        <v/>
      </c>
      <c r="W64" t="s">
        <v>2336</v>
      </c>
    </row>
    <row r="65" spans="19:24">
      <c r="S65" t="s">
        <v>2324</v>
      </c>
      <c r="T65">
        <v>16</v>
      </c>
      <c r="U65" s="263">
        <v>2500000</v>
      </c>
      <c r="V65" t="s">
        <v>2330</v>
      </c>
      <c r="W65" t="str">
        <f>IF(VLOOKUP(C34,$S$15:$AA$34,9)=$AA$15,"",VLOOKUP(C34,$S$15:$AA$34,9))</f>
        <v/>
      </c>
      <c r="X65" t="str">
        <f>IF(W65="","",IF(AND(W66=W65,W67=W65),W65&amp;" x3",IF(OR(W66=W65,W67=W65),W65&amp;" x2",W65)))</f>
        <v/>
      </c>
    </row>
    <row r="66" spans="19:24">
      <c r="S66" t="s">
        <v>2325</v>
      </c>
      <c r="T66">
        <v>17</v>
      </c>
      <c r="U66" s="263">
        <v>5000000</v>
      </c>
      <c r="V66" t="s">
        <v>2331</v>
      </c>
      <c r="W66" t="str">
        <f>IF(VLOOKUP(C35,$S$15:$AA$34,9)=$AA$15,"",VLOOKUP(C35,$S$15:$AA$34,9))</f>
        <v/>
      </c>
      <c r="X66" t="str">
        <f>IF(OR(W66="",W66=W65),"",IF(W65="","",", ")&amp;IF(W66=W67,W66&amp;" x2",W66))</f>
        <v/>
      </c>
    </row>
    <row r="67" spans="19:24">
      <c r="S67" t="s">
        <v>2326</v>
      </c>
      <c r="T67">
        <v>18</v>
      </c>
      <c r="U67" s="263">
        <v>10000000</v>
      </c>
      <c r="V67" t="s">
        <v>2332</v>
      </c>
      <c r="W67" t="str">
        <f>IF(VLOOKUP(C36,$S$15:$AA$34,9)=$AA$15,"",VLOOKUP(C36,$S$15:$AA$34,9))</f>
        <v/>
      </c>
      <c r="X67" t="str">
        <f>IF(OR(W67="",W67=W65,W67=W66),"",IF(AND(W65="",W66=""),"",", ")&amp;W67)</f>
        <v/>
      </c>
    </row>
    <row r="68" spans="19:24">
      <c r="S68" t="s">
        <v>2327</v>
      </c>
      <c r="T68">
        <v>19</v>
      </c>
      <c r="U68" s="263">
        <v>15000000</v>
      </c>
      <c r="V68" t="s">
        <v>2333</v>
      </c>
      <c r="W68" s="3" t="s">
        <v>1200</v>
      </c>
    </row>
    <row r="69" spans="19:24">
      <c r="S69" t="s">
        <v>2328</v>
      </c>
      <c r="T69">
        <v>20</v>
      </c>
      <c r="U69" s="263">
        <v>20000000</v>
      </c>
      <c r="V69" t="s">
        <v>2334</v>
      </c>
      <c r="W69" s="232" t="str">
        <f>X65&amp;X66&amp;X67</f>
        <v/>
      </c>
    </row>
    <row r="70" spans="19:24">
      <c r="S70" t="s">
        <v>2329</v>
      </c>
      <c r="T70">
        <v>21</v>
      </c>
      <c r="U70" s="263">
        <v>25000000</v>
      </c>
      <c r="V70" t="s">
        <v>2335</v>
      </c>
    </row>
  </sheetData>
  <sheetProtection algorithmName="SHA-512" hashValue="kB54IBawBX24e1UfaSWMkKDXKMOSKlzWXa94mfrGMi6rE32+uGw2PNNaEJJgRePGS+GSAaLS9tOePXgMEmDJzA==" saltValue="5vt9XL00YRePl6HP4cIjBA==" spinCount="100000" sheet="1" selectLockedCells="1"/>
  <sortState xmlns:xlrd2="http://schemas.microsoft.com/office/spreadsheetml/2017/richdata2" ref="S15:X37">
    <sortCondition ref="S15:S37"/>
  </sortState>
  <mergeCells count="2">
    <mergeCell ref="H4:I4"/>
    <mergeCell ref="K4:L4"/>
  </mergeCells>
  <conditionalFormatting sqref="A9 E9 C9:C11 A11">
    <cfRule type="expression" dxfId="275" priority="1387">
      <formula>$B$9=$S$9</formula>
    </cfRule>
  </conditionalFormatting>
  <conditionalFormatting sqref="A14 E14 C14:C16 A16">
    <cfRule type="expression" dxfId="274" priority="1391">
      <formula>$B$14=$S$9</formula>
    </cfRule>
  </conditionalFormatting>
  <conditionalFormatting sqref="A19 E19 C19:C21 A21">
    <cfRule type="expression" dxfId="273" priority="1395">
      <formula>$B$19=$S$9</formula>
    </cfRule>
  </conditionalFormatting>
  <conditionalFormatting sqref="A24 E24 C24:C26 A26">
    <cfRule type="expression" dxfId="272" priority="1405">
      <formula>$B$24=$S$9</formula>
    </cfRule>
  </conditionalFormatting>
  <conditionalFormatting sqref="A29 C29:C31 A31">
    <cfRule type="expression" dxfId="271" priority="16">
      <formula>$E$29=0</formula>
    </cfRule>
  </conditionalFormatting>
  <conditionalFormatting sqref="A34 C34:C36 A36">
    <cfRule type="expression" dxfId="270" priority="3">
      <formula>$D$34&lt;10</formula>
    </cfRule>
  </conditionalFormatting>
  <conditionalFormatting sqref="A39 E40 A41">
    <cfRule type="expression" dxfId="269" priority="1399">
      <formula>$C$39=$S$6</formula>
    </cfRule>
  </conditionalFormatting>
  <conditionalFormatting sqref="B11 B16 B21 B26 B31">
    <cfRule type="cellIs" dxfId="268" priority="10" operator="greaterThan">
      <formula>3</formula>
    </cfRule>
  </conditionalFormatting>
  <conditionalFormatting sqref="B36">
    <cfRule type="cellIs" dxfId="267" priority="2" operator="greaterThan">
      <formula>3</formula>
    </cfRule>
  </conditionalFormatting>
  <conditionalFormatting sqref="D9 D14 D19 D24 D29 D39">
    <cfRule type="cellIs" dxfId="266" priority="4" operator="greaterThan">
      <formula>$D$2</formula>
    </cfRule>
  </conditionalFormatting>
  <conditionalFormatting sqref="D34">
    <cfRule type="cellIs" dxfId="265" priority="1" operator="greaterThan">
      <formula>$D$2</formula>
    </cfRule>
  </conditionalFormatting>
  <conditionalFormatting sqref="E9">
    <cfRule type="expression" dxfId="264" priority="1402">
      <formula>AND(B9&lt;&gt;S9,E9=0)</formula>
    </cfRule>
  </conditionalFormatting>
  <conditionalFormatting sqref="E14">
    <cfRule type="expression" dxfId="263" priority="1403">
      <formula>AND(B14&lt;&gt;S9,E14=0)</formula>
    </cfRule>
  </conditionalFormatting>
  <conditionalFormatting sqref="E19">
    <cfRule type="expression" dxfId="262" priority="1404">
      <formula>AND(B19&lt;&gt;S9,E19=0)</formula>
    </cfRule>
  </conditionalFormatting>
  <conditionalFormatting sqref="E24">
    <cfRule type="expression" dxfId="261" priority="1409">
      <formula>AND($B$24&lt;&gt;$S$9,$E$24=0)</formula>
    </cfRule>
  </conditionalFormatting>
  <conditionalFormatting sqref="H6">
    <cfRule type="expression" dxfId="260" priority="26">
      <formula>$H$6&lt;0</formula>
    </cfRule>
  </conditionalFormatting>
  <conditionalFormatting sqref="K6">
    <cfRule type="expression" dxfId="259" priority="25">
      <formula>$K$6&lt;0</formula>
    </cfRule>
  </conditionalFormatting>
  <dataValidations count="7">
    <dataValidation type="whole" operator="greaterThanOrEqual" allowBlank="1" showInputMessage="1" showErrorMessage="1" sqref="E40 E9 E14 E24 E19 E29 E34" xr:uid="{072CA588-38DB-4DB4-8065-79EC67A8ED3A}">
      <formula1>0</formula1>
    </dataValidation>
    <dataValidation type="list" allowBlank="1" showInputMessage="1" showErrorMessage="1" sqref="A41 A9 A11 A14 A16 A24 A19 A21 A26 A29 A39 A31 A34 A36" xr:uid="{0AAAA079-55AE-49EF-AB7E-BA03B0792715}">
      <formula1>$S$1:$S$2</formula1>
    </dataValidation>
    <dataValidation type="list" allowBlank="1" showInputMessage="1" showErrorMessage="1" sqref="B39" xr:uid="{5439E81F-0156-4AB4-9A8E-7AD78DD17426}">
      <formula1>$S$3:$S$5</formula1>
    </dataValidation>
    <dataValidation type="list" allowBlank="1" showInputMessage="1" showErrorMessage="1" sqref="C39" xr:uid="{4082868F-408D-4082-B0C2-FE6828FB5594}">
      <formula1>$S$6:$S$7</formula1>
    </dataValidation>
    <dataValidation type="list" allowBlank="1" showInputMessage="1" showErrorMessage="1" sqref="B9 B19 B24 B14" xr:uid="{70D22843-3FED-4D70-922F-055BAFF5DBC5}">
      <formula1>$S$9:$S$13</formula1>
    </dataValidation>
    <dataValidation type="list" allowBlank="1" showInputMessage="1" showErrorMessage="1" sqref="C9:C11 C34:C36 C29:C31 C24:C26 C19:C21 C14:C16" xr:uid="{2B6B91EA-5F91-48E5-B7E3-7D75B4CB7B1B}">
      <formula1>$S$15:$S$34</formula1>
    </dataValidation>
    <dataValidation type="list" allowBlank="1" showInputMessage="1" showErrorMessage="1" sqref="B34" xr:uid="{9365F4D4-6BA1-4AB5-9C6F-9BFA6973ECF4}">
      <formula1>$S$64:$S$70</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1F2-9279-4EB0-A840-A6FA7F17728B}">
  <dimension ref="A1:BA485"/>
  <sheetViews>
    <sheetView tabSelected="1" zoomScaleNormal="100" workbookViewId="0">
      <selection activeCell="P30" sqref="P3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 customWidth="1"/>
    <col min="9" max="9" width="9.6640625" customWidth="1"/>
    <col min="11" max="11" width="10.1640625" customWidth="1"/>
    <col min="12" max="12" width="5" customWidth="1"/>
    <col min="13" max="13" width="39.33203125" customWidth="1"/>
    <col min="14" max="14" width="18.33203125" customWidth="1"/>
    <col min="15" max="15" width="18.1640625" customWidth="1"/>
    <col min="17" max="17" width="28.33203125" customWidth="1"/>
    <col min="18" max="18" width="9.1640625" customWidth="1"/>
    <col min="19" max="19" width="19.6640625" hidden="1" customWidth="1"/>
    <col min="20" max="26" width="9.1640625" hidden="1" customWidth="1"/>
    <col min="27" max="27" width="45.83203125" hidden="1" customWidth="1"/>
    <col min="28" max="28" width="18.6640625" style="4" hidden="1" customWidth="1"/>
    <col min="29" max="29" width="17.33203125" hidden="1" customWidth="1"/>
    <col min="30" max="49" width="9.1640625" hidden="1" customWidth="1"/>
    <col min="50" max="50" width="40.33203125" hidden="1" customWidth="1"/>
    <col min="51" max="51" width="9.1640625" hidden="1" customWidth="1"/>
    <col min="52" max="52" width="36.83203125" hidden="1" customWidth="1"/>
    <col min="53" max="53" width="18" hidden="1" customWidth="1"/>
  </cols>
  <sheetData>
    <row r="1" spans="1:53" ht="16" thickBot="1">
      <c r="A1" s="3" t="str">
        <f>'Ship Info'!A1</f>
        <v>Ship's Class Name</v>
      </c>
      <c r="B1" t="str">
        <f>'Ship Info'!B1</f>
        <v>Zhodani Long Range Scout</v>
      </c>
      <c r="F1" s="1" t="s">
        <v>1</v>
      </c>
      <c r="U1" t="s">
        <v>2036</v>
      </c>
      <c r="Y1" s="2" t="s">
        <v>373</v>
      </c>
      <c r="Z1" s="2" t="s">
        <v>26</v>
      </c>
      <c r="AA1" s="2" t="s">
        <v>1717</v>
      </c>
      <c r="AB1" s="10" t="s">
        <v>1720</v>
      </c>
      <c r="AC1" s="2" t="s">
        <v>542</v>
      </c>
      <c r="AD1" s="2" t="s">
        <v>1849</v>
      </c>
      <c r="AE1" s="2" t="s">
        <v>1826</v>
      </c>
      <c r="AF1" s="2" t="s">
        <v>1731</v>
      </c>
      <c r="AG1" s="2" t="s">
        <v>1732</v>
      </c>
      <c r="AH1" s="2" t="s">
        <v>1744</v>
      </c>
      <c r="AI1" s="2" t="s">
        <v>1844</v>
      </c>
      <c r="AJ1" s="2" t="s">
        <v>1874</v>
      </c>
      <c r="AK1" s="2" t="s">
        <v>1875</v>
      </c>
      <c r="AL1" s="2" t="s">
        <v>1876</v>
      </c>
      <c r="AM1" s="2" t="s">
        <v>1877</v>
      </c>
      <c r="AN1" s="2" t="s">
        <v>1879</v>
      </c>
      <c r="AO1" s="2" t="s">
        <v>1878</v>
      </c>
      <c r="AP1" s="2" t="s">
        <v>2030</v>
      </c>
      <c r="AQ1" s="2" t="s">
        <v>2064</v>
      </c>
      <c r="AR1" s="2" t="s">
        <v>2258</v>
      </c>
      <c r="AS1" s="2" t="s">
        <v>1846</v>
      </c>
      <c r="AT1" s="2" t="s">
        <v>1847</v>
      </c>
      <c r="AU1" s="2" t="s">
        <v>1848</v>
      </c>
      <c r="AV1" s="2" t="s">
        <v>26</v>
      </c>
      <c r="AW1" s="454">
        <v>481</v>
      </c>
      <c r="AX1" s="93" t="s">
        <v>1855</v>
      </c>
      <c r="AZ1" s="2" t="s">
        <v>1866</v>
      </c>
      <c r="BA1" s="2" t="s">
        <v>1</v>
      </c>
    </row>
    <row r="2" spans="1:53">
      <c r="A2" s="3" t="s">
        <v>432</v>
      </c>
      <c r="B2" t="str">
        <f>'Ship Info'!B2</f>
        <v>Scout</v>
      </c>
      <c r="D2" s="3" t="s">
        <v>0</v>
      </c>
      <c r="E2" s="2">
        <f>'Ship Info'!F2</f>
        <v>14</v>
      </c>
      <c r="F2" s="10">
        <f>'Ship Info'!G2</f>
        <v>621511800.00000012</v>
      </c>
      <c r="S2" t="s">
        <v>113</v>
      </c>
      <c r="T2" t="s">
        <v>99</v>
      </c>
      <c r="U2" t="s">
        <v>99</v>
      </c>
      <c r="Y2">
        <v>1</v>
      </c>
      <c r="AA2" t="str">
        <f>""</f>
        <v/>
      </c>
      <c r="AB2" s="4">
        <v>0</v>
      </c>
      <c r="AC2">
        <v>0</v>
      </c>
      <c r="AW2" s="202">
        <v>1</v>
      </c>
      <c r="AX2" s="202" t="str">
        <f>INDEX($Y$2:$AA$328,MATCH(AW2,$Y$2:$Y$328,0),3)</f>
        <v/>
      </c>
      <c r="AY2">
        <v>1</v>
      </c>
      <c r="AZ2" t="str">
        <f>IF(OR(M27="",P27=0),"",M27&amp;" x"&amp;P27&amp;" ("&amp;P27*O27&amp;" tons)")</f>
        <v>Zhodani Brechatsnech Belt Survey Vessel x1 (60 tons)</v>
      </c>
      <c r="BA2" s="4">
        <f>Q27</f>
        <v>37070000</v>
      </c>
    </row>
    <row r="3" spans="1:53">
      <c r="F3" s="10"/>
      <c r="G3" s="79"/>
      <c r="H3" s="506">
        <f>S29</f>
        <v>28</v>
      </c>
      <c r="I3" s="86"/>
      <c r="J3" s="79"/>
      <c r="K3" s="507">
        <f>S32</f>
        <v>0</v>
      </c>
      <c r="S3" t="s">
        <v>283</v>
      </c>
      <c r="T3" t="s">
        <v>100</v>
      </c>
      <c r="U3" t="str">
        <f>IF(OR(H17=0,H18=0),"No","Yes")</f>
        <v>No</v>
      </c>
      <c r="X3">
        <f>SUM(AD3:AV3)</f>
        <v>4</v>
      </c>
      <c r="Y3">
        <f>IF(X3&gt;0,Y2+1,Y2)</f>
        <v>2</v>
      </c>
      <c r="Z3">
        <v>15</v>
      </c>
      <c r="AA3" t="s">
        <v>1779</v>
      </c>
      <c r="AB3" s="4">
        <v>5270000</v>
      </c>
      <c r="AC3">
        <v>8</v>
      </c>
      <c r="AD3">
        <f t="shared" ref="AD3:AD10" si="0">IF($N$62="No",-20,1)</f>
        <v>1</v>
      </c>
      <c r="AH3">
        <f>IF($N$69="No",-20,1)</f>
        <v>1</v>
      </c>
      <c r="AS3">
        <f t="shared" ref="AS3:AS10" si="1">IF($P$62=0,1,IF(AC3&lt;=$P$62,1,-20))</f>
        <v>1</v>
      </c>
      <c r="AV3">
        <f t="shared" ref="AV3:AV66" si="2">IF($N$61="Yes",1,IF(Z3&gt;TL,-20,1))</f>
        <v>1</v>
      </c>
      <c r="AW3" s="57">
        <f>AW2+1</f>
        <v>2</v>
      </c>
      <c r="AX3" s="57" t="str">
        <f>IF(AW3&gt;$AW$1,"",INDEX($Y$2:$AA$482,MATCH(AW3,$Y$2:$Y$482,0),3))</f>
        <v xml:space="preserve">Abel Thermospheric Recon </v>
      </c>
      <c r="AY3">
        <v>2</v>
      </c>
      <c r="AZ3" t="str">
        <f t="shared" ref="AZ3:AZ31" si="3">IF(OR(M28="",P28=0),"",M28&amp;" x"&amp;P28&amp;" ("&amp;P28*O28&amp;" tons)")</f>
        <v>Zhodani Neishetsienz Gas Giant Survey Vessel x1 (60 tons)</v>
      </c>
      <c r="BA3" s="4">
        <f t="shared" ref="BA3:BA31" si="4">Q28</f>
        <v>65550000</v>
      </c>
    </row>
    <row r="4" spans="1:53" ht="16">
      <c r="F4" s="508" t="s">
        <v>45</v>
      </c>
      <c r="H4" s="787" t="s">
        <v>46</v>
      </c>
      <c r="I4" s="787"/>
      <c r="K4" s="787" t="s">
        <v>47</v>
      </c>
      <c r="L4" s="787"/>
      <c r="X4">
        <f t="shared" ref="X4:X67" si="5">SUM(AD4:AV4)</f>
        <v>4</v>
      </c>
      <c r="Y4">
        <f t="shared" ref="Y4:Y67" si="6">IF(X4&gt;0,Y3+1,Y3)</f>
        <v>3</v>
      </c>
      <c r="Z4" s="459">
        <v>8</v>
      </c>
      <c r="AA4" s="459" t="s">
        <v>2251</v>
      </c>
      <c r="AB4" s="460">
        <v>391400</v>
      </c>
      <c r="AC4" s="461">
        <v>20</v>
      </c>
      <c r="AD4">
        <f t="shared" si="0"/>
        <v>1</v>
      </c>
      <c r="AR4">
        <f>IF($N$79="No",-20,1)</f>
        <v>1</v>
      </c>
      <c r="AS4">
        <f t="shared" si="1"/>
        <v>1</v>
      </c>
      <c r="AV4">
        <f t="shared" si="2"/>
        <v>1</v>
      </c>
      <c r="AW4" s="57">
        <f t="shared" ref="AW4:AW67" si="7">AW3+1</f>
        <v>3</v>
      </c>
      <c r="AX4" s="57" t="str">
        <f t="shared" ref="AX4:AX67" si="8">IF(AW4&gt;$AW$1,"",INDEX($Y$2:$AA$482,MATCH(AW4,$Y$2:$Y$482,0),3))</f>
        <v>ADB-511 Strike Hydrofoil (JTAS Vol. 6)</v>
      </c>
      <c r="AY4">
        <v>3</v>
      </c>
      <c r="AZ4" t="str">
        <f t="shared" si="3"/>
        <v>Zhodani Drabr Chtor Terrestrial Survey Vessel x1 (80 tons)</v>
      </c>
      <c r="BA4" s="4">
        <f t="shared" si="4"/>
        <v>48995000</v>
      </c>
    </row>
    <row r="5" spans="1:53" ht="16">
      <c r="F5" s="506">
        <f>SUM(F10:F66)+IF(N58="No",0,SUM(Q27:Q46))</f>
        <v>163215000</v>
      </c>
      <c r="H5" s="1" t="s">
        <v>403</v>
      </c>
      <c r="I5" s="1" t="s">
        <v>27</v>
      </c>
      <c r="K5" s="1" t="s">
        <v>403</v>
      </c>
      <c r="L5" s="1" t="s">
        <v>27</v>
      </c>
      <c r="S5" t="s">
        <v>438</v>
      </c>
      <c r="X5">
        <f t="shared" si="5"/>
        <v>4</v>
      </c>
      <c r="Y5">
        <f t="shared" si="6"/>
        <v>4</v>
      </c>
      <c r="Z5" s="459">
        <v>8</v>
      </c>
      <c r="AA5" s="459" t="s">
        <v>2250</v>
      </c>
      <c r="AB5" s="460">
        <v>166500</v>
      </c>
      <c r="AC5" s="461">
        <v>20</v>
      </c>
      <c r="AD5">
        <f t="shared" si="0"/>
        <v>1</v>
      </c>
      <c r="AR5">
        <f>IF($N$79="No",-20,1)</f>
        <v>1</v>
      </c>
      <c r="AS5">
        <f t="shared" si="1"/>
        <v>1</v>
      </c>
      <c r="AV5">
        <f t="shared" si="2"/>
        <v>1</v>
      </c>
      <c r="AW5" s="57">
        <f t="shared" si="7"/>
        <v>4</v>
      </c>
      <c r="AX5" s="57" t="str">
        <f t="shared" si="8"/>
        <v>ADB-602 Coastal Patrol Cutter (JTAS Vol. 6)</v>
      </c>
      <c r="AY5">
        <v>4</v>
      </c>
      <c r="AZ5" t="str">
        <f t="shared" si="3"/>
        <v/>
      </c>
      <c r="BA5" s="4">
        <f t="shared" si="4"/>
        <v>0</v>
      </c>
    </row>
    <row r="6" spans="1:53" ht="16">
      <c r="G6" s="2"/>
      <c r="H6" s="10">
        <f>'Ship Info'!I3</f>
        <v>2.6000000000000227</v>
      </c>
      <c r="I6" s="270">
        <f>'Ship Info'!J3</f>
        <v>300</v>
      </c>
      <c r="J6" s="2"/>
      <c r="K6" s="270">
        <f>'Ship Info'!L3</f>
        <v>7</v>
      </c>
      <c r="L6" s="270">
        <f>'Ship Info'!M3</f>
        <v>250</v>
      </c>
      <c r="S6" t="s">
        <v>283</v>
      </c>
      <c r="T6" t="s">
        <v>33</v>
      </c>
      <c r="X6">
        <f t="shared" si="5"/>
        <v>4</v>
      </c>
      <c r="Y6">
        <f t="shared" si="6"/>
        <v>5</v>
      </c>
      <c r="Z6" s="459">
        <v>9</v>
      </c>
      <c r="AA6" s="459" t="s">
        <v>2242</v>
      </c>
      <c r="AB6" s="460">
        <v>321500</v>
      </c>
      <c r="AC6" s="461">
        <v>20</v>
      </c>
      <c r="AD6">
        <f t="shared" si="0"/>
        <v>1</v>
      </c>
      <c r="AR6">
        <f>IF($N$79="No",-20,1)</f>
        <v>1</v>
      </c>
      <c r="AS6">
        <f t="shared" si="1"/>
        <v>1</v>
      </c>
      <c r="AV6">
        <f t="shared" si="2"/>
        <v>1</v>
      </c>
      <c r="AW6" s="57">
        <f t="shared" si="7"/>
        <v>5</v>
      </c>
      <c r="AX6" s="57" t="str">
        <f t="shared" si="8"/>
        <v>Advanced Fire Engine (JTAS Vol. 5)</v>
      </c>
      <c r="AY6">
        <v>5</v>
      </c>
      <c r="AZ6" t="str">
        <f t="shared" si="3"/>
        <v/>
      </c>
      <c r="BA6" s="4">
        <f t="shared" si="4"/>
        <v>0</v>
      </c>
    </row>
    <row r="7" spans="1:53">
      <c r="A7" s="22"/>
      <c r="B7" s="22"/>
      <c r="C7" s="22"/>
      <c r="D7" s="22"/>
      <c r="E7" s="22"/>
      <c r="F7" s="22"/>
      <c r="G7" s="22"/>
      <c r="H7" s="22"/>
      <c r="I7" s="22"/>
      <c r="J7" s="22"/>
      <c r="K7" s="22"/>
      <c r="L7" s="22"/>
      <c r="S7" t="s">
        <v>443</v>
      </c>
      <c r="T7" s="25" t="s">
        <v>459</v>
      </c>
      <c r="V7">
        <v>1</v>
      </c>
      <c r="W7">
        <v>500000</v>
      </c>
      <c r="X7">
        <f t="shared" si="5"/>
        <v>4</v>
      </c>
      <c r="Y7">
        <f t="shared" si="6"/>
        <v>6</v>
      </c>
      <c r="Z7">
        <v>12</v>
      </c>
      <c r="AA7" t="s">
        <v>2265</v>
      </c>
      <c r="AB7" s="4">
        <v>89150</v>
      </c>
      <c r="AC7" s="493">
        <v>0.5</v>
      </c>
      <c r="AD7">
        <f t="shared" si="0"/>
        <v>1</v>
      </c>
      <c r="AR7">
        <f>IF($N$79="No",-20,1)</f>
        <v>1</v>
      </c>
      <c r="AS7">
        <f t="shared" si="1"/>
        <v>1</v>
      </c>
      <c r="AV7">
        <f t="shared" si="2"/>
        <v>1</v>
      </c>
      <c r="AW7" s="57">
        <f t="shared" si="7"/>
        <v>6</v>
      </c>
      <c r="AX7" s="57" t="str">
        <f t="shared" si="8"/>
        <v>Aeon Flyer Stinger SZ-100 G/Bike (JTAS Vol. 8)</v>
      </c>
      <c r="AY7">
        <v>6</v>
      </c>
      <c r="AZ7" t="str">
        <f t="shared" si="3"/>
        <v/>
      </c>
      <c r="BA7" s="4">
        <f t="shared" si="4"/>
        <v>0</v>
      </c>
    </row>
    <row r="8" spans="1:53">
      <c r="A8" s="3" t="s">
        <v>426</v>
      </c>
      <c r="S8" t="s">
        <v>444</v>
      </c>
      <c r="T8" s="25" t="s">
        <v>460</v>
      </c>
      <c r="V8">
        <v>5</v>
      </c>
      <c r="W8">
        <v>1000000</v>
      </c>
      <c r="X8">
        <f t="shared" si="5"/>
        <v>4</v>
      </c>
      <c r="Y8">
        <f t="shared" si="6"/>
        <v>7</v>
      </c>
      <c r="Z8">
        <v>13</v>
      </c>
      <c r="AA8" t="s">
        <v>2266</v>
      </c>
      <c r="AB8" s="4">
        <v>202750</v>
      </c>
      <c r="AC8" s="493">
        <v>0.5</v>
      </c>
      <c r="AD8">
        <f t="shared" si="0"/>
        <v>1</v>
      </c>
      <c r="AR8">
        <f>IF($N$79="No",-20,1)</f>
        <v>1</v>
      </c>
      <c r="AS8">
        <f t="shared" si="1"/>
        <v>1</v>
      </c>
      <c r="AV8">
        <f t="shared" si="2"/>
        <v>1</v>
      </c>
      <c r="AW8" s="57">
        <f t="shared" si="7"/>
        <v>7</v>
      </c>
      <c r="AX8" s="57" t="str">
        <f t="shared" si="8"/>
        <v>Aeon Flyer Stinger SZ-580Z G/Bike (JTAS Vol. 8)</v>
      </c>
      <c r="AY8">
        <v>7</v>
      </c>
      <c r="AZ8" t="str">
        <f t="shared" si="3"/>
        <v/>
      </c>
      <c r="BA8" s="4">
        <f t="shared" si="4"/>
        <v>0</v>
      </c>
    </row>
    <row r="9" spans="1:53" ht="16" thickBot="1">
      <c r="B9" s="2"/>
      <c r="C9" s="1" t="s">
        <v>308</v>
      </c>
      <c r="D9" s="1" t="s">
        <v>433</v>
      </c>
      <c r="E9" s="3" t="s">
        <v>26</v>
      </c>
      <c r="S9" t="s">
        <v>445</v>
      </c>
      <c r="T9" s="25" t="s">
        <v>461</v>
      </c>
      <c r="V9">
        <v>10</v>
      </c>
      <c r="W9">
        <v>2000000</v>
      </c>
      <c r="X9">
        <f t="shared" si="5"/>
        <v>4</v>
      </c>
      <c r="Y9">
        <f t="shared" si="6"/>
        <v>8</v>
      </c>
      <c r="Z9">
        <v>8</v>
      </c>
      <c r="AA9" t="s">
        <v>1733</v>
      </c>
      <c r="AB9" s="4">
        <v>250000</v>
      </c>
      <c r="AC9">
        <v>4</v>
      </c>
      <c r="AD9">
        <f t="shared" si="0"/>
        <v>1</v>
      </c>
      <c r="AI9">
        <f>IF($N$70="No",-20,1)</f>
        <v>1</v>
      </c>
      <c r="AS9">
        <f t="shared" si="1"/>
        <v>1</v>
      </c>
      <c r="AV9">
        <f t="shared" si="2"/>
        <v>1</v>
      </c>
      <c r="AW9" s="57">
        <f t="shared" si="7"/>
        <v>8</v>
      </c>
      <c r="AX9" s="57" t="str">
        <f t="shared" si="8"/>
        <v>Air/Raft</v>
      </c>
      <c r="AY9">
        <v>8</v>
      </c>
      <c r="AZ9" t="str">
        <f t="shared" si="3"/>
        <v/>
      </c>
      <c r="BA9" s="4">
        <f t="shared" si="4"/>
        <v>0</v>
      </c>
    </row>
    <row r="10" spans="1:53" ht="16" thickBot="1">
      <c r="A10" t="s">
        <v>427</v>
      </c>
      <c r="B10" s="254" t="s">
        <v>283</v>
      </c>
      <c r="C10" s="235">
        <v>5</v>
      </c>
      <c r="D10" s="2" t="str">
        <f>IF(H10&gt;0,C10*5 &amp;" Probes","0 Probes ")</f>
        <v xml:space="preserve">0 Probes </v>
      </c>
      <c r="E10" s="2">
        <f>IF(B10="Installed",9,0)</f>
        <v>0</v>
      </c>
      <c r="F10" s="4">
        <f>H10*500000</f>
        <v>0</v>
      </c>
      <c r="H10" s="270">
        <f>IF(B10=S2,C10,0)</f>
        <v>0</v>
      </c>
      <c r="K10" s="2">
        <v>0</v>
      </c>
      <c r="S10" t="s">
        <v>446</v>
      </c>
      <c r="T10" s="25" t="s">
        <v>462</v>
      </c>
      <c r="V10">
        <v>20</v>
      </c>
      <c r="W10">
        <v>4000000</v>
      </c>
      <c r="X10">
        <f t="shared" si="5"/>
        <v>4</v>
      </c>
      <c r="Y10">
        <f t="shared" si="6"/>
        <v>9</v>
      </c>
      <c r="Z10">
        <v>10</v>
      </c>
      <c r="AA10" t="s">
        <v>2297</v>
      </c>
      <c r="AB10" s="4">
        <v>321300</v>
      </c>
      <c r="AC10" s="493">
        <v>4</v>
      </c>
      <c r="AD10">
        <f t="shared" si="0"/>
        <v>1</v>
      </c>
      <c r="AR10">
        <f>IF($N$79="No",-20,1)</f>
        <v>1</v>
      </c>
      <c r="AS10">
        <f t="shared" si="1"/>
        <v>1</v>
      </c>
      <c r="AV10">
        <f t="shared" si="2"/>
        <v>1</v>
      </c>
      <c r="AW10" s="57">
        <f t="shared" si="7"/>
        <v>9</v>
      </c>
      <c r="AX10" s="57" t="str">
        <f t="shared" si="8"/>
        <v>Air/Raft w/Fusion+ (JTAS Vol. 15)</v>
      </c>
      <c r="AY10">
        <v>9</v>
      </c>
      <c r="AZ10" t="str">
        <f t="shared" si="3"/>
        <v/>
      </c>
      <c r="BA10" s="4">
        <f t="shared" si="4"/>
        <v>0</v>
      </c>
    </row>
    <row r="11" spans="1:53" ht="17" thickBot="1">
      <c r="A11" t="s">
        <v>428</v>
      </c>
      <c r="B11" s="254" t="s">
        <v>113</v>
      </c>
      <c r="C11" s="235">
        <v>10</v>
      </c>
      <c r="D11" s="2" t="str">
        <f>IF(H11&gt;0,C11*5 &amp;" Probes","0 Probes")</f>
        <v>50 Probes</v>
      </c>
      <c r="E11" s="2">
        <f>IF(B11="Installed",12,0)</f>
        <v>12</v>
      </c>
      <c r="F11" s="4">
        <f>H11*800000</f>
        <v>8000000</v>
      </c>
      <c r="H11" s="270">
        <f>IF(B11=S2,C11,0)</f>
        <v>10</v>
      </c>
      <c r="K11" s="2">
        <v>0</v>
      </c>
      <c r="S11" t="s">
        <v>447</v>
      </c>
      <c r="T11" s="25" t="s">
        <v>463</v>
      </c>
      <c r="V11">
        <v>50</v>
      </c>
      <c r="W11">
        <v>8000000</v>
      </c>
      <c r="X11">
        <f t="shared" si="5"/>
        <v>5</v>
      </c>
      <c r="Y11">
        <f t="shared" si="6"/>
        <v>10</v>
      </c>
      <c r="Z11" s="459">
        <v>9</v>
      </c>
      <c r="AA11" s="459" t="s">
        <v>2054</v>
      </c>
      <c r="AB11" s="460">
        <v>503000</v>
      </c>
      <c r="AC11" s="461">
        <v>8</v>
      </c>
      <c r="AD11">
        <f>IF($N$63="No",-20,1)</f>
        <v>1</v>
      </c>
      <c r="AE11">
        <f>IF($N$64="No",-20,1)</f>
        <v>1</v>
      </c>
      <c r="AQ11">
        <f>IF($N$78="No",-20,1)</f>
        <v>1</v>
      </c>
      <c r="AT11">
        <f>IF($P$63=0,1,IF(AC11&lt;=$P$63,1,-20))</f>
        <v>1</v>
      </c>
      <c r="AV11">
        <f t="shared" si="2"/>
        <v>1</v>
      </c>
      <c r="AW11" s="57">
        <f t="shared" si="7"/>
        <v>10</v>
      </c>
      <c r="AX11" s="57" t="str">
        <f t="shared" si="8"/>
        <v>Alikaia Aerospace Strike Fighter (DR:RT)</v>
      </c>
      <c r="AY11">
        <v>10</v>
      </c>
      <c r="AZ11" t="str">
        <f t="shared" si="3"/>
        <v/>
      </c>
      <c r="BA11" s="4">
        <f t="shared" si="4"/>
        <v>0</v>
      </c>
    </row>
    <row r="12" spans="1:53" ht="17" thickBot="1">
      <c r="A12" t="s">
        <v>429</v>
      </c>
      <c r="B12" s="254" t="s">
        <v>283</v>
      </c>
      <c r="C12" s="235">
        <v>2</v>
      </c>
      <c r="D12" s="2" t="str">
        <f>IF(H12&gt;0,C12*5 &amp;"D Tons/Day","0 Tons/Day")</f>
        <v>0 Tons/Day</v>
      </c>
      <c r="E12" s="2">
        <f>IF(B12="Installed",8,0)</f>
        <v>0</v>
      </c>
      <c r="F12" s="4">
        <f>H12*100000</f>
        <v>0</v>
      </c>
      <c r="H12" s="270">
        <f>IF(B12=S2,C12*10,0)</f>
        <v>0</v>
      </c>
      <c r="K12" s="2">
        <v>0</v>
      </c>
      <c r="X12">
        <f t="shared" si="5"/>
        <v>4</v>
      </c>
      <c r="Y12">
        <f t="shared" si="6"/>
        <v>11</v>
      </c>
      <c r="Z12" s="459">
        <v>9</v>
      </c>
      <c r="AA12" s="459" t="s">
        <v>2055</v>
      </c>
      <c r="AB12" s="460">
        <v>7980260000</v>
      </c>
      <c r="AC12" s="461">
        <v>3800</v>
      </c>
      <c r="AD12">
        <f>IF($N$65="No",-20,1)</f>
        <v>1</v>
      </c>
      <c r="AQ12">
        <f>IF($N$78="No",-20,1)</f>
        <v>1</v>
      </c>
      <c r="AU12">
        <f>IF($P$65=0,1,IF(AC12&lt;=$P$65,1,-20))</f>
        <v>1</v>
      </c>
      <c r="AV12">
        <f t="shared" si="2"/>
        <v>1</v>
      </c>
      <c r="AW12" s="57">
        <f t="shared" si="7"/>
        <v>11</v>
      </c>
      <c r="AX12" s="57" t="str">
        <f t="shared" si="8"/>
        <v>Alikaia Exploration Ship (DR:RT)</v>
      </c>
      <c r="AY12">
        <v>11</v>
      </c>
      <c r="AZ12" t="str">
        <f t="shared" si="3"/>
        <v/>
      </c>
      <c r="BA12" s="4">
        <f t="shared" si="4"/>
        <v>0</v>
      </c>
    </row>
    <row r="13" spans="1:53" ht="17" thickBot="1">
      <c r="A13" t="s">
        <v>430</v>
      </c>
      <c r="B13" s="254" t="s">
        <v>113</v>
      </c>
      <c r="C13" s="2"/>
      <c r="D13" s="2" t="s">
        <v>1562</v>
      </c>
      <c r="E13" s="2">
        <f>IF(B13="Installed",8,0)</f>
        <v>8</v>
      </c>
      <c r="F13" s="4">
        <f>H13*200000</f>
        <v>600000</v>
      </c>
      <c r="H13" s="270">
        <f>IF(B13=S2,0.01*I6,0)</f>
        <v>3</v>
      </c>
      <c r="K13" s="2">
        <v>0</v>
      </c>
      <c r="S13" t="s">
        <v>448</v>
      </c>
      <c r="X13">
        <f t="shared" si="5"/>
        <v>4</v>
      </c>
      <c r="Y13">
        <f t="shared" si="6"/>
        <v>12</v>
      </c>
      <c r="Z13" s="459">
        <v>9</v>
      </c>
      <c r="AA13" s="459" t="s">
        <v>2053</v>
      </c>
      <c r="AB13" s="460">
        <v>27000</v>
      </c>
      <c r="AC13" s="461">
        <v>4.5</v>
      </c>
      <c r="AD13">
        <f>IF($N$62="No",-20,1)</f>
        <v>1</v>
      </c>
      <c r="AQ13">
        <f>IF($N$78="No",-20,1)</f>
        <v>1</v>
      </c>
      <c r="AS13">
        <f>IF($P$62=0,1,IF(AC13&lt;=$P$62,1,-20))</f>
        <v>1</v>
      </c>
      <c r="AV13">
        <f t="shared" si="2"/>
        <v>1</v>
      </c>
      <c r="AW13" s="57">
        <f t="shared" si="7"/>
        <v>12</v>
      </c>
      <c r="AX13" s="57" t="str">
        <f t="shared" si="8"/>
        <v>Alikaia Light Combat Vehicle (DR:RT)</v>
      </c>
      <c r="AY13">
        <v>12</v>
      </c>
      <c r="AZ13" t="str">
        <f t="shared" si="3"/>
        <v/>
      </c>
      <c r="BA13" s="4">
        <f t="shared" si="4"/>
        <v>0</v>
      </c>
    </row>
    <row r="14" spans="1:53" ht="16">
      <c r="A14" s="22"/>
      <c r="B14" s="22"/>
      <c r="C14" s="22"/>
      <c r="D14" s="22"/>
      <c r="E14" s="27"/>
      <c r="F14" s="22"/>
      <c r="G14" s="22"/>
      <c r="H14" s="22"/>
      <c r="I14" s="22"/>
      <c r="J14" s="22"/>
      <c r="K14" s="22"/>
      <c r="L14" s="22"/>
      <c r="S14" t="s">
        <v>452</v>
      </c>
      <c r="T14">
        <v>0</v>
      </c>
      <c r="U14" t="s">
        <v>33</v>
      </c>
      <c r="X14">
        <f t="shared" si="5"/>
        <v>3</v>
      </c>
      <c r="Y14">
        <f t="shared" si="6"/>
        <v>13</v>
      </c>
      <c r="Z14" s="459">
        <v>12</v>
      </c>
      <c r="AA14" s="459" t="s">
        <v>2388</v>
      </c>
      <c r="AB14" s="460">
        <v>21580000</v>
      </c>
      <c r="AC14" s="461">
        <v>60</v>
      </c>
      <c r="AD14">
        <f>IF($N$63="No",-20,1)</f>
        <v>1</v>
      </c>
      <c r="AT14">
        <f>IF($P$63=0,1,IF(AC14&lt;=$P$63,1,-20))</f>
        <v>1</v>
      </c>
      <c r="AV14">
        <f t="shared" si="2"/>
        <v>1</v>
      </c>
      <c r="AW14" s="57">
        <f t="shared" si="7"/>
        <v>13</v>
      </c>
      <c r="AX14" s="57" t="str">
        <f t="shared" si="8"/>
        <v>AM-20 Mining Craft (Solomani Adventure 1)</v>
      </c>
      <c r="AY14">
        <v>13</v>
      </c>
      <c r="AZ14" t="str">
        <f t="shared" si="3"/>
        <v/>
      </c>
      <c r="BA14" s="4">
        <f t="shared" si="4"/>
        <v>0</v>
      </c>
    </row>
    <row r="15" spans="1:53" ht="16">
      <c r="A15" s="3" t="s">
        <v>436</v>
      </c>
      <c r="E15" s="2"/>
      <c r="S15" t="s">
        <v>453</v>
      </c>
      <c r="T15">
        <v>7</v>
      </c>
      <c r="U15" t="s">
        <v>455</v>
      </c>
      <c r="V15">
        <v>50000</v>
      </c>
      <c r="X15">
        <f t="shared" si="5"/>
        <v>4</v>
      </c>
      <c r="Y15">
        <f t="shared" si="6"/>
        <v>14</v>
      </c>
      <c r="Z15" s="459">
        <v>12</v>
      </c>
      <c r="AA15" s="459" t="s">
        <v>2224</v>
      </c>
      <c r="AB15" s="460">
        <v>1099075</v>
      </c>
      <c r="AC15" s="461">
        <v>20</v>
      </c>
      <c r="AD15">
        <f>IF($N$62="No",-20,1)</f>
        <v>1</v>
      </c>
      <c r="AR15">
        <f>IF($N$79="No",-20,1)</f>
        <v>1</v>
      </c>
      <c r="AS15">
        <f>IF($P$62=0,1,IF(AC15&lt;=$P$62,1,-20))</f>
        <v>1</v>
      </c>
      <c r="AV15">
        <f t="shared" si="2"/>
        <v>1</v>
      </c>
      <c r="AW15" s="57">
        <f t="shared" si="7"/>
        <v>14</v>
      </c>
      <c r="AX15" s="57" t="str">
        <f t="shared" si="8"/>
        <v>Aquatic ATV (JTAS Vol. 1)</v>
      </c>
      <c r="AY15">
        <v>14</v>
      </c>
      <c r="AZ15" t="str">
        <f t="shared" si="3"/>
        <v/>
      </c>
      <c r="BA15" s="4">
        <f t="shared" si="4"/>
        <v>0</v>
      </c>
    </row>
    <row r="16" spans="1:53" ht="17" thickBot="1">
      <c r="C16" s="1" t="s">
        <v>476</v>
      </c>
      <c r="D16" s="1" t="s">
        <v>171</v>
      </c>
      <c r="E16" s="3" t="s">
        <v>26</v>
      </c>
      <c r="H16" s="2"/>
      <c r="I16" s="2"/>
      <c r="J16" s="2"/>
      <c r="K16" s="2"/>
      <c r="L16" s="2"/>
      <c r="S16" t="s">
        <v>454</v>
      </c>
      <c r="T16">
        <v>9</v>
      </c>
      <c r="U16" t="s">
        <v>456</v>
      </c>
      <c r="V16">
        <v>75000</v>
      </c>
      <c r="X16">
        <f t="shared" si="5"/>
        <v>4</v>
      </c>
      <c r="Y16">
        <f t="shared" si="6"/>
        <v>15</v>
      </c>
      <c r="Z16" s="459">
        <v>15</v>
      </c>
      <c r="AA16" s="459" t="s">
        <v>2048</v>
      </c>
      <c r="AB16" s="460">
        <v>2800000</v>
      </c>
      <c r="AC16" s="461">
        <v>18</v>
      </c>
      <c r="AD16">
        <f>IF($N$62="No",-20,1)</f>
        <v>1</v>
      </c>
      <c r="AQ16">
        <f>IF($N$78="No",-20,1)</f>
        <v>1</v>
      </c>
      <c r="AS16">
        <f>IF($P$62=0,1,IF(AC16&lt;=$P$62,1,-20))</f>
        <v>1</v>
      </c>
      <c r="AV16">
        <f t="shared" si="2"/>
        <v>1</v>
      </c>
      <c r="AW16" s="57">
        <f t="shared" si="7"/>
        <v>15</v>
      </c>
      <c r="AX16" s="57" t="str">
        <f t="shared" si="8"/>
        <v>Ardent (DR:CG)</v>
      </c>
      <c r="AY16">
        <v>15</v>
      </c>
      <c r="AZ16" t="str">
        <f t="shared" si="3"/>
        <v/>
      </c>
      <c r="BA16" s="4">
        <f t="shared" si="4"/>
        <v>0</v>
      </c>
    </row>
    <row r="17" spans="1:53" ht="17" thickBot="1">
      <c r="A17" t="s">
        <v>437</v>
      </c>
      <c r="B17" s="254" t="s">
        <v>283</v>
      </c>
      <c r="C17" s="235">
        <v>0</v>
      </c>
      <c r="D17" s="2" t="str">
        <f>IF(B17=S2,"DM +1 to Boarding"," ")</f>
        <v xml:space="preserve"> </v>
      </c>
      <c r="E17" s="2"/>
      <c r="F17" s="26">
        <f>IF(H17&gt;0,3000000*C17,0)</f>
        <v>0</v>
      </c>
      <c r="G17" s="2"/>
      <c r="H17" s="270">
        <f>IF(B17=S2,3*C17,0)</f>
        <v>0</v>
      </c>
      <c r="I17" s="2"/>
      <c r="J17" s="2"/>
      <c r="K17" s="2"/>
      <c r="L17" s="2"/>
      <c r="S17" t="s">
        <v>449</v>
      </c>
      <c r="T17">
        <v>12</v>
      </c>
      <c r="U17" t="s">
        <v>457</v>
      </c>
      <c r="V17">
        <v>100000</v>
      </c>
      <c r="X17">
        <f t="shared" si="5"/>
        <v>3</v>
      </c>
      <c r="Y17">
        <f t="shared" si="6"/>
        <v>16</v>
      </c>
      <c r="Z17" s="459">
        <v>9</v>
      </c>
      <c r="AA17" s="459" t="s">
        <v>2109</v>
      </c>
      <c r="AB17" s="460">
        <v>25300</v>
      </c>
      <c r="AC17" s="461">
        <v>3.5</v>
      </c>
      <c r="AD17">
        <f>IF($N$62="No",-20,1)</f>
        <v>1</v>
      </c>
      <c r="AS17">
        <f>IF($P$62=0,1,IF(AC17&lt;=$P$62,1,-20))</f>
        <v>1</v>
      </c>
      <c r="AV17">
        <f t="shared" si="2"/>
        <v>1</v>
      </c>
      <c r="AW17" s="57">
        <f t="shared" si="7"/>
        <v>16</v>
      </c>
      <c r="AX17" s="57" t="str">
        <f t="shared" si="8"/>
        <v>Armored Car (DC)</v>
      </c>
      <c r="AY17">
        <v>16</v>
      </c>
      <c r="AZ17" t="str">
        <f t="shared" si="3"/>
        <v/>
      </c>
      <c r="BA17" s="4">
        <f t="shared" si="4"/>
        <v>0</v>
      </c>
    </row>
    <row r="18" spans="1:53" ht="16" thickBot="1">
      <c r="A18" t="s">
        <v>439</v>
      </c>
      <c r="B18" s="254" t="s">
        <v>452</v>
      </c>
      <c r="C18" s="235">
        <v>0</v>
      </c>
      <c r="D18" s="2" t="str">
        <f>VLOOKUP(B18,S14:U18,3)</f>
        <v xml:space="preserve"> </v>
      </c>
      <c r="E18" s="2">
        <f>VLOOKUP(B18,S14:T18,2)</f>
        <v>0</v>
      </c>
      <c r="F18" s="26">
        <f>IF(H18&gt;0,VLOOKUP(B18,S14:V18,4)*C18,0)</f>
        <v>0</v>
      </c>
      <c r="G18" s="2"/>
      <c r="H18" s="270">
        <f>IF(B18=S14,0,2*C18)</f>
        <v>0</v>
      </c>
      <c r="I18" s="2"/>
      <c r="J18" s="2"/>
      <c r="K18" s="2"/>
      <c r="L18" s="2"/>
      <c r="S18" t="s">
        <v>450</v>
      </c>
      <c r="T18">
        <v>15</v>
      </c>
      <c r="U18" t="s">
        <v>458</v>
      </c>
      <c r="V18">
        <v>500000</v>
      </c>
      <c r="X18">
        <f t="shared" si="5"/>
        <v>4</v>
      </c>
      <c r="Y18">
        <f t="shared" si="6"/>
        <v>17</v>
      </c>
      <c r="Z18">
        <v>12</v>
      </c>
      <c r="AA18" t="s">
        <v>1770</v>
      </c>
      <c r="AB18" s="4">
        <v>198000</v>
      </c>
      <c r="AC18">
        <v>10</v>
      </c>
      <c r="AD18">
        <f>IF($N$62="No",-20,1)</f>
        <v>1</v>
      </c>
      <c r="AH18">
        <f>IF($N$69="No",-20,1)</f>
        <v>1</v>
      </c>
      <c r="AS18">
        <f>IF($P$62=0,1,IF(AC18&lt;=$P$62,1,-20))</f>
        <v>1</v>
      </c>
      <c r="AV18">
        <f t="shared" si="2"/>
        <v>1</v>
      </c>
      <c r="AW18" s="57">
        <f t="shared" si="7"/>
        <v>17</v>
      </c>
      <c r="AX18" s="57" t="str">
        <f t="shared" si="8"/>
        <v>Armored Fighting Vehicle</v>
      </c>
      <c r="AY18">
        <v>17</v>
      </c>
      <c r="AZ18" t="str">
        <f t="shared" si="3"/>
        <v/>
      </c>
      <c r="BA18" s="4">
        <f t="shared" si="4"/>
        <v>0</v>
      </c>
    </row>
    <row r="19" spans="1:53" ht="16" thickBot="1">
      <c r="B19" s="7" t="s">
        <v>451</v>
      </c>
      <c r="C19" s="198" t="s">
        <v>99</v>
      </c>
      <c r="D19" s="2"/>
      <c r="E19" s="2"/>
      <c r="F19" s="26"/>
      <c r="G19" s="2"/>
      <c r="H19" s="2"/>
      <c r="I19" s="2"/>
      <c r="J19" s="2"/>
      <c r="K19" s="2"/>
      <c r="L19" s="2"/>
      <c r="X19">
        <f t="shared" si="5"/>
        <v>4</v>
      </c>
      <c r="Y19">
        <f t="shared" si="6"/>
        <v>18</v>
      </c>
      <c r="Z19">
        <v>12</v>
      </c>
      <c r="AA19" t="s">
        <v>1983</v>
      </c>
      <c r="AB19" s="4">
        <v>652225</v>
      </c>
      <c r="AC19" s="453">
        <v>8</v>
      </c>
      <c r="AD19">
        <f>IF($N$62="No",-20,1)</f>
        <v>1</v>
      </c>
      <c r="AO19">
        <f>IF($N$76="No",-20,1)</f>
        <v>1</v>
      </c>
      <c r="AS19">
        <f>IF($P$62=0,1,IF(AC19&lt;=$P$62,1,-20))</f>
        <v>1</v>
      </c>
      <c r="AV19">
        <f t="shared" si="2"/>
        <v>1</v>
      </c>
      <c r="AW19" s="57">
        <f t="shared" si="7"/>
        <v>18</v>
      </c>
      <c r="AX19" s="57" t="str">
        <f t="shared" si="8"/>
        <v xml:space="preserve">Armored G/Car </v>
      </c>
      <c r="AY19">
        <v>18</v>
      </c>
      <c r="AZ19" t="str">
        <f t="shared" si="3"/>
        <v/>
      </c>
      <c r="BA19" s="4">
        <f t="shared" si="4"/>
        <v>0</v>
      </c>
    </row>
    <row r="20" spans="1:53" ht="16" thickBot="1">
      <c r="A20" t="s">
        <v>440</v>
      </c>
      <c r="B20" s="254" t="s">
        <v>283</v>
      </c>
      <c r="C20" s="235">
        <v>0</v>
      </c>
      <c r="D20" s="2" t="str">
        <f>IF(B20=S2,"Move "&amp;2*C20&amp;" tons"," ")</f>
        <v xml:space="preserve"> </v>
      </c>
      <c r="E20" s="2"/>
      <c r="F20" s="26">
        <f>IF(H20&gt;0,1000000*C20,0)</f>
        <v>0</v>
      </c>
      <c r="G20" s="2"/>
      <c r="H20" s="270">
        <f>IF(B20=S2,C20*2,0)</f>
        <v>0</v>
      </c>
      <c r="I20" s="2"/>
      <c r="J20" s="2"/>
      <c r="K20" s="2"/>
      <c r="L20" s="2"/>
      <c r="S20" t="s">
        <v>375</v>
      </c>
      <c r="U20">
        <v>0</v>
      </c>
      <c r="X20">
        <f t="shared" si="5"/>
        <v>4</v>
      </c>
      <c r="Y20">
        <f t="shared" si="6"/>
        <v>19</v>
      </c>
      <c r="Z20">
        <v>12</v>
      </c>
      <c r="AA20" t="s">
        <v>1991</v>
      </c>
      <c r="AB20" s="4">
        <v>18880000</v>
      </c>
      <c r="AC20" s="453">
        <v>80</v>
      </c>
      <c r="AD20">
        <f>IF($N$63="No",-20,1)</f>
        <v>1</v>
      </c>
      <c r="AG20">
        <f>IF($N$68="No",-20,1)</f>
        <v>1</v>
      </c>
      <c r="AT20">
        <f>IF($P$63=0,1,IF(AC20&lt;=$P$63,1,-20))</f>
        <v>1</v>
      </c>
      <c r="AV20">
        <f t="shared" si="2"/>
        <v>1</v>
      </c>
      <c r="AW20" s="57">
        <f t="shared" si="7"/>
        <v>19</v>
      </c>
      <c r="AX20" s="57" t="str">
        <f t="shared" si="8"/>
        <v>Aslan Akhoilaw Shrine Ship</v>
      </c>
      <c r="AY20">
        <v>19</v>
      </c>
      <c r="AZ20" t="str">
        <f t="shared" si="3"/>
        <v/>
      </c>
      <c r="BA20" s="4">
        <f t="shared" si="4"/>
        <v>0</v>
      </c>
    </row>
    <row r="21" spans="1:53" ht="16" thickBot="1">
      <c r="A21" t="s">
        <v>441</v>
      </c>
      <c r="B21" s="254" t="s">
        <v>283</v>
      </c>
      <c r="C21" s="235">
        <v>0</v>
      </c>
      <c r="D21" s="2" t="str">
        <f>IF(B21=S2,"Move "&amp;10*C21&amp;" tons"," ")</f>
        <v xml:space="preserve"> </v>
      </c>
      <c r="E21" s="2"/>
      <c r="F21" s="26">
        <f>IF(H21&gt;0,3000000*C21,0)</f>
        <v>0</v>
      </c>
      <c r="G21" s="2"/>
      <c r="H21" s="270">
        <f>IF(B21=S2,C21*6,0)</f>
        <v>0</v>
      </c>
      <c r="I21" s="2"/>
      <c r="J21" s="2"/>
      <c r="K21" s="2"/>
      <c r="L21" s="2"/>
      <c r="S21" t="s">
        <v>113</v>
      </c>
      <c r="U21">
        <v>0</v>
      </c>
      <c r="X21">
        <f t="shared" si="5"/>
        <v>4</v>
      </c>
      <c r="Y21">
        <f t="shared" si="6"/>
        <v>20</v>
      </c>
      <c r="Z21">
        <v>14</v>
      </c>
      <c r="AA21" t="s">
        <v>1882</v>
      </c>
      <c r="AB21" s="4">
        <v>31800000</v>
      </c>
      <c r="AC21" s="453">
        <v>30</v>
      </c>
      <c r="AD21">
        <f>IF($N$62="No",-20,1)</f>
        <v>1</v>
      </c>
      <c r="AJ21">
        <f>IF($N$71="No",-20,1)</f>
        <v>1</v>
      </c>
      <c r="AS21">
        <f>IF($P$62=0,1,IF(AC21&lt;=$P$62,1,-20))</f>
        <v>1</v>
      </c>
      <c r="AV21">
        <f t="shared" si="2"/>
        <v>1</v>
      </c>
      <c r="AW21" s="57">
        <f t="shared" si="7"/>
        <v>20</v>
      </c>
      <c r="AX21" s="57" t="str">
        <f t="shared" si="8"/>
        <v xml:space="preserve">Aslan Assault Grav Tank </v>
      </c>
      <c r="AY21">
        <v>20</v>
      </c>
      <c r="AZ21" t="str">
        <f t="shared" si="3"/>
        <v/>
      </c>
      <c r="BA21" s="4">
        <f t="shared" si="4"/>
        <v>0</v>
      </c>
    </row>
    <row r="22" spans="1:53" ht="16" thickBot="1">
      <c r="A22" t="s">
        <v>442</v>
      </c>
      <c r="B22" s="254" t="s">
        <v>283</v>
      </c>
      <c r="C22" s="458">
        <f>IF(B22=S2,1,0)</f>
        <v>0</v>
      </c>
      <c r="D22" s="2"/>
      <c r="E22" s="2"/>
      <c r="F22" s="26">
        <f>H22*5000</f>
        <v>0</v>
      </c>
      <c r="G22" s="2"/>
      <c r="H22" s="270">
        <f>IF(B22=S2,0.01*I6,0)</f>
        <v>0</v>
      </c>
      <c r="I22" s="2"/>
      <c r="J22" s="2"/>
      <c r="K22" s="2"/>
      <c r="L22" s="2"/>
      <c r="M22" s="3" t="s">
        <v>1864</v>
      </c>
      <c r="S22" t="s">
        <v>466</v>
      </c>
      <c r="T22">
        <v>6</v>
      </c>
      <c r="U22">
        <v>100000</v>
      </c>
      <c r="X22">
        <f t="shared" si="5"/>
        <v>4</v>
      </c>
      <c r="Y22">
        <f t="shared" si="6"/>
        <v>21</v>
      </c>
      <c r="Z22">
        <v>7</v>
      </c>
      <c r="AA22" t="s">
        <v>1880</v>
      </c>
      <c r="AB22" s="4">
        <v>7800</v>
      </c>
      <c r="AC22" s="453">
        <v>1</v>
      </c>
      <c r="AD22">
        <f>IF($N$62="No",-20,1)</f>
        <v>1</v>
      </c>
      <c r="AJ22">
        <f>IF($N$71="No",-20,1)</f>
        <v>1</v>
      </c>
      <c r="AS22">
        <f>IF($P$62=0,1,IF(AC22&lt;=$P$62,1,-20))</f>
        <v>1</v>
      </c>
      <c r="AV22">
        <f t="shared" si="2"/>
        <v>1</v>
      </c>
      <c r="AW22" s="57">
        <f t="shared" si="7"/>
        <v>21</v>
      </c>
      <c r="AX22" s="57" t="str">
        <f t="shared" si="8"/>
        <v>Aslan Clawbike</v>
      </c>
      <c r="AY22">
        <v>21</v>
      </c>
      <c r="AZ22" t="str">
        <f t="shared" si="3"/>
        <v/>
      </c>
      <c r="BA22" s="4">
        <f t="shared" si="4"/>
        <v>0</v>
      </c>
    </row>
    <row r="23" spans="1:53" ht="16" thickBot="1">
      <c r="A23" t="s">
        <v>475</v>
      </c>
      <c r="B23" s="254" t="s">
        <v>283</v>
      </c>
      <c r="C23" s="235">
        <v>0</v>
      </c>
      <c r="D23" s="16" t="str">
        <f>IF(H23&gt;0,"Xfer "&amp;20*H23&amp;" tons/hour"," ")</f>
        <v xml:space="preserve"> </v>
      </c>
      <c r="F23" s="4">
        <f>500000*H23</f>
        <v>0</v>
      </c>
      <c r="H23" s="270">
        <f>IF(B23="Installed",C23,0)</f>
        <v>0</v>
      </c>
      <c r="I23" s="2"/>
      <c r="J23" s="2"/>
      <c r="K23" s="2">
        <f>H23</f>
        <v>0</v>
      </c>
      <c r="L23" s="2"/>
      <c r="M23" s="3" t="s">
        <v>1865</v>
      </c>
      <c r="S23" t="s">
        <v>467</v>
      </c>
      <c r="T23">
        <v>8</v>
      </c>
      <c r="U23">
        <v>300000</v>
      </c>
      <c r="X23">
        <f t="shared" si="5"/>
        <v>4</v>
      </c>
      <c r="Y23">
        <f t="shared" si="6"/>
        <v>22</v>
      </c>
      <c r="Z23">
        <v>10</v>
      </c>
      <c r="AA23" t="s">
        <v>1881</v>
      </c>
      <c r="AB23" s="4">
        <v>285000</v>
      </c>
      <c r="AC23" s="453">
        <v>15</v>
      </c>
      <c r="AD23">
        <f>IF($N$62="No",-20,1)</f>
        <v>1</v>
      </c>
      <c r="AJ23">
        <f>IF($N$71="No",-20,1)</f>
        <v>1</v>
      </c>
      <c r="AS23">
        <f>IF($P$62=0,1,IF(AC23&lt;=$P$62,1,-20))</f>
        <v>1</v>
      </c>
      <c r="AV23">
        <f t="shared" si="2"/>
        <v>1</v>
      </c>
      <c r="AW23" s="57">
        <f t="shared" si="7"/>
        <v>22</v>
      </c>
      <c r="AX23" s="57" t="str">
        <f t="shared" si="8"/>
        <v>Aslan Crawler</v>
      </c>
      <c r="AY23">
        <v>22</v>
      </c>
      <c r="AZ23" t="str">
        <f t="shared" si="3"/>
        <v/>
      </c>
      <c r="BA23" s="4">
        <f t="shared" si="4"/>
        <v>0</v>
      </c>
    </row>
    <row r="24" spans="1:53" ht="16" thickBot="1">
      <c r="A24" t="s">
        <v>1597</v>
      </c>
      <c r="B24" s="198" t="s">
        <v>1103</v>
      </c>
      <c r="C24" s="235">
        <v>0</v>
      </c>
      <c r="D24" s="2" t="str">
        <f>IF(AND(B24="GP Mass Driver Added Capacity",C24&gt;0),50*U66+(0.5*C24)&amp;" ton cap","")</f>
        <v/>
      </c>
      <c r="F24" s="4">
        <f>75000*H24</f>
        <v>0</v>
      </c>
      <c r="H24" s="270">
        <f>IF(B24="",0,C24)</f>
        <v>0</v>
      </c>
      <c r="I24" s="2"/>
      <c r="J24" s="2"/>
      <c r="K24" s="2">
        <f>H24*3</f>
        <v>0</v>
      </c>
      <c r="L24" s="2"/>
      <c r="S24" t="s">
        <v>468</v>
      </c>
      <c r="T24">
        <v>10</v>
      </c>
      <c r="U24">
        <v>500000</v>
      </c>
      <c r="X24">
        <f t="shared" si="5"/>
        <v>5</v>
      </c>
      <c r="Y24">
        <f t="shared" si="6"/>
        <v>23</v>
      </c>
      <c r="Z24">
        <v>13</v>
      </c>
      <c r="AA24" t="s">
        <v>1992</v>
      </c>
      <c r="AB24" s="4">
        <v>31305000</v>
      </c>
      <c r="AC24" s="453">
        <v>90</v>
      </c>
      <c r="AD24">
        <f>IF($N$63="No",-20,1)</f>
        <v>1</v>
      </c>
      <c r="AE24">
        <f>IF($N$64="No",-20,1)</f>
        <v>1</v>
      </c>
      <c r="AG24">
        <f>IF($N$68="No",-20,1)</f>
        <v>1</v>
      </c>
      <c r="AT24">
        <f>IF($P$63=0,1,IF(AC24&lt;=$P$63,1,-20))</f>
        <v>1</v>
      </c>
      <c r="AV24">
        <f t="shared" si="2"/>
        <v>1</v>
      </c>
      <c r="AW24" s="57">
        <f t="shared" si="7"/>
        <v>23</v>
      </c>
      <c r="AX24" s="57" t="str">
        <f t="shared" si="8"/>
        <v>Aslan Faiyh Assault Craft</v>
      </c>
      <c r="AY24">
        <v>23</v>
      </c>
      <c r="AZ24" t="str">
        <f t="shared" si="3"/>
        <v/>
      </c>
      <c r="BA24" s="4">
        <f t="shared" si="4"/>
        <v>0</v>
      </c>
    </row>
    <row r="25" spans="1:53" ht="16" thickBot="1">
      <c r="A25" s="22"/>
      <c r="B25" s="22"/>
      <c r="C25" s="22"/>
      <c r="D25" s="22"/>
      <c r="E25" s="22"/>
      <c r="F25" s="22"/>
      <c r="G25" s="22"/>
      <c r="H25" s="22"/>
      <c r="I25" s="22"/>
      <c r="J25" s="22"/>
      <c r="K25" s="22"/>
      <c r="L25" s="22"/>
      <c r="M25" s="3" t="s">
        <v>1716</v>
      </c>
      <c r="S25" t="s">
        <v>469</v>
      </c>
      <c r="T25">
        <v>12</v>
      </c>
      <c r="U25">
        <v>1000000</v>
      </c>
      <c r="X25">
        <f t="shared" si="5"/>
        <v>4</v>
      </c>
      <c r="Y25">
        <f t="shared" si="6"/>
        <v>24</v>
      </c>
      <c r="Z25">
        <v>12</v>
      </c>
      <c r="AA25" t="s">
        <v>1883</v>
      </c>
      <c r="AB25" s="4">
        <v>47400000</v>
      </c>
      <c r="AC25" s="453">
        <v>125</v>
      </c>
      <c r="AD25">
        <f>IF($N$62="No",-20,1)</f>
        <v>1</v>
      </c>
      <c r="AJ25">
        <f>IF($N$71="No",-20,1)</f>
        <v>1</v>
      </c>
      <c r="AS25">
        <f>IF($P$62=0,1,IF(AC25&lt;=$P$62,1,-20))</f>
        <v>1</v>
      </c>
      <c r="AV25">
        <f t="shared" si="2"/>
        <v>1</v>
      </c>
      <c r="AW25" s="57">
        <f t="shared" si="7"/>
        <v>24</v>
      </c>
      <c r="AX25" s="57" t="str">
        <f t="shared" si="8"/>
        <v xml:space="preserve">Aslan Grav Barge </v>
      </c>
      <c r="AY25">
        <v>24</v>
      </c>
      <c r="AZ25" t="str">
        <f t="shared" si="3"/>
        <v/>
      </c>
      <c r="BA25" s="4">
        <f t="shared" si="4"/>
        <v>0</v>
      </c>
    </row>
    <row r="26" spans="1:53" ht="16" thickBot="1">
      <c r="A26" s="3" t="s">
        <v>474</v>
      </c>
      <c r="F26" s="4"/>
      <c r="H26" s="2"/>
      <c r="M26" s="421" t="s">
        <v>1717</v>
      </c>
      <c r="N26" s="422" t="s">
        <v>1719</v>
      </c>
      <c r="O26" s="423" t="s">
        <v>117</v>
      </c>
      <c r="P26" s="423" t="s">
        <v>1059</v>
      </c>
      <c r="Q26" s="424" t="s">
        <v>1</v>
      </c>
      <c r="X26">
        <f t="shared" si="5"/>
        <v>5</v>
      </c>
      <c r="Y26">
        <f t="shared" si="6"/>
        <v>25</v>
      </c>
      <c r="Z26">
        <v>13</v>
      </c>
      <c r="AA26" t="s">
        <v>1989</v>
      </c>
      <c r="AB26" s="4">
        <v>11130000</v>
      </c>
      <c r="AC26" s="453">
        <v>10</v>
      </c>
      <c r="AD26">
        <f>IF($N$63="No",-20,1)</f>
        <v>1</v>
      </c>
      <c r="AE26">
        <f>IF($N$64="No",-20,1)</f>
        <v>1</v>
      </c>
      <c r="AG26">
        <f>IF($N$68="No",-20,1)</f>
        <v>1</v>
      </c>
      <c r="AT26">
        <f>IF($P$63=0,1,IF(AC26&lt;=$P$63,1,-20))</f>
        <v>1</v>
      </c>
      <c r="AV26">
        <f t="shared" si="2"/>
        <v>1</v>
      </c>
      <c r="AW26" s="57">
        <f t="shared" si="7"/>
        <v>25</v>
      </c>
      <c r="AX26" s="57" t="str">
        <f t="shared" si="8"/>
        <v>Aslan Hkhuilrakh Light fighter</v>
      </c>
      <c r="AY26">
        <v>25</v>
      </c>
      <c r="AZ26" t="str">
        <f t="shared" si="3"/>
        <v/>
      </c>
      <c r="BA26" s="4">
        <f t="shared" si="4"/>
        <v>0</v>
      </c>
    </row>
    <row r="27" spans="1:53" ht="16" thickBot="1">
      <c r="C27" s="1" t="s">
        <v>308</v>
      </c>
      <c r="D27" s="1" t="s">
        <v>80</v>
      </c>
      <c r="F27" s="4"/>
      <c r="H27" s="2"/>
      <c r="I27" s="878" t="s">
        <v>2428</v>
      </c>
      <c r="J27" s="878"/>
      <c r="L27" s="450"/>
      <c r="M27" s="439" t="s">
        <v>2003</v>
      </c>
      <c r="N27" s="455">
        <f>INDEX($AA$2:$AC$482,MATCH(M27,$AA$2:$AA$482,0),2)</f>
        <v>37070000</v>
      </c>
      <c r="O27" s="456">
        <f>INDEX($AA$2:$AC$482,MATCH(M27,$AA$2:$AA$482,0),3)</f>
        <v>60</v>
      </c>
      <c r="P27" s="410">
        <v>1</v>
      </c>
      <c r="Q27" s="445">
        <f>P27*N27</f>
        <v>37070000</v>
      </c>
      <c r="X27">
        <f t="shared" si="5"/>
        <v>4</v>
      </c>
      <c r="Y27">
        <f t="shared" si="6"/>
        <v>26</v>
      </c>
      <c r="Z27">
        <v>13</v>
      </c>
      <c r="AA27" t="s">
        <v>1884</v>
      </c>
      <c r="AB27" s="4">
        <v>39045000</v>
      </c>
      <c r="AC27" s="453">
        <v>100</v>
      </c>
      <c r="AD27">
        <f>IF($N$65="No",-20,1)</f>
        <v>1</v>
      </c>
      <c r="AJ27">
        <f>IF($N$71="No",-20,1)</f>
        <v>1</v>
      </c>
      <c r="AU27">
        <f>IF($P$65=0,1,IF(AC27&lt;=$P$65,1,-20))</f>
        <v>1</v>
      </c>
      <c r="AV27">
        <f t="shared" si="2"/>
        <v>1</v>
      </c>
      <c r="AW27" s="57">
        <f t="shared" si="7"/>
        <v>26</v>
      </c>
      <c r="AX27" s="57" t="str">
        <f t="shared" si="8"/>
        <v xml:space="preserve">Aslan Hraye-Class Scout </v>
      </c>
      <c r="AY27">
        <v>26</v>
      </c>
      <c r="AZ27" t="str">
        <f t="shared" si="3"/>
        <v/>
      </c>
      <c r="BA27" s="4">
        <f t="shared" si="4"/>
        <v>0</v>
      </c>
    </row>
    <row r="28" spans="1:53" ht="17" thickBot="1">
      <c r="A28" t="s">
        <v>1005</v>
      </c>
      <c r="B28" s="254" t="s">
        <v>113</v>
      </c>
      <c r="C28" s="235">
        <v>3</v>
      </c>
      <c r="D28" s="270">
        <v>2</v>
      </c>
      <c r="E28">
        <f>VLOOKUP(B28,S20:T25,2)</f>
        <v>0</v>
      </c>
      <c r="F28" s="4">
        <f>VLOOKUP(B28,S20:U25,3)*C28</f>
        <v>0</v>
      </c>
      <c r="H28" s="270">
        <v>0</v>
      </c>
      <c r="I28" s="844"/>
      <c r="J28" s="845"/>
      <c r="L28" s="451" t="s">
        <v>635</v>
      </c>
      <c r="M28" s="440" t="s">
        <v>2004</v>
      </c>
      <c r="N28" s="455">
        <f t="shared" ref="N28:N36" si="9">INDEX($AA$2:$AC$482,MATCH(M28,$AA$2:$AA$482,0),2)</f>
        <v>65550000</v>
      </c>
      <c r="O28" s="456">
        <f t="shared" ref="O28:O36" si="10">INDEX($AA$2:$AC$482,MATCH(M28,$AA$2:$AA$482,0),3)</f>
        <v>60</v>
      </c>
      <c r="P28" s="441">
        <v>1</v>
      </c>
      <c r="Q28" s="442">
        <f t="shared" ref="Q28:Q45" si="11">P28*N28</f>
        <v>65550000</v>
      </c>
      <c r="S28" t="s">
        <v>399</v>
      </c>
      <c r="U28" t="s">
        <v>794</v>
      </c>
      <c r="V28">
        <f>SUM(V29:V32)</f>
        <v>0</v>
      </c>
      <c r="X28">
        <f t="shared" si="5"/>
        <v>3</v>
      </c>
      <c r="Y28">
        <f t="shared" si="6"/>
        <v>27</v>
      </c>
      <c r="Z28" s="459">
        <v>13</v>
      </c>
      <c r="AA28" s="459" t="s">
        <v>2218</v>
      </c>
      <c r="AB28" s="460">
        <v>39045000</v>
      </c>
      <c r="AC28" s="461">
        <v>100</v>
      </c>
      <c r="AD28">
        <f>IF($N$65="No",-20,1)</f>
        <v>1</v>
      </c>
      <c r="AU28">
        <f>IF($P$65=0,1,IF(AC28&lt;=$P$65,1,-20))</f>
        <v>1</v>
      </c>
      <c r="AV28">
        <f t="shared" si="2"/>
        <v>1</v>
      </c>
      <c r="AW28" s="57">
        <f t="shared" si="7"/>
        <v>27</v>
      </c>
      <c r="AX28" s="57" t="str">
        <f t="shared" si="8"/>
        <v>Aslan Hraye-Class Scout (High Guard: Aslan)</v>
      </c>
      <c r="AY28">
        <v>27</v>
      </c>
      <c r="AZ28" t="str">
        <f t="shared" si="3"/>
        <v/>
      </c>
      <c r="BA28" s="4">
        <f t="shared" si="4"/>
        <v>0</v>
      </c>
    </row>
    <row r="29" spans="1:53" ht="16" thickBot="1">
      <c r="A29" t="s">
        <v>465</v>
      </c>
      <c r="B29" s="254" t="s">
        <v>375</v>
      </c>
      <c r="C29" s="235">
        <v>0</v>
      </c>
      <c r="D29" s="235">
        <v>0</v>
      </c>
      <c r="E29">
        <f>VLOOKUP(B29,S20:T25,2)</f>
        <v>0</v>
      </c>
      <c r="F29" s="4">
        <f>H29*100000+(VLOOKUP(B29,S20:U25,3)*C29)</f>
        <v>0</v>
      </c>
      <c r="H29" s="270">
        <f>IF(B29=S20,0,D29*C29)</f>
        <v>0</v>
      </c>
      <c r="I29" s="844"/>
      <c r="J29" s="845"/>
      <c r="L29" s="451" t="s">
        <v>1856</v>
      </c>
      <c r="M29" s="439" t="s">
        <v>2005</v>
      </c>
      <c r="N29" s="455">
        <f t="shared" si="9"/>
        <v>48995000</v>
      </c>
      <c r="O29" s="456">
        <f t="shared" si="10"/>
        <v>80</v>
      </c>
      <c r="P29" s="410">
        <v>1</v>
      </c>
      <c r="Q29" s="445">
        <f t="shared" si="11"/>
        <v>48995000</v>
      </c>
      <c r="S29">
        <f>SUM(H10:H64)</f>
        <v>28</v>
      </c>
      <c r="U29" t="s">
        <v>914</v>
      </c>
      <c r="V29">
        <f>IF(MAX(E10:E13,E18,E28:E33)&gt;E2,1,0)</f>
        <v>0</v>
      </c>
      <c r="X29">
        <f t="shared" si="5"/>
        <v>4</v>
      </c>
      <c r="Y29">
        <f t="shared" si="6"/>
        <v>28</v>
      </c>
      <c r="Z29">
        <v>13</v>
      </c>
      <c r="AA29" t="s">
        <v>1868</v>
      </c>
      <c r="AB29" s="4">
        <v>58510000</v>
      </c>
      <c r="AC29" s="453">
        <v>100</v>
      </c>
      <c r="AD29">
        <f>IF($N$65="No",-20,1)</f>
        <v>1</v>
      </c>
      <c r="AJ29">
        <f>IF($N$71="No",-20,1)</f>
        <v>1</v>
      </c>
      <c r="AU29">
        <f>IF($P$65=0,1,IF(AC29&lt;=$P$65,1,-20))</f>
        <v>1</v>
      </c>
      <c r="AV29">
        <f t="shared" si="2"/>
        <v>1</v>
      </c>
      <c r="AW29" s="57">
        <f t="shared" si="7"/>
        <v>28</v>
      </c>
      <c r="AX29" s="57" t="str">
        <f t="shared" si="8"/>
        <v>Aslan Ihateisho-Class Scout</v>
      </c>
      <c r="AY29">
        <v>28</v>
      </c>
      <c r="AZ29" t="str">
        <f t="shared" si="3"/>
        <v/>
      </c>
      <c r="BA29" s="4">
        <f t="shared" si="4"/>
        <v>0</v>
      </c>
    </row>
    <row r="30" spans="1:53" ht="17" thickBot="1">
      <c r="A30" t="s">
        <v>465</v>
      </c>
      <c r="B30" s="254" t="s">
        <v>375</v>
      </c>
      <c r="C30" s="235">
        <v>0</v>
      </c>
      <c r="D30" s="235">
        <v>0</v>
      </c>
      <c r="E30">
        <f>VLOOKUP(B30,S20:T25,2)</f>
        <v>0</v>
      </c>
      <c r="F30" s="4">
        <f>H30*100000+(VLOOKUP(B30,S20:U25,3)*C30)</f>
        <v>0</v>
      </c>
      <c r="H30" s="270">
        <f>IF(B30=S20,0,D30*C30)</f>
        <v>0</v>
      </c>
      <c r="I30" s="844"/>
      <c r="J30" s="845"/>
      <c r="L30" s="451" t="s">
        <v>1857</v>
      </c>
      <c r="M30" s="440" t="s">
        <v>1103</v>
      </c>
      <c r="N30" s="455">
        <f t="shared" si="9"/>
        <v>0</v>
      </c>
      <c r="O30" s="456">
        <f t="shared" si="10"/>
        <v>0</v>
      </c>
      <c r="P30" s="441">
        <v>0</v>
      </c>
      <c r="Q30" s="442">
        <f t="shared" si="11"/>
        <v>0</v>
      </c>
      <c r="U30" t="s">
        <v>1006</v>
      </c>
      <c r="V30">
        <f>IF(AND(C28&gt;0,'1-Hull'!B4&lt;100),1,0)</f>
        <v>0</v>
      </c>
      <c r="X30">
        <f t="shared" si="5"/>
        <v>3</v>
      </c>
      <c r="Y30">
        <f t="shared" si="6"/>
        <v>29</v>
      </c>
      <c r="Z30" s="459">
        <v>13</v>
      </c>
      <c r="AA30" s="459" t="s">
        <v>2219</v>
      </c>
      <c r="AB30" s="460">
        <v>58500000</v>
      </c>
      <c r="AC30" s="461">
        <v>100</v>
      </c>
      <c r="AD30">
        <f>IF($N$65="No",-20,1)</f>
        <v>1</v>
      </c>
      <c r="AU30">
        <f>IF($P$65=0,1,IF(AC30&lt;=$P$65,1,-20))</f>
        <v>1</v>
      </c>
      <c r="AV30">
        <f t="shared" si="2"/>
        <v>1</v>
      </c>
      <c r="AW30" s="57">
        <f t="shared" si="7"/>
        <v>29</v>
      </c>
      <c r="AX30" s="57" t="str">
        <f t="shared" si="8"/>
        <v>Aslan Ihateisho-Class Scout (High Guard: Aslan)</v>
      </c>
      <c r="AY30">
        <v>29</v>
      </c>
      <c r="AZ30" t="str">
        <f t="shared" si="3"/>
        <v/>
      </c>
      <c r="BA30" s="4">
        <f t="shared" si="4"/>
        <v>0</v>
      </c>
    </row>
    <row r="31" spans="1:53" ht="16" thickBot="1">
      <c r="A31" t="s">
        <v>465</v>
      </c>
      <c r="B31" s="254" t="s">
        <v>375</v>
      </c>
      <c r="C31" s="235">
        <v>0</v>
      </c>
      <c r="D31" s="235">
        <v>0</v>
      </c>
      <c r="E31">
        <f>VLOOKUP(B31,S20:T25,2)</f>
        <v>0</v>
      </c>
      <c r="F31" s="4">
        <f>H31*100000+(VLOOKUP(B31,S20:U25,3)*C31)</f>
        <v>0</v>
      </c>
      <c r="H31" s="270">
        <f>IF(B31=S20,0,D31*C31)</f>
        <v>0</v>
      </c>
      <c r="I31" s="844"/>
      <c r="J31" s="845"/>
      <c r="L31" s="451" t="s">
        <v>1858</v>
      </c>
      <c r="M31" s="439" t="s">
        <v>1103</v>
      </c>
      <c r="N31" s="455">
        <f t="shared" si="9"/>
        <v>0</v>
      </c>
      <c r="O31" s="456">
        <f t="shared" si="10"/>
        <v>0</v>
      </c>
      <c r="P31" s="410">
        <v>0</v>
      </c>
      <c r="Q31" s="445">
        <f t="shared" si="11"/>
        <v>0</v>
      </c>
      <c r="S31" t="s">
        <v>400</v>
      </c>
      <c r="U31" t="s">
        <v>1007</v>
      </c>
      <c r="V31">
        <f>IF(C28&gt;ROUNDUP('1-Hull'!B4/100,0),1,0)</f>
        <v>0</v>
      </c>
      <c r="X31">
        <f t="shared" si="5"/>
        <v>4</v>
      </c>
      <c r="Y31">
        <f t="shared" si="6"/>
        <v>30</v>
      </c>
      <c r="Z31">
        <v>13</v>
      </c>
      <c r="AA31" t="s">
        <v>1990</v>
      </c>
      <c r="AB31" s="4">
        <v>30260000</v>
      </c>
      <c r="AC31" s="453">
        <v>60</v>
      </c>
      <c r="AD31">
        <f>IF($N$63="No",-20,1)</f>
        <v>1</v>
      </c>
      <c r="AG31">
        <f>IF($N$68="No",-20,1)</f>
        <v>1</v>
      </c>
      <c r="AT31">
        <f>IF($P$63=0,1,IF(AC31&lt;=$P$63,1,-20))</f>
        <v>1</v>
      </c>
      <c r="AV31">
        <f t="shared" si="2"/>
        <v>1</v>
      </c>
      <c r="AW31" s="57">
        <f t="shared" si="7"/>
        <v>30</v>
      </c>
      <c r="AX31" s="57" t="str">
        <f t="shared" si="8"/>
        <v>Aslan Yaeai Reconnaissance Pinnace</v>
      </c>
      <c r="AY31">
        <v>30</v>
      </c>
      <c r="AZ31" t="str">
        <f t="shared" si="3"/>
        <v/>
      </c>
      <c r="BA31" s="4">
        <f t="shared" si="4"/>
        <v>0</v>
      </c>
    </row>
    <row r="32" spans="1:53" ht="16" thickBot="1">
      <c r="A32" t="s">
        <v>465</v>
      </c>
      <c r="B32" s="254" t="s">
        <v>375</v>
      </c>
      <c r="C32" s="235">
        <v>0</v>
      </c>
      <c r="D32" s="235">
        <v>0</v>
      </c>
      <c r="E32">
        <f>VLOOKUP(B32,S20:T25,2)</f>
        <v>0</v>
      </c>
      <c r="F32" s="4">
        <f>H32*100000+(VLOOKUP(B32,S20:U25,3)*C32)</f>
        <v>0</v>
      </c>
      <c r="H32" s="270">
        <f>IF(B32=S20,0,D32*C32)</f>
        <v>0</v>
      </c>
      <c r="I32" s="844"/>
      <c r="J32" s="845"/>
      <c r="L32" s="451" t="s">
        <v>1859</v>
      </c>
      <c r="M32" s="440" t="s">
        <v>1103</v>
      </c>
      <c r="N32" s="455">
        <f t="shared" si="9"/>
        <v>0</v>
      </c>
      <c r="O32" s="456">
        <f t="shared" si="10"/>
        <v>0</v>
      </c>
      <c r="P32" s="441">
        <v>0</v>
      </c>
      <c r="Q32" s="442">
        <f t="shared" si="11"/>
        <v>0</v>
      </c>
      <c r="S32">
        <f>SUM(K10:K64)</f>
        <v>0</v>
      </c>
      <c r="U32" t="s">
        <v>2361</v>
      </c>
      <c r="V32">
        <f>IF(AND(B24&lt;&gt;"",U66=0),1,0)</f>
        <v>0</v>
      </c>
      <c r="X32">
        <f t="shared" si="5"/>
        <v>5</v>
      </c>
      <c r="Y32">
        <f t="shared" si="6"/>
        <v>31</v>
      </c>
      <c r="Z32">
        <v>11</v>
      </c>
      <c r="AA32" t="s">
        <v>1988</v>
      </c>
      <c r="AB32" s="4">
        <v>7290000</v>
      </c>
      <c r="AC32" s="453">
        <v>8</v>
      </c>
      <c r="AD32">
        <f>IF($N$63="No",-20,1)</f>
        <v>1</v>
      </c>
      <c r="AE32">
        <f>IF($N$64="No",-20,1)</f>
        <v>1</v>
      </c>
      <c r="AG32">
        <f>IF($N$68="No",-20,1)</f>
        <v>1</v>
      </c>
      <c r="AT32">
        <f>IF($P$63=0,1,IF(AC32&lt;=$P$63,1,-20))</f>
        <v>1</v>
      </c>
      <c r="AV32">
        <f t="shared" si="2"/>
        <v>1</v>
      </c>
      <c r="AW32" s="57">
        <f t="shared" si="7"/>
        <v>31</v>
      </c>
      <c r="AX32" s="57" t="str">
        <f t="shared" si="8"/>
        <v>Aslan Yeawel Light Fighter</v>
      </c>
    </row>
    <row r="33" spans="1:52" ht="16" thickBot="1">
      <c r="A33" t="s">
        <v>465</v>
      </c>
      <c r="B33" s="254" t="s">
        <v>375</v>
      </c>
      <c r="C33" s="235">
        <v>0</v>
      </c>
      <c r="D33" s="235">
        <v>0</v>
      </c>
      <c r="E33">
        <f>VLOOKUP(B33,S20:T25,2)</f>
        <v>0</v>
      </c>
      <c r="F33" s="4">
        <f>H33*100000+(VLOOKUP(B33,S20:U25,3)*C33)</f>
        <v>0</v>
      </c>
      <c r="H33" s="270">
        <f>IF(B33=S20,0,D33*C33)</f>
        <v>0</v>
      </c>
      <c r="I33" s="844"/>
      <c r="J33" s="845"/>
      <c r="L33" s="451" t="s">
        <v>1857</v>
      </c>
      <c r="M33" s="439" t="s">
        <v>1103</v>
      </c>
      <c r="N33" s="455">
        <f t="shared" si="9"/>
        <v>0</v>
      </c>
      <c r="O33" s="456">
        <f t="shared" si="10"/>
        <v>0</v>
      </c>
      <c r="P33" s="410">
        <v>0</v>
      </c>
      <c r="Q33" s="445">
        <f t="shared" si="11"/>
        <v>0</v>
      </c>
      <c r="S33" s="3" t="s">
        <v>638</v>
      </c>
      <c r="T33">
        <f>IF('Ship Info'!F6,'9a-Optional'!V33,U33)</f>
        <v>3</v>
      </c>
      <c r="U33">
        <f>IF('1-Hull'!B4&lt;100,0,ROUNDUP('1-Hull'!B4/100,0))</f>
        <v>3</v>
      </c>
      <c r="V33">
        <f>IF('1-Hull'!B4&lt;100,0,ROUNDUP('1-Hull'!B4/500,0))</f>
        <v>1</v>
      </c>
      <c r="X33">
        <f t="shared" si="5"/>
        <v>3</v>
      </c>
      <c r="Y33">
        <f t="shared" si="6"/>
        <v>32</v>
      </c>
      <c r="Z33">
        <v>14</v>
      </c>
      <c r="AA33" t="s">
        <v>2016</v>
      </c>
      <c r="AB33" s="4">
        <v>20250000</v>
      </c>
      <c r="AC33" s="453">
        <v>20</v>
      </c>
      <c r="AD33">
        <f>IF($N$62="No",-20,1)</f>
        <v>1</v>
      </c>
      <c r="AS33">
        <f>IF($P$62=0,1,IF(AC33&lt;=$P$62,1,-20))</f>
        <v>1</v>
      </c>
      <c r="AV33">
        <f t="shared" si="2"/>
        <v>1</v>
      </c>
      <c r="AW33" s="57">
        <f t="shared" si="7"/>
        <v>32</v>
      </c>
      <c r="AX33" s="57" t="str">
        <f t="shared" si="8"/>
        <v>Astrin Grav APC</v>
      </c>
    </row>
    <row r="34" spans="1:52" ht="17" thickBot="1">
      <c r="A34" s="5" t="s">
        <v>2163</v>
      </c>
      <c r="B34" s="2"/>
      <c r="C34" s="2"/>
      <c r="D34" s="2"/>
      <c r="F34" s="4"/>
      <c r="H34" s="2"/>
      <c r="L34" s="451" t="s">
        <v>1860</v>
      </c>
      <c r="M34" s="440" t="s">
        <v>1103</v>
      </c>
      <c r="N34" s="455">
        <f t="shared" si="9"/>
        <v>0</v>
      </c>
      <c r="O34" s="456">
        <f t="shared" si="10"/>
        <v>0</v>
      </c>
      <c r="P34" s="441">
        <v>0</v>
      </c>
      <c r="Q34" s="442">
        <f t="shared" si="11"/>
        <v>0</v>
      </c>
      <c r="S34" t="str">
        <f>IF(B28=S20,"",C28&amp;"x "&amp;A28&amp;": "&amp;D28&amp;" tons"&amp;IF(B28=S21,"",", "&amp;B28))&amp;""&amp;IF(B29=S20,"",IF(B29=S21,", "&amp;C29&amp;"x "&amp;D29&amp;" ton "&amp;A29,", "&amp;C29&amp;"x "&amp;D29&amp;" ton "&amp;A29&amp;", "&amp;B29))&amp;""&amp;IF(B30=S20,"",IF(B30=S21,", "&amp;C30&amp;"x "&amp;D30&amp;" ton "&amp;A30,", "&amp;C30&amp;"x "&amp;D30&amp;" ton "&amp;A30&amp;", "&amp;B30))&amp;""&amp;IF(B31=S20,"",IF(B31=S21,", "&amp;C31&amp;"x "&amp;D31&amp;" ton "&amp;A31,", "&amp;C31&amp;"x "&amp;D31&amp;" ton "&amp;A31&amp;", "&amp;B31))&amp;""&amp;IF(B32=S20,"",IF(B32=S21,", "&amp;C32&amp;"x "&amp;D32&amp;" ton "&amp;A32,", "&amp;C32&amp;"x "&amp;D32&amp;" ton "&amp;A32&amp;", "&amp;B32))&amp;""&amp;IF(B33=S20,"",IF(B33=S21,", "&amp;C33&amp;"x "&amp;D33&amp;" ton "&amp;A33,", "&amp;C33&amp;"x "&amp;D33&amp;" ton "&amp;A33&amp;", "&amp;B33))&amp;""</f>
        <v>3x Included Airlock(s): 2 tons</v>
      </c>
      <c r="X34">
        <f t="shared" si="5"/>
        <v>4</v>
      </c>
      <c r="Y34">
        <f t="shared" si="6"/>
        <v>33</v>
      </c>
      <c r="Z34" s="459">
        <v>8</v>
      </c>
      <c r="AA34" s="459" t="s">
        <v>2239</v>
      </c>
      <c r="AB34" s="460">
        <v>153000</v>
      </c>
      <c r="AC34" s="461">
        <v>10</v>
      </c>
      <c r="AD34">
        <f>IF($N$62="No",-20,1)</f>
        <v>1</v>
      </c>
      <c r="AR34">
        <f>IF($N$79="No",-20,1)</f>
        <v>1</v>
      </c>
      <c r="AS34">
        <f>IF($P$62=0,1,IF(AC34&lt;=$P$62,1,-20))</f>
        <v>1</v>
      </c>
      <c r="AV34">
        <f t="shared" si="2"/>
        <v>1</v>
      </c>
      <c r="AW34" s="57">
        <f t="shared" si="7"/>
        <v>33</v>
      </c>
      <c r="AX34" s="57" t="str">
        <f t="shared" si="8"/>
        <v>AT-4 Rough Terrain Snowmobile (JTAS Vol. 5)</v>
      </c>
      <c r="AZ34" t="s">
        <v>2126</v>
      </c>
    </row>
    <row r="35" spans="1:52" ht="16" thickBot="1">
      <c r="A35" s="254" t="s">
        <v>470</v>
      </c>
      <c r="B35" s="254" t="s">
        <v>375</v>
      </c>
      <c r="C35" s="235">
        <v>1</v>
      </c>
      <c r="D35" s="235">
        <v>20</v>
      </c>
      <c r="F35" s="4">
        <f>IF(H35&gt;0,H35*250000,0)*IF(A35=$S$55,1,2)</f>
        <v>0</v>
      </c>
      <c r="H35" s="270">
        <f>IF(B35=S21,ROUNDUP(C35*D35*1.1,0),0)</f>
        <v>0</v>
      </c>
      <c r="L35" s="451" t="s">
        <v>1859</v>
      </c>
      <c r="M35" s="439" t="s">
        <v>1103</v>
      </c>
      <c r="N35" s="455">
        <f t="shared" si="9"/>
        <v>0</v>
      </c>
      <c r="O35" s="456">
        <f t="shared" si="10"/>
        <v>0</v>
      </c>
      <c r="P35" s="410">
        <v>0</v>
      </c>
      <c r="Q35" s="445">
        <f t="shared" si="11"/>
        <v>0</v>
      </c>
      <c r="S35" s="3" t="s">
        <v>426</v>
      </c>
      <c r="X35">
        <f t="shared" si="5"/>
        <v>4</v>
      </c>
      <c r="Y35">
        <f t="shared" si="6"/>
        <v>34</v>
      </c>
      <c r="Z35">
        <v>12</v>
      </c>
      <c r="AA35" t="s">
        <v>1734</v>
      </c>
      <c r="AB35" s="4">
        <v>155000</v>
      </c>
      <c r="AC35">
        <v>10</v>
      </c>
      <c r="AD35">
        <f>IF($N$62="No",-20,1)</f>
        <v>1</v>
      </c>
      <c r="AI35">
        <f>IF($N$70="No",-20,1)</f>
        <v>1</v>
      </c>
      <c r="AS35">
        <f>IF($P$62=0,1,IF(AC35&lt;=$P$62,1,-20))</f>
        <v>1</v>
      </c>
      <c r="AV35">
        <f t="shared" si="2"/>
        <v>1</v>
      </c>
      <c r="AW35" s="57">
        <f t="shared" si="7"/>
        <v>34</v>
      </c>
      <c r="AX35" s="57" t="str">
        <f t="shared" si="8"/>
        <v>ATV</v>
      </c>
    </row>
    <row r="36" spans="1:52" ht="16" thickBot="1">
      <c r="A36" s="254" t="s">
        <v>470</v>
      </c>
      <c r="B36" s="254" t="s">
        <v>375</v>
      </c>
      <c r="C36" s="235">
        <v>0</v>
      </c>
      <c r="D36" s="235">
        <v>0</v>
      </c>
      <c r="F36" s="4">
        <f t="shared" ref="F36:F40" si="12">IF(H36&gt;0,H36*250000,0)*IF(A36=$S$55,1,2)</f>
        <v>0</v>
      </c>
      <c r="H36" s="270">
        <f>IF(B36=S21,ROUNDUP(C36*D36*1.1,0),0)</f>
        <v>0</v>
      </c>
      <c r="L36" s="452"/>
      <c r="M36" s="443" t="s">
        <v>1103</v>
      </c>
      <c r="N36" s="455">
        <f t="shared" si="9"/>
        <v>0</v>
      </c>
      <c r="O36" s="456">
        <f t="shared" si="10"/>
        <v>0</v>
      </c>
      <c r="P36" s="444">
        <v>0</v>
      </c>
      <c r="Q36" s="442">
        <f t="shared" si="11"/>
        <v>0</v>
      </c>
      <c r="S36" t="str">
        <f>IF(B10=S3,"",", "&amp;A10&amp;": "&amp;D10)&amp;""&amp;IF(B11=S3,"",", "&amp;A11&amp;": "&amp;D11)&amp;""&amp;IF(B12=S3,"",", "&amp;A12&amp;": "&amp;D12)&amp;""&amp;IF(B13=S3,"",", "&amp;A13)</f>
        <v>, Advanced Probe Drones: 50 Probes, Repair Drones</v>
      </c>
      <c r="X36">
        <f t="shared" si="5"/>
        <v>4</v>
      </c>
      <c r="Y36">
        <f t="shared" si="6"/>
        <v>35</v>
      </c>
      <c r="Z36">
        <v>10</v>
      </c>
      <c r="AA36" t="s">
        <v>2296</v>
      </c>
      <c r="AB36" s="4">
        <v>370900</v>
      </c>
      <c r="AC36" s="493">
        <v>10</v>
      </c>
      <c r="AD36">
        <f>IF($N$62="No",-20,1)</f>
        <v>1</v>
      </c>
      <c r="AR36">
        <f>IF($N$79="No",-20,1)</f>
        <v>1</v>
      </c>
      <c r="AS36">
        <f>IF($P$62=0,1,IF(AC36&lt;=$P$62,1,-20))</f>
        <v>1</v>
      </c>
      <c r="AV36">
        <f t="shared" si="2"/>
        <v>1</v>
      </c>
      <c r="AW36" s="57">
        <f t="shared" si="7"/>
        <v>35</v>
      </c>
      <c r="AX36" s="57" t="str">
        <f t="shared" si="8"/>
        <v>ATV w/Fusion+ (JTAS Vol. 15)</v>
      </c>
    </row>
    <row r="37" spans="1:52" ht="18" thickTop="1" thickBot="1">
      <c r="A37" s="254" t="s">
        <v>470</v>
      </c>
      <c r="B37" s="254" t="s">
        <v>375</v>
      </c>
      <c r="C37" s="235">
        <v>0</v>
      </c>
      <c r="D37" s="235">
        <v>0</v>
      </c>
      <c r="F37" s="4">
        <f t="shared" si="12"/>
        <v>0</v>
      </c>
      <c r="H37" s="270">
        <f>IF(B37=S21,ROUNDUP(C37*D37*1.1,0),0)</f>
        <v>0</v>
      </c>
      <c r="L37" s="447"/>
      <c r="M37" s="437"/>
      <c r="N37" s="457"/>
      <c r="O37" s="457"/>
      <c r="P37" s="438">
        <v>0</v>
      </c>
      <c r="Q37" s="445">
        <f t="shared" si="11"/>
        <v>0</v>
      </c>
      <c r="S37" s="3" t="s">
        <v>436</v>
      </c>
      <c r="X37">
        <f t="shared" si="5"/>
        <v>3</v>
      </c>
      <c r="Y37">
        <f t="shared" si="6"/>
        <v>36</v>
      </c>
      <c r="Z37" s="459">
        <v>8</v>
      </c>
      <c r="AA37" s="459" t="s">
        <v>2373</v>
      </c>
      <c r="AB37" s="460">
        <v>249000</v>
      </c>
      <c r="AC37" s="461">
        <v>8</v>
      </c>
      <c r="AD37">
        <f>IF($N$62="No",-20,1)</f>
        <v>1</v>
      </c>
      <c r="AS37">
        <f>IF($P$62=0,1,IF(AC37&lt;=$P$62,1,-20))</f>
        <v>1</v>
      </c>
      <c r="AV37">
        <f t="shared" si="2"/>
        <v>1</v>
      </c>
      <c r="AW37" s="57">
        <f t="shared" si="7"/>
        <v>36</v>
      </c>
      <c r="AX37" s="57" t="str">
        <f t="shared" si="8"/>
        <v>Ausiyr Assualt Helicopter (Reach Adventure 6)</v>
      </c>
    </row>
    <row r="38" spans="1:52" ht="16" thickBot="1">
      <c r="A38" s="254" t="s">
        <v>470</v>
      </c>
      <c r="B38" s="254" t="s">
        <v>375</v>
      </c>
      <c r="C38" s="235">
        <v>0</v>
      </c>
      <c r="D38" s="235">
        <v>0</v>
      </c>
      <c r="F38" s="4">
        <f t="shared" si="12"/>
        <v>0</v>
      </c>
      <c r="H38" s="270">
        <f>IF(B38=S21,ROUNDUP(C38*D38*1.1,0),0)</f>
        <v>0</v>
      </c>
      <c r="L38" s="448"/>
      <c r="M38" s="197"/>
      <c r="N38" s="289"/>
      <c r="O38" s="289"/>
      <c r="P38" s="289">
        <v>0</v>
      </c>
      <c r="Q38" s="425">
        <f t="shared" si="11"/>
        <v>0</v>
      </c>
      <c r="S38" t="str">
        <f>IF(B17=S3,"",", "&amp;C17&amp;"x "&amp;A17)&amp;""&amp;IF(C19=T2,""," combined with")&amp;""&amp;IF(B18=S14,"",", "&amp;C18&amp;"x "&amp;B18&amp;" "&amp;A18)&amp;""&amp;IF(B20=S3,"",", "&amp;C20&amp;"x "&amp;A20)&amp;""&amp;IF(B21=S3,"",", "&amp;C21&amp;"x "&amp;A21)&amp;""&amp;IF(B22=S3,"",", "&amp;A22)&amp;""&amp;IF(B23=S3,"",", "&amp;A23&amp;": "&amp;C23&amp;" tons")&amp;IF(B42=S20,"",", "&amp;C42&amp;"x "&amp;A42)&amp;IF(B43=S20,"",", "&amp;C43&amp;"x "&amp;A43)&amp;IF(B44=S20,"",", "&amp;C44&amp;"x "&amp;A44)&amp;IF(B45=S20,"",", "&amp;C45&amp;"x "&amp;A45)&amp;IF(B46=S20,"",", "&amp;C46&amp;"x "&amp;A46)</f>
        <v>, 3x Docking Clamp Type II</v>
      </c>
      <c r="X38">
        <f t="shared" si="5"/>
        <v>4</v>
      </c>
      <c r="Y38">
        <f t="shared" si="6"/>
        <v>37</v>
      </c>
      <c r="Z38">
        <v>10</v>
      </c>
      <c r="AA38" t="s">
        <v>1802</v>
      </c>
      <c r="AB38" s="4">
        <v>1620000</v>
      </c>
      <c r="AC38">
        <v>5</v>
      </c>
      <c r="AD38">
        <f>IF($N$63="No",-20,1)</f>
        <v>1</v>
      </c>
      <c r="AG38">
        <f>IF($N$68="No",-20,1)</f>
        <v>1</v>
      </c>
      <c r="AT38">
        <f>IF($P$63=0,1,IF(AC38&lt;=$P$63,1,-20))</f>
        <v>1</v>
      </c>
      <c r="AV38">
        <f t="shared" si="2"/>
        <v>1</v>
      </c>
      <c r="AW38" s="57">
        <f t="shared" si="7"/>
        <v>37</v>
      </c>
      <c r="AX38" s="57" t="str">
        <f t="shared" si="8"/>
        <v>Automated Lifeboat</v>
      </c>
    </row>
    <row r="39" spans="1:52" ht="16" thickBot="1">
      <c r="A39" s="254" t="s">
        <v>470</v>
      </c>
      <c r="B39" s="254" t="s">
        <v>375</v>
      </c>
      <c r="C39" s="235">
        <v>0</v>
      </c>
      <c r="D39" s="235">
        <v>0</v>
      </c>
      <c r="F39" s="4">
        <f t="shared" si="12"/>
        <v>0</v>
      </c>
      <c r="H39" s="270">
        <f>IF(B39=S21,ROUNDUP(C39*D39*1.1,0),0)</f>
        <v>0</v>
      </c>
      <c r="L39" s="448"/>
      <c r="M39" s="206"/>
      <c r="N39" s="410"/>
      <c r="O39" s="410"/>
      <c r="P39" s="410">
        <v>0</v>
      </c>
      <c r="Q39" s="445">
        <f t="shared" si="11"/>
        <v>0</v>
      </c>
      <c r="S39" s="3" t="s">
        <v>639</v>
      </c>
      <c r="T39">
        <f>ROUNDUP(SUM(H35:H40)/1.1,0)</f>
        <v>0</v>
      </c>
      <c r="X39">
        <f t="shared" si="5"/>
        <v>4</v>
      </c>
      <c r="Y39">
        <f t="shared" si="6"/>
        <v>38</v>
      </c>
      <c r="Z39">
        <v>9</v>
      </c>
      <c r="AA39" t="s">
        <v>2267</v>
      </c>
      <c r="AB39" s="4">
        <v>534000</v>
      </c>
      <c r="AC39" s="493">
        <v>30</v>
      </c>
      <c r="AD39">
        <f>IF($N$62="No",-20,1)</f>
        <v>1</v>
      </c>
      <c r="AR39">
        <f>IF($N$79="No",-20,1)</f>
        <v>1</v>
      </c>
      <c r="AS39">
        <f>IF($P$62=0,1,IF(AC39&lt;=$P$62,1,-20))</f>
        <v>1</v>
      </c>
      <c r="AV39">
        <f t="shared" si="2"/>
        <v>1</v>
      </c>
      <c r="AW39" s="57">
        <f t="shared" si="7"/>
        <v>38</v>
      </c>
      <c r="AX39" s="57" t="str">
        <f t="shared" si="8"/>
        <v>BB-2 Nuclear Powered Bus (JTAS Vol. 8)</v>
      </c>
    </row>
    <row r="40" spans="1:52" ht="17" thickBot="1">
      <c r="A40" s="254" t="s">
        <v>470</v>
      </c>
      <c r="B40" s="254" t="s">
        <v>375</v>
      </c>
      <c r="C40" s="235">
        <v>0</v>
      </c>
      <c r="D40" s="235">
        <v>0</v>
      </c>
      <c r="F40" s="4">
        <f t="shared" si="12"/>
        <v>0</v>
      </c>
      <c r="H40" s="270">
        <f>IF(B40=S21,ROUNDUP(C40*D40*1.1,0),0)</f>
        <v>0</v>
      </c>
      <c r="L40" s="448"/>
      <c r="M40" s="197"/>
      <c r="N40" s="289"/>
      <c r="O40" s="289"/>
      <c r="P40" s="289">
        <v>0</v>
      </c>
      <c r="Q40" s="425">
        <f t="shared" si="11"/>
        <v>0</v>
      </c>
      <c r="S40" t="str">
        <f>IF(B35=S53,"",", "&amp;C35&amp;"x "&amp;D35&amp;" ton "&amp;A35)&amp;""&amp;IF(B36=S53,"",", "&amp;C36&amp;"x "&amp;D36&amp;" ton "&amp;A36)&amp;""&amp;IF(B37=S53,"",", "&amp;C37&amp;"x "&amp;D37&amp;" ton "&amp;A37)&amp;""&amp;IF(B38=S53,"",", "&amp;C38&amp;"x "&amp;D38&amp;" ton "&amp;A38)&amp;""&amp;IF(B39=S53,"",", "&amp;C39&amp;"x "&amp;D39&amp;" ton "&amp;A39)&amp;""&amp;IF(B40=S53,"",", "&amp;C40&amp;"x "&amp;D40&amp;" ton "&amp;A40)</f>
        <v/>
      </c>
      <c r="X40">
        <f t="shared" si="5"/>
        <v>3</v>
      </c>
      <c r="Y40">
        <f t="shared" si="6"/>
        <v>39</v>
      </c>
      <c r="Z40" s="459">
        <v>15</v>
      </c>
      <c r="AA40" s="459" t="s">
        <v>2038</v>
      </c>
      <c r="AB40" s="460">
        <v>915000</v>
      </c>
      <c r="AC40" s="461">
        <v>6</v>
      </c>
      <c r="AD40">
        <f>IF($N$62="No",-20,1)</f>
        <v>1</v>
      </c>
      <c r="AS40">
        <f>IF($P$62=0,1,IF(AC40&lt;=$P$62,1,-20))</f>
        <v>1</v>
      </c>
      <c r="AV40">
        <f t="shared" si="2"/>
        <v>1</v>
      </c>
      <c r="AW40" s="57">
        <f t="shared" si="7"/>
        <v>39</v>
      </c>
      <c r="AX40" s="57" t="str">
        <f t="shared" si="8"/>
        <v>Behrait Transport Vehicle (B&amp;ESG)</v>
      </c>
    </row>
    <row r="41" spans="1:52" ht="16" thickBot="1">
      <c r="H41" s="2"/>
      <c r="L41" s="448"/>
      <c r="M41" s="206"/>
      <c r="N41" s="410"/>
      <c r="O41" s="410"/>
      <c r="P41" s="410">
        <v>0</v>
      </c>
      <c r="Q41" s="445">
        <f t="shared" si="11"/>
        <v>0</v>
      </c>
      <c r="S41" s="3" t="s">
        <v>640</v>
      </c>
      <c r="T41">
        <f>ROUNDUP(SUM(H48:H52)/2,0)</f>
        <v>0</v>
      </c>
      <c r="X41">
        <f t="shared" si="5"/>
        <v>4</v>
      </c>
      <c r="Y41">
        <f t="shared" si="6"/>
        <v>40</v>
      </c>
      <c r="Z41">
        <v>9</v>
      </c>
      <c r="AA41" t="s">
        <v>1807</v>
      </c>
      <c r="AB41" s="4">
        <v>6080000</v>
      </c>
      <c r="AC41">
        <v>20</v>
      </c>
      <c r="AD41">
        <f>IF($N$63="No",-20,1)</f>
        <v>1</v>
      </c>
      <c r="AG41">
        <f>IF($N$68="No",-20,1)</f>
        <v>1</v>
      </c>
      <c r="AT41">
        <f>IF($P$63=0,1,IF(AC41&lt;=$P$63,1,-20))</f>
        <v>1</v>
      </c>
      <c r="AV41">
        <f t="shared" si="2"/>
        <v>1</v>
      </c>
      <c r="AW41" s="57">
        <f t="shared" si="7"/>
        <v>40</v>
      </c>
      <c r="AX41" s="57" t="str">
        <f t="shared" si="8"/>
        <v>Belter Launch</v>
      </c>
    </row>
    <row r="42" spans="1:52" ht="17" thickBot="1">
      <c r="A42" t="s">
        <v>819</v>
      </c>
      <c r="B42" s="254" t="s">
        <v>375</v>
      </c>
      <c r="C42" s="235">
        <v>1</v>
      </c>
      <c r="D42" s="21" t="s">
        <v>459</v>
      </c>
      <c r="F42" s="4">
        <f>IF(H42=0,0,C42*W7)</f>
        <v>0</v>
      </c>
      <c r="H42" s="270">
        <f>IF(B42=S20,0,C42*V7)</f>
        <v>0</v>
      </c>
      <c r="L42" s="448"/>
      <c r="M42" s="197"/>
      <c r="N42" s="289"/>
      <c r="O42" s="289"/>
      <c r="P42" s="289">
        <v>0</v>
      </c>
      <c r="Q42" s="425">
        <f t="shared" si="11"/>
        <v>0</v>
      </c>
      <c r="S42" t="str">
        <f>IF(B48=S53,"",", "&amp;C48&amp;"x "&amp;D48&amp;" ton cap "&amp;A48)&amp;""&amp;IF(B49=S53,"",", "&amp;C49&amp;"x "&amp;D49&amp;" ton cap "&amp;A49)&amp;""&amp;IF(B50=S53,"",", "&amp;C50&amp;"x "&amp;D50&amp;" ton cap "&amp;A50)&amp;""&amp;IF(B51=S53,"",", "&amp;C51&amp;"x "&amp;D51&amp;" ton cap "&amp;A51)&amp;""&amp;IF(B52=S53,"",", "&amp;C52&amp;"x "&amp;D52&amp;" ton cap "&amp;A52)</f>
        <v/>
      </c>
      <c r="X42">
        <f t="shared" si="5"/>
        <v>3</v>
      </c>
      <c r="Y42">
        <f t="shared" si="6"/>
        <v>41</v>
      </c>
      <c r="Z42" s="459">
        <v>15</v>
      </c>
      <c r="AA42" s="459" t="s">
        <v>2039</v>
      </c>
      <c r="AB42" s="460">
        <v>2830000</v>
      </c>
      <c r="AC42" s="461">
        <v>30</v>
      </c>
      <c r="AD42">
        <f>IF($N$62="No",-20,1)</f>
        <v>1</v>
      </c>
      <c r="AS42">
        <f>IF($P$62=0,1,IF(AC42&lt;=$P$62,1,-20))</f>
        <v>1</v>
      </c>
      <c r="AV42">
        <f t="shared" si="2"/>
        <v>1</v>
      </c>
      <c r="AW42" s="57">
        <f t="shared" si="7"/>
        <v>41</v>
      </c>
      <c r="AX42" s="57" t="str">
        <f t="shared" si="8"/>
        <v>Bestia AFV (B&amp;ESG)</v>
      </c>
    </row>
    <row r="43" spans="1:52" ht="16" thickBot="1">
      <c r="A43" t="s">
        <v>820</v>
      </c>
      <c r="B43" s="254" t="s">
        <v>113</v>
      </c>
      <c r="C43" s="235">
        <v>3</v>
      </c>
      <c r="D43" s="53" t="s">
        <v>460</v>
      </c>
      <c r="F43" s="4">
        <f t="shared" ref="F43:F46" si="13">IF(H43=0,0,C43*W8)</f>
        <v>3000000</v>
      </c>
      <c r="H43" s="270">
        <f>IF(B43=S20,0,C43*V8)</f>
        <v>15</v>
      </c>
      <c r="L43" s="448" t="s">
        <v>634</v>
      </c>
      <c r="M43" s="206"/>
      <c r="N43" s="410"/>
      <c r="O43" s="410"/>
      <c r="P43" s="410">
        <v>0</v>
      </c>
      <c r="Q43" s="445">
        <f t="shared" si="11"/>
        <v>0</v>
      </c>
      <c r="S43" s="3" t="s">
        <v>472</v>
      </c>
      <c r="X43">
        <f t="shared" si="5"/>
        <v>4</v>
      </c>
      <c r="Y43">
        <f t="shared" si="6"/>
        <v>42</v>
      </c>
      <c r="Z43">
        <v>15</v>
      </c>
      <c r="AA43" t="s">
        <v>1836</v>
      </c>
      <c r="AB43" s="4">
        <v>44675000</v>
      </c>
      <c r="AC43">
        <v>60</v>
      </c>
      <c r="AD43">
        <f>IF($N$63="No",-20,1)</f>
        <v>1</v>
      </c>
      <c r="AG43">
        <f>IF($N$68="No",-20,1)</f>
        <v>1</v>
      </c>
      <c r="AT43">
        <f>IF($P$63=0,1,IF(AC43&lt;=$P$63,1,-20))</f>
        <v>1</v>
      </c>
      <c r="AV43">
        <f t="shared" si="2"/>
        <v>1</v>
      </c>
      <c r="AW43" s="57">
        <f t="shared" si="7"/>
        <v>42</v>
      </c>
      <c r="AX43" s="57" t="str">
        <f t="shared" si="8"/>
        <v>Boarding Shuttle</v>
      </c>
    </row>
    <row r="44" spans="1:52" ht="16" thickBot="1">
      <c r="A44" t="s">
        <v>821</v>
      </c>
      <c r="B44" s="254" t="s">
        <v>375</v>
      </c>
      <c r="C44" s="235">
        <v>0</v>
      </c>
      <c r="D44" s="21" t="s">
        <v>461</v>
      </c>
      <c r="F44" s="4">
        <f t="shared" si="13"/>
        <v>0</v>
      </c>
      <c r="H44" s="270">
        <f>IF(B44=S20,0,C44*V9)</f>
        <v>0</v>
      </c>
      <c r="L44" s="448" t="s">
        <v>1861</v>
      </c>
      <c r="M44" s="197"/>
      <c r="N44" s="289"/>
      <c r="O44" s="289"/>
      <c r="P44" s="289">
        <v>0</v>
      </c>
      <c r="Q44" s="425">
        <f t="shared" si="11"/>
        <v>0</v>
      </c>
      <c r="S44" t="str">
        <f>IF(B54=S53,"",", "&amp;C54&amp;"x "&amp;D54&amp;" ton cap "&amp;A54)&amp;""&amp;IF(B55=S53,"",", "&amp;C55&amp;"x "&amp;D55&amp;" ton cap "&amp;A55)&amp;""&amp;IF(B56=S53,"",", "&amp;C56&amp;"x "&amp;D56&amp;" ton cap "&amp;A56)&amp;""&amp;IF(B57=S53,"",", "&amp;C57&amp;"x "&amp;D57&amp;" ton cap "&amp;A57)&amp;""&amp;IF(B58=S53,"",", "&amp;C58&amp;"x "&amp;D58&amp;" ton cap "&amp;A58)</f>
        <v/>
      </c>
      <c r="X44">
        <f t="shared" si="5"/>
        <v>4</v>
      </c>
      <c r="Y44">
        <f t="shared" si="6"/>
        <v>43</v>
      </c>
      <c r="Z44">
        <v>7</v>
      </c>
      <c r="AA44" t="s">
        <v>2280</v>
      </c>
      <c r="AB44" s="4">
        <v>2391200</v>
      </c>
      <c r="AC44" s="493">
        <v>100</v>
      </c>
      <c r="AD44">
        <f>IF($N$62="No",-20,1)</f>
        <v>1</v>
      </c>
      <c r="AR44">
        <f>IF($N$79="No",-20,1)</f>
        <v>1</v>
      </c>
      <c r="AS44">
        <f>IF($P$62=0,1,IF(AC44&lt;=$P$62,1,-20))</f>
        <v>1</v>
      </c>
      <c r="AV44">
        <f t="shared" si="2"/>
        <v>1</v>
      </c>
      <c r="AW44" s="57">
        <f t="shared" si="7"/>
        <v>43</v>
      </c>
      <c r="AX44" s="57" t="str">
        <f t="shared" si="8"/>
        <v>Bonham-Class Luxury Airship (JTAS Vol. 12)</v>
      </c>
    </row>
    <row r="45" spans="1:52" ht="16" thickBot="1">
      <c r="A45" t="s">
        <v>822</v>
      </c>
      <c r="B45" s="254" t="s">
        <v>375</v>
      </c>
      <c r="C45" s="235">
        <v>0</v>
      </c>
      <c r="D45" s="53" t="s">
        <v>462</v>
      </c>
      <c r="F45" s="4">
        <f t="shared" si="13"/>
        <v>0</v>
      </c>
      <c r="H45" s="270">
        <f>IF(B45=S20,0,C45*V10)</f>
        <v>0</v>
      </c>
      <c r="L45" s="448" t="s">
        <v>635</v>
      </c>
      <c r="M45" s="206"/>
      <c r="N45" s="410"/>
      <c r="O45" s="410"/>
      <c r="P45" s="410">
        <v>0</v>
      </c>
      <c r="Q45" s="445">
        <f t="shared" si="11"/>
        <v>0</v>
      </c>
      <c r="S45" s="3" t="s">
        <v>473</v>
      </c>
      <c r="X45">
        <f t="shared" si="5"/>
        <v>4</v>
      </c>
      <c r="Y45">
        <f t="shared" si="6"/>
        <v>44</v>
      </c>
      <c r="Z45">
        <v>13</v>
      </c>
      <c r="AA45" t="s">
        <v>1780</v>
      </c>
      <c r="AB45" s="4">
        <v>565000</v>
      </c>
      <c r="AC45">
        <v>15</v>
      </c>
      <c r="AD45">
        <f>IF($N$62="No",-20,1)</f>
        <v>1</v>
      </c>
      <c r="AH45">
        <f>IF($N$69="No",-20,1)</f>
        <v>1</v>
      </c>
      <c r="AS45">
        <f>IF($P$62=0,1,IF(AC45&lt;=$P$62,1,-20))</f>
        <v>1</v>
      </c>
      <c r="AV45">
        <f t="shared" si="2"/>
        <v>1</v>
      </c>
      <c r="AW45" s="57">
        <f t="shared" si="7"/>
        <v>44</v>
      </c>
      <c r="AX45" s="57" t="str">
        <f t="shared" si="8"/>
        <v>Borderguard Ground Attack</v>
      </c>
    </row>
    <row r="46" spans="1:52" ht="16" thickBot="1">
      <c r="A46" t="s">
        <v>823</v>
      </c>
      <c r="B46" s="254" t="s">
        <v>375</v>
      </c>
      <c r="C46" s="235">
        <v>0</v>
      </c>
      <c r="D46" s="21" t="s">
        <v>463</v>
      </c>
      <c r="F46" s="4">
        <f t="shared" si="13"/>
        <v>0</v>
      </c>
      <c r="H46" s="270">
        <f>IF(B46=S20,0,C46*V11)</f>
        <v>0</v>
      </c>
      <c r="L46" s="448" t="s">
        <v>1856</v>
      </c>
      <c r="M46" s="197"/>
      <c r="N46" s="289"/>
      <c r="O46" s="289"/>
      <c r="P46" s="289">
        <v>0</v>
      </c>
      <c r="Q46" s="427">
        <f>P46*N46</f>
        <v>0</v>
      </c>
      <c r="S46" t="str">
        <f>IF(B60=S53,"",", "&amp;C60&amp;"x "&amp;D60&amp;" ton cap "&amp;A60)&amp;""&amp;IF(B61=S53,"",", "&amp;C61&amp;"x "&amp;D61&amp;" ton cap "&amp;A61)&amp;""&amp;IF(B62=S53,"",", "&amp;C62&amp;"x "&amp;D62&amp;" ton cap "&amp;A62)&amp;""&amp;IF(B63=S53,"",", "&amp;C63&amp;"x "&amp;D63&amp;" ton cap "&amp;A63)&amp;""&amp;IF(B64=S53,"",", "&amp;C64&amp;"x "&amp;D64&amp;" ton cap "&amp;A64)</f>
        <v/>
      </c>
      <c r="X46">
        <f t="shared" si="5"/>
        <v>4</v>
      </c>
      <c r="Y46">
        <f t="shared" si="6"/>
        <v>45</v>
      </c>
      <c r="Z46">
        <v>10</v>
      </c>
      <c r="AA46" t="s">
        <v>1735</v>
      </c>
      <c r="AB46" s="4">
        <v>241000</v>
      </c>
      <c r="AC46">
        <v>40</v>
      </c>
      <c r="AD46">
        <f>IF($N$62="No",-20,1)</f>
        <v>1</v>
      </c>
      <c r="AI46">
        <f>IF($N$70="No",-20,1)</f>
        <v>1</v>
      </c>
      <c r="AS46">
        <f>IF($P$62=0,1,IF(AC46&lt;=$P$62,1,-20))</f>
        <v>1</v>
      </c>
      <c r="AV46">
        <f t="shared" si="2"/>
        <v>1</v>
      </c>
      <c r="AW46" s="57">
        <f t="shared" si="7"/>
        <v>45</v>
      </c>
      <c r="AX46" s="57" t="str">
        <f t="shared" si="8"/>
        <v>Brutus Heavy Cargo Truck</v>
      </c>
    </row>
    <row r="47" spans="1:52" ht="16" thickBot="1">
      <c r="A47" s="5" t="s">
        <v>2163</v>
      </c>
      <c r="L47" s="448" t="s">
        <v>1862</v>
      </c>
      <c r="M47" s="206"/>
      <c r="N47" s="410"/>
      <c r="O47" s="410"/>
      <c r="P47" s="410">
        <v>0</v>
      </c>
      <c r="Q47" s="446">
        <f t="shared" ref="Q47:Q55" si="14">P47*N47</f>
        <v>0</v>
      </c>
      <c r="S47" s="3" t="s">
        <v>641</v>
      </c>
      <c r="X47">
        <f t="shared" si="5"/>
        <v>4</v>
      </c>
      <c r="Y47">
        <f t="shared" si="6"/>
        <v>46</v>
      </c>
      <c r="Z47">
        <v>12</v>
      </c>
      <c r="AA47" t="s">
        <v>1985</v>
      </c>
      <c r="AB47" s="4">
        <v>27082000</v>
      </c>
      <c r="AC47" s="453">
        <v>50</v>
      </c>
      <c r="AD47">
        <f>IF($N$63="No",-20,1)</f>
        <v>1</v>
      </c>
      <c r="AO47">
        <f>IF($N$76="No",-20,1)</f>
        <v>1</v>
      </c>
      <c r="AT47">
        <f>IF($P$63=0,1,IF(AC47&lt;=$P$63,1,-20))</f>
        <v>1</v>
      </c>
      <c r="AV47">
        <f t="shared" si="2"/>
        <v>1</v>
      </c>
      <c r="AW47" s="57">
        <f t="shared" si="7"/>
        <v>46</v>
      </c>
      <c r="AX47" s="57" t="str">
        <f t="shared" si="8"/>
        <v>Budget Bounty</v>
      </c>
    </row>
    <row r="48" spans="1:52" ht="16" thickBot="1">
      <c r="A48" s="254" t="s">
        <v>471</v>
      </c>
      <c r="B48" s="254" t="s">
        <v>375</v>
      </c>
      <c r="C48" s="235">
        <v>0</v>
      </c>
      <c r="D48" s="235">
        <v>0</v>
      </c>
      <c r="F48" s="4">
        <f>IF(H48&gt;0,H48*200000,0)*IF(A48=$S$57,1,2)</f>
        <v>0</v>
      </c>
      <c r="H48" s="270">
        <f>IF(B48="Installed",C48*D48*2,0)</f>
        <v>0</v>
      </c>
      <c r="L48" s="448" t="s">
        <v>1863</v>
      </c>
      <c r="M48" s="197"/>
      <c r="N48" s="289"/>
      <c r="O48" s="289"/>
      <c r="P48" s="289">
        <v>0</v>
      </c>
      <c r="Q48" s="425">
        <f t="shared" si="14"/>
        <v>0</v>
      </c>
      <c r="S48" t="str">
        <f>IF(C66=T3,", EM Hardened","")</f>
        <v/>
      </c>
      <c r="X48">
        <f t="shared" si="5"/>
        <v>4</v>
      </c>
      <c r="Y48">
        <f t="shared" si="6"/>
        <v>47</v>
      </c>
      <c r="Z48">
        <v>12</v>
      </c>
      <c r="AA48" t="s">
        <v>2261</v>
      </c>
      <c r="AB48" s="4">
        <v>401000</v>
      </c>
      <c r="AC48" s="493">
        <v>4</v>
      </c>
      <c r="AD48">
        <f>IF($N$62="No",-20,1)</f>
        <v>1</v>
      </c>
      <c r="AR48">
        <f>IF($N$79="No",-20,1)</f>
        <v>1</v>
      </c>
      <c r="AS48">
        <f>IF($P$62=0,1,IF(AC48&lt;=$P$62,1,-20))</f>
        <v>1</v>
      </c>
      <c r="AV48">
        <f t="shared" si="2"/>
        <v>1</v>
      </c>
      <c r="AW48" s="57">
        <f t="shared" si="7"/>
        <v>47</v>
      </c>
      <c r="AX48" s="57" t="str">
        <f t="shared" si="8"/>
        <v>Buggy Sealed Excursion Air/Raft (JTAS Vol. 7)</v>
      </c>
    </row>
    <row r="49" spans="1:50" ht="16" thickBot="1">
      <c r="A49" s="254" t="s">
        <v>471</v>
      </c>
      <c r="B49" s="254" t="s">
        <v>375</v>
      </c>
      <c r="C49" s="235">
        <v>0</v>
      </c>
      <c r="D49" s="235">
        <v>0</v>
      </c>
      <c r="F49" s="4">
        <f t="shared" ref="F49:F52" si="15">IF(H49&gt;0,H49*200000,0)*IF(A49=$S$57,1,2)</f>
        <v>0</v>
      </c>
      <c r="H49" s="270">
        <f t="shared" ref="H49:H52" si="16">IF(B49="Installed",C49*D49*2,0)</f>
        <v>0</v>
      </c>
      <c r="L49" s="448"/>
      <c r="M49" s="206"/>
      <c r="N49" s="410"/>
      <c r="O49" s="410"/>
      <c r="P49" s="410">
        <v>0</v>
      </c>
      <c r="Q49" s="445">
        <f t="shared" si="14"/>
        <v>0</v>
      </c>
      <c r="X49">
        <f t="shared" si="5"/>
        <v>4</v>
      </c>
      <c r="Y49">
        <f t="shared" si="6"/>
        <v>48</v>
      </c>
      <c r="Z49">
        <v>12</v>
      </c>
      <c r="AA49" t="s">
        <v>1933</v>
      </c>
      <c r="AB49" s="4">
        <v>7320000</v>
      </c>
      <c r="AC49" s="453">
        <v>45</v>
      </c>
      <c r="AD49">
        <f>IF($N$62="No",-20,1)</f>
        <v>1</v>
      </c>
      <c r="AL49">
        <f t="shared" ref="AL49:AL61" si="17">IF($N$73="No",-20,1)</f>
        <v>1</v>
      </c>
      <c r="AS49">
        <f>IF($P$62=0,1,IF(AC49&lt;=$P$62,1,-20))</f>
        <v>1</v>
      </c>
      <c r="AV49">
        <f t="shared" si="2"/>
        <v>1</v>
      </c>
      <c r="AW49" s="57">
        <f t="shared" si="7"/>
        <v>48</v>
      </c>
      <c r="AX49" s="57" t="str">
        <f t="shared" si="8"/>
        <v>Bwap A-Awab Air Tram</v>
      </c>
    </row>
    <row r="50" spans="1:50" ht="16" thickBot="1">
      <c r="A50" s="254" t="s">
        <v>471</v>
      </c>
      <c r="B50" s="254" t="s">
        <v>375</v>
      </c>
      <c r="C50" s="235">
        <v>0</v>
      </c>
      <c r="D50" s="235">
        <v>0</v>
      </c>
      <c r="F50" s="4">
        <f t="shared" si="15"/>
        <v>0</v>
      </c>
      <c r="H50" s="270">
        <f t="shared" si="16"/>
        <v>0</v>
      </c>
      <c r="L50" s="448"/>
      <c r="M50" s="197"/>
      <c r="N50" s="289"/>
      <c r="O50" s="289"/>
      <c r="P50" s="289">
        <v>0</v>
      </c>
      <c r="Q50" s="425">
        <f t="shared" si="14"/>
        <v>0</v>
      </c>
      <c r="X50">
        <f t="shared" si="5"/>
        <v>5</v>
      </c>
      <c r="Y50">
        <f t="shared" si="6"/>
        <v>49</v>
      </c>
      <c r="Z50">
        <v>15</v>
      </c>
      <c r="AA50" t="s">
        <v>1942</v>
      </c>
      <c r="AB50" s="4">
        <v>50474000</v>
      </c>
      <c r="AC50" s="453">
        <v>35</v>
      </c>
      <c r="AD50">
        <f>IF($N$63="No",-20,1)</f>
        <v>1</v>
      </c>
      <c r="AE50">
        <f>IF($N$64="No",-20,1)</f>
        <v>1</v>
      </c>
      <c r="AL50">
        <f t="shared" si="17"/>
        <v>1</v>
      </c>
      <c r="AT50">
        <f>IF($P$63=0,1,IF(AC50&lt;=$P$63,1,-20))</f>
        <v>1</v>
      </c>
      <c r="AV50">
        <f t="shared" si="2"/>
        <v>1</v>
      </c>
      <c r="AW50" s="57">
        <f t="shared" si="7"/>
        <v>49</v>
      </c>
      <c r="AX50" s="57" t="str">
        <f t="shared" si="8"/>
        <v xml:space="preserve">Bwap Apa-Pakwa-Class Medium Fighter </v>
      </c>
    </row>
    <row r="51" spans="1:50" ht="16" thickBot="1">
      <c r="A51" s="254" t="s">
        <v>471</v>
      </c>
      <c r="B51" s="254" t="s">
        <v>375</v>
      </c>
      <c r="C51" s="235">
        <v>0</v>
      </c>
      <c r="D51" s="235">
        <v>0</v>
      </c>
      <c r="F51" s="4">
        <f t="shared" si="15"/>
        <v>0</v>
      </c>
      <c r="H51" s="270">
        <f t="shared" si="16"/>
        <v>0</v>
      </c>
      <c r="L51" s="448"/>
      <c r="M51" s="206"/>
      <c r="N51" s="410"/>
      <c r="O51" s="410"/>
      <c r="P51" s="410">
        <v>0</v>
      </c>
      <c r="Q51" s="445">
        <f t="shared" si="14"/>
        <v>0</v>
      </c>
      <c r="X51">
        <f t="shared" si="5"/>
        <v>4</v>
      </c>
      <c r="Y51">
        <f t="shared" si="6"/>
        <v>50</v>
      </c>
      <c r="Z51">
        <v>12</v>
      </c>
      <c r="AA51" t="s">
        <v>1934</v>
      </c>
      <c r="AB51" s="4">
        <v>2300000</v>
      </c>
      <c r="AC51" s="453">
        <v>20</v>
      </c>
      <c r="AD51">
        <f>IF($N$62="No",-20,1)</f>
        <v>1</v>
      </c>
      <c r="AL51">
        <f t="shared" si="17"/>
        <v>1</v>
      </c>
      <c r="AS51">
        <f>IF($P$62=0,1,IF(AC51&lt;=$P$62,1,-20))</f>
        <v>1</v>
      </c>
      <c r="AV51">
        <f t="shared" si="2"/>
        <v>1</v>
      </c>
      <c r="AW51" s="57">
        <f t="shared" si="7"/>
        <v>50</v>
      </c>
      <c r="AX51" s="57" t="str">
        <f t="shared" si="8"/>
        <v xml:space="preserve">Bwap Betwa-Taa Heavy Ocean Farming Robot </v>
      </c>
    </row>
    <row r="52" spans="1:50" ht="16" thickBot="1">
      <c r="A52" s="254" t="s">
        <v>471</v>
      </c>
      <c r="B52" s="254" t="s">
        <v>375</v>
      </c>
      <c r="C52" s="235">
        <v>0</v>
      </c>
      <c r="D52" s="235">
        <v>0</v>
      </c>
      <c r="F52" s="4">
        <f t="shared" si="15"/>
        <v>0</v>
      </c>
      <c r="H52" s="270">
        <f t="shared" si="16"/>
        <v>0</v>
      </c>
      <c r="L52" s="448"/>
      <c r="M52" s="197"/>
      <c r="N52" s="289"/>
      <c r="O52" s="289"/>
      <c r="P52" s="289">
        <v>0</v>
      </c>
      <c r="Q52" s="425">
        <f t="shared" si="14"/>
        <v>0</v>
      </c>
      <c r="S52" t="s">
        <v>113</v>
      </c>
      <c r="X52">
        <f t="shared" si="5"/>
        <v>4</v>
      </c>
      <c r="Y52">
        <f t="shared" si="6"/>
        <v>51</v>
      </c>
      <c r="Z52">
        <v>10</v>
      </c>
      <c r="AA52" t="s">
        <v>1935</v>
      </c>
      <c r="AB52" s="4">
        <v>523200</v>
      </c>
      <c r="AC52" s="453">
        <v>8.5</v>
      </c>
      <c r="AD52">
        <f>IF($N$62="No",-20,1)</f>
        <v>1</v>
      </c>
      <c r="AL52">
        <f t="shared" si="17"/>
        <v>1</v>
      </c>
      <c r="AS52">
        <f>IF($P$62=0,1,IF(AC52&lt;=$P$62,1,-20))</f>
        <v>1</v>
      </c>
      <c r="AV52">
        <f t="shared" si="2"/>
        <v>1</v>
      </c>
      <c r="AW52" s="57">
        <f t="shared" si="7"/>
        <v>51</v>
      </c>
      <c r="AX52" s="57" t="str">
        <f t="shared" si="8"/>
        <v>Bwap Da-We-Pa War Walker</v>
      </c>
    </row>
    <row r="53" spans="1:50" ht="16" thickBot="1">
      <c r="D53" s="2"/>
      <c r="F53" s="4"/>
      <c r="H53" s="2"/>
      <c r="L53" s="448"/>
      <c r="M53" s="206"/>
      <c r="N53" s="410"/>
      <c r="O53" s="410"/>
      <c r="P53" s="410">
        <v>0</v>
      </c>
      <c r="Q53" s="445">
        <f t="shared" si="14"/>
        <v>0</v>
      </c>
      <c r="S53" t="s">
        <v>375</v>
      </c>
      <c r="X53">
        <f t="shared" si="5"/>
        <v>4</v>
      </c>
      <c r="Y53">
        <f t="shared" si="6"/>
        <v>52</v>
      </c>
      <c r="Z53">
        <v>15</v>
      </c>
      <c r="AA53" t="s">
        <v>1945</v>
      </c>
      <c r="AB53" s="4">
        <v>2231870400</v>
      </c>
      <c r="AC53" s="453">
        <v>5000</v>
      </c>
      <c r="AD53">
        <f>IF($N$65="No",-20,1)</f>
        <v>1</v>
      </c>
      <c r="AL53">
        <f t="shared" si="17"/>
        <v>1</v>
      </c>
      <c r="AU53">
        <f>IF($P$65=0,1,IF(AC53&lt;=$P$65,1,-20))</f>
        <v>1</v>
      </c>
      <c r="AV53">
        <f t="shared" si="2"/>
        <v>1</v>
      </c>
      <c r="AW53" s="57">
        <f t="shared" si="7"/>
        <v>52</v>
      </c>
      <c r="AX53" s="57" t="str">
        <f t="shared" si="8"/>
        <v>Bwap Eaaetatka-Class Monitor</v>
      </c>
    </row>
    <row r="54" spans="1:50" ht="16" thickBot="1">
      <c r="A54" t="s">
        <v>472</v>
      </c>
      <c r="B54" s="254" t="s">
        <v>375</v>
      </c>
      <c r="C54" s="235">
        <v>0</v>
      </c>
      <c r="D54" s="235">
        <v>0</v>
      </c>
      <c r="F54" s="4">
        <f>IF(H54&gt;0,H54*500000,0)</f>
        <v>0</v>
      </c>
      <c r="H54" s="270">
        <f>IF(B54="Installed",C54*D54*10,0)</f>
        <v>0</v>
      </c>
      <c r="K54" s="263">
        <f>H54</f>
        <v>0</v>
      </c>
      <c r="L54" s="448"/>
      <c r="M54" s="197"/>
      <c r="N54" s="289"/>
      <c r="O54" s="289"/>
      <c r="P54" s="289">
        <v>0</v>
      </c>
      <c r="Q54" s="425">
        <f t="shared" si="14"/>
        <v>0</v>
      </c>
      <c r="X54">
        <f t="shared" si="5"/>
        <v>4</v>
      </c>
      <c r="Y54">
        <f t="shared" si="6"/>
        <v>53</v>
      </c>
      <c r="Z54">
        <v>15</v>
      </c>
      <c r="AA54" t="s">
        <v>1943</v>
      </c>
      <c r="AB54" s="4">
        <v>31194000</v>
      </c>
      <c r="AC54" s="453">
        <v>100</v>
      </c>
      <c r="AD54">
        <f>IF($N$65="No",-20,1)</f>
        <v>1</v>
      </c>
      <c r="AL54">
        <f t="shared" si="17"/>
        <v>1</v>
      </c>
      <c r="AU54">
        <f>IF($P$65=0,1,IF(AC54&lt;=$P$65,1,-20))</f>
        <v>1</v>
      </c>
      <c r="AV54">
        <f t="shared" si="2"/>
        <v>1</v>
      </c>
      <c r="AW54" s="57">
        <f t="shared" si="7"/>
        <v>53</v>
      </c>
      <c r="AX54" s="57" t="str">
        <f t="shared" si="8"/>
        <v xml:space="preserve">Bwap Efaweape-Class Scout </v>
      </c>
    </row>
    <row r="55" spans="1:50" ht="16" thickBot="1">
      <c r="A55" t="s">
        <v>472</v>
      </c>
      <c r="B55" s="254" t="s">
        <v>375</v>
      </c>
      <c r="C55" s="235">
        <v>0</v>
      </c>
      <c r="D55" s="235">
        <v>0</v>
      </c>
      <c r="F55" s="4">
        <f t="shared" ref="F55:F58" si="18">IF(H55&gt;0,H55*500000,0)</f>
        <v>0</v>
      </c>
      <c r="H55" s="270">
        <f t="shared" ref="H55:H57" si="19">IF(B55="Installed",C55*D55*10,0)</f>
        <v>0</v>
      </c>
      <c r="K55" s="263">
        <f t="shared" ref="K55:K57" si="20">H55</f>
        <v>0</v>
      </c>
      <c r="L55" s="448"/>
      <c r="M55" s="206"/>
      <c r="N55" s="410"/>
      <c r="O55" s="410"/>
      <c r="P55" s="410">
        <v>0</v>
      </c>
      <c r="Q55" s="445">
        <f t="shared" si="14"/>
        <v>0</v>
      </c>
      <c r="S55" t="s">
        <v>470</v>
      </c>
      <c r="X55">
        <f t="shared" si="5"/>
        <v>4</v>
      </c>
      <c r="Y55">
        <f t="shared" si="6"/>
        <v>54</v>
      </c>
      <c r="Z55">
        <v>9</v>
      </c>
      <c r="AA55" t="s">
        <v>1936</v>
      </c>
      <c r="AB55" s="4">
        <v>982200</v>
      </c>
      <c r="AC55" s="453">
        <v>60</v>
      </c>
      <c r="AD55">
        <f t="shared" ref="AD55:AD60" si="21">IF($N$62="No",-20,1)</f>
        <v>1</v>
      </c>
      <c r="AL55">
        <f t="shared" si="17"/>
        <v>1</v>
      </c>
      <c r="AS55">
        <f t="shared" ref="AS55:AS60" si="22">IF($P$62=0,1,IF(AC55&lt;=$P$62,1,-20))</f>
        <v>1</v>
      </c>
      <c r="AV55">
        <f t="shared" si="2"/>
        <v>1</v>
      </c>
      <c r="AW55" s="57">
        <f t="shared" si="7"/>
        <v>54</v>
      </c>
      <c r="AX55" s="57" t="str">
        <f t="shared" si="8"/>
        <v xml:space="preserve">Bwap Fastas-Ewawab Off-Roader Engine </v>
      </c>
    </row>
    <row r="56" spans="1:50" ht="16" thickBot="1">
      <c r="A56" t="s">
        <v>472</v>
      </c>
      <c r="B56" s="254" t="s">
        <v>375</v>
      </c>
      <c r="C56" s="235">
        <v>0</v>
      </c>
      <c r="D56" s="235">
        <v>0</v>
      </c>
      <c r="F56" s="4">
        <f t="shared" si="18"/>
        <v>0</v>
      </c>
      <c r="H56" s="270">
        <f t="shared" si="19"/>
        <v>0</v>
      </c>
      <c r="K56" s="263">
        <f t="shared" si="20"/>
        <v>0</v>
      </c>
      <c r="L56" s="449"/>
      <c r="M56" s="197"/>
      <c r="N56" s="289"/>
      <c r="O56" s="289"/>
      <c r="P56" s="289">
        <v>0</v>
      </c>
      <c r="Q56" s="426">
        <f>P56*N56</f>
        <v>0</v>
      </c>
      <c r="S56" t="s">
        <v>2161</v>
      </c>
      <c r="X56">
        <f t="shared" si="5"/>
        <v>4</v>
      </c>
      <c r="Y56">
        <f t="shared" si="6"/>
        <v>55</v>
      </c>
      <c r="Z56">
        <v>9</v>
      </c>
      <c r="AA56" t="s">
        <v>1937</v>
      </c>
      <c r="AB56" s="4">
        <v>722000</v>
      </c>
      <c r="AC56" s="453">
        <v>60</v>
      </c>
      <c r="AD56">
        <f t="shared" si="21"/>
        <v>1</v>
      </c>
      <c r="AL56">
        <f t="shared" si="17"/>
        <v>1</v>
      </c>
      <c r="AS56">
        <f t="shared" si="22"/>
        <v>1</v>
      </c>
      <c r="AV56">
        <f t="shared" si="2"/>
        <v>1</v>
      </c>
      <c r="AW56" s="57">
        <f t="shared" si="7"/>
        <v>55</v>
      </c>
      <c r="AX56" s="57" t="str">
        <f t="shared" si="8"/>
        <v>Bwap Fastas-Ewawab Off-Roader Freight Carriage</v>
      </c>
    </row>
    <row r="57" spans="1:50" ht="16" thickBot="1">
      <c r="A57" t="s">
        <v>472</v>
      </c>
      <c r="B57" s="254" t="s">
        <v>375</v>
      </c>
      <c r="C57" s="235">
        <v>0</v>
      </c>
      <c r="D57" s="235">
        <v>0</v>
      </c>
      <c r="F57" s="4">
        <f t="shared" si="18"/>
        <v>0</v>
      </c>
      <c r="H57" s="270">
        <f t="shared" si="19"/>
        <v>0</v>
      </c>
      <c r="K57" s="263">
        <f t="shared" si="20"/>
        <v>0</v>
      </c>
      <c r="O57" s="875" t="str">
        <f>SUM(O27*P27,O28*P28,O29*P29,O30*P30,O31*P31,O32*P32,O33*P33,O34*P34,O35*P35,O36*P36,O37*P37,O38*P38,O39*P39,O40*P40,O41*P41,O42*P42,O43*P43,O44*P44,O45*P45,O46*P46,O47*P47,O48*P48,O49*P49,O50*P50,O51*P51,O52*P52,O53*P53,O54*P54,O55*P55,O56*P56)&amp;" Tons of carried Craft"</f>
        <v>200 Tons of carried Craft</v>
      </c>
      <c r="P57" s="876"/>
      <c r="Q57" s="877"/>
      <c r="S57" t="s">
        <v>471</v>
      </c>
      <c r="X57">
        <f t="shared" si="5"/>
        <v>4</v>
      </c>
      <c r="Y57">
        <f t="shared" si="6"/>
        <v>56</v>
      </c>
      <c r="Z57">
        <v>9</v>
      </c>
      <c r="AA57" t="s">
        <v>1939</v>
      </c>
      <c r="AB57" s="4">
        <v>1630000</v>
      </c>
      <c r="AC57" s="453">
        <v>60</v>
      </c>
      <c r="AD57">
        <f t="shared" si="21"/>
        <v>1</v>
      </c>
      <c r="AL57">
        <f t="shared" si="17"/>
        <v>1</v>
      </c>
      <c r="AS57">
        <f t="shared" si="22"/>
        <v>1</v>
      </c>
      <c r="AV57">
        <f t="shared" si="2"/>
        <v>1</v>
      </c>
      <c r="AW57" s="57">
        <f t="shared" si="7"/>
        <v>56</v>
      </c>
      <c r="AX57" s="57" t="str">
        <f t="shared" si="8"/>
        <v xml:space="preserve">Bwap Fastas-Ewawab Off-Roader Habitat Carriage </v>
      </c>
    </row>
    <row r="58" spans="1:50" ht="16" thickBot="1">
      <c r="A58" t="s">
        <v>472</v>
      </c>
      <c r="B58" s="254" t="s">
        <v>375</v>
      </c>
      <c r="C58" s="235">
        <v>0</v>
      </c>
      <c r="D58" s="235">
        <v>0</v>
      </c>
      <c r="F58" s="4">
        <f t="shared" si="18"/>
        <v>0</v>
      </c>
      <c r="H58" s="270">
        <f>IF(B58="Installed",C58*D58*10,0)</f>
        <v>0</v>
      </c>
      <c r="K58" s="263">
        <f>H58</f>
        <v>0</v>
      </c>
      <c r="M58" s="7" t="s">
        <v>1718</v>
      </c>
      <c r="N58" s="198" t="s">
        <v>100</v>
      </c>
      <c r="S58" t="s">
        <v>2162</v>
      </c>
      <c r="X58">
        <f t="shared" si="5"/>
        <v>4</v>
      </c>
      <c r="Y58">
        <f t="shared" si="6"/>
        <v>57</v>
      </c>
      <c r="Z58">
        <v>9</v>
      </c>
      <c r="AA58" t="s">
        <v>1938</v>
      </c>
      <c r="AB58" s="4">
        <v>1090000</v>
      </c>
      <c r="AC58" s="453">
        <v>60</v>
      </c>
      <c r="AD58">
        <f t="shared" si="21"/>
        <v>1</v>
      </c>
      <c r="AL58">
        <f t="shared" si="17"/>
        <v>1</v>
      </c>
      <c r="AS58">
        <f t="shared" si="22"/>
        <v>1</v>
      </c>
      <c r="AV58">
        <f t="shared" si="2"/>
        <v>1</v>
      </c>
      <c r="AW58" s="57">
        <f t="shared" si="7"/>
        <v>57</v>
      </c>
      <c r="AX58" s="57" t="str">
        <f t="shared" si="8"/>
        <v>Bwap Fastas-Ewawab Off-Roader Laboratory Carriage</v>
      </c>
    </row>
    <row r="59" spans="1:50" ht="16" thickBot="1">
      <c r="F59" s="4"/>
      <c r="H59" s="2"/>
      <c r="X59">
        <f t="shared" si="5"/>
        <v>4</v>
      </c>
      <c r="Y59">
        <f t="shared" si="6"/>
        <v>58</v>
      </c>
      <c r="Z59">
        <v>8</v>
      </c>
      <c r="AA59" t="s">
        <v>1940</v>
      </c>
      <c r="AB59" s="4">
        <v>8100</v>
      </c>
      <c r="AC59" s="453">
        <v>1</v>
      </c>
      <c r="AD59">
        <f t="shared" si="21"/>
        <v>1</v>
      </c>
      <c r="AL59">
        <f t="shared" si="17"/>
        <v>1</v>
      </c>
      <c r="AS59">
        <f t="shared" si="22"/>
        <v>1</v>
      </c>
      <c r="AV59">
        <f t="shared" si="2"/>
        <v>1</v>
      </c>
      <c r="AW59" s="57">
        <f t="shared" si="7"/>
        <v>58</v>
      </c>
      <c r="AX59" s="57" t="str">
        <f t="shared" si="8"/>
        <v>Bwap Pabta Tracked Scooter</v>
      </c>
    </row>
    <row r="60" spans="1:50" ht="16" thickBot="1">
      <c r="A60" t="s">
        <v>473</v>
      </c>
      <c r="B60" s="254" t="s">
        <v>375</v>
      </c>
      <c r="C60" s="235">
        <v>0</v>
      </c>
      <c r="D60" s="235">
        <v>0</v>
      </c>
      <c r="F60" s="4">
        <f>IF(H60&gt;0,H60*500000,0)</f>
        <v>0</v>
      </c>
      <c r="H60" s="270">
        <f>IF(B60="Installed",C60*D60*10,0)</f>
        <v>0</v>
      </c>
      <c r="K60" s="263">
        <f>H60</f>
        <v>0</v>
      </c>
      <c r="M60" s="430" t="s">
        <v>1721</v>
      </c>
      <c r="N60" s="431"/>
      <c r="O60" s="431"/>
      <c r="P60" s="431"/>
      <c r="Q60" s="432"/>
      <c r="S60">
        <f>SUM(H54:H64)</f>
        <v>0</v>
      </c>
      <c r="X60">
        <f t="shared" si="5"/>
        <v>4</v>
      </c>
      <c r="Y60">
        <f t="shared" si="6"/>
        <v>59</v>
      </c>
      <c r="Z60">
        <v>10</v>
      </c>
      <c r="AA60" t="s">
        <v>1941</v>
      </c>
      <c r="AB60" s="4">
        <v>1500000</v>
      </c>
      <c r="AC60" s="453">
        <v>1.5</v>
      </c>
      <c r="AD60">
        <f t="shared" si="21"/>
        <v>1</v>
      </c>
      <c r="AL60">
        <f t="shared" si="17"/>
        <v>1</v>
      </c>
      <c r="AS60">
        <f t="shared" si="22"/>
        <v>1</v>
      </c>
      <c r="AV60">
        <f t="shared" si="2"/>
        <v>1</v>
      </c>
      <c r="AW60" s="57">
        <f t="shared" si="7"/>
        <v>59</v>
      </c>
      <c r="AX60" s="57" t="str">
        <f t="shared" si="8"/>
        <v xml:space="preserve">Bwap Peswab Marsh Hopper </v>
      </c>
    </row>
    <row r="61" spans="1:50" ht="16" thickBot="1">
      <c r="A61" t="s">
        <v>473</v>
      </c>
      <c r="B61" s="254" t="s">
        <v>375</v>
      </c>
      <c r="C61" s="235">
        <v>0</v>
      </c>
      <c r="D61" s="235">
        <v>0</v>
      </c>
      <c r="F61" s="4">
        <f t="shared" ref="F61:F64" si="23">IF(H61&gt;0,H61*500000,0)</f>
        <v>0</v>
      </c>
      <c r="H61" s="270">
        <f t="shared" ref="H61:H63" si="24">IF(B61="Installed",C61*D61*10,0)</f>
        <v>0</v>
      </c>
      <c r="K61" s="263">
        <f t="shared" ref="K61:K63" si="25">H61</f>
        <v>0</v>
      </c>
      <c r="M61" s="7" t="s">
        <v>1722</v>
      </c>
      <c r="N61" s="429" t="s">
        <v>100</v>
      </c>
      <c r="O61" s="9"/>
      <c r="P61" s="428" t="s">
        <v>1725</v>
      </c>
      <c r="Q61" s="428"/>
      <c r="X61">
        <f t="shared" si="5"/>
        <v>4</v>
      </c>
      <c r="Y61">
        <f t="shared" si="6"/>
        <v>60</v>
      </c>
      <c r="Z61">
        <v>15</v>
      </c>
      <c r="AA61" t="s">
        <v>1944</v>
      </c>
      <c r="AB61" s="4">
        <v>262493100</v>
      </c>
      <c r="AC61" s="453">
        <v>600</v>
      </c>
      <c r="AD61">
        <f>IF($N$65="No",-20,1)</f>
        <v>1</v>
      </c>
      <c r="AL61">
        <f t="shared" si="17"/>
        <v>1</v>
      </c>
      <c r="AU61">
        <f>IF($P$65=0,1,IF(AC61&lt;=$P$65,1,-20))</f>
        <v>1</v>
      </c>
      <c r="AV61">
        <f t="shared" si="2"/>
        <v>1</v>
      </c>
      <c r="AW61" s="57">
        <f t="shared" si="7"/>
        <v>60</v>
      </c>
      <c r="AX61" s="57" t="str">
        <f t="shared" si="8"/>
        <v>Bwap Tabewarke-Class System Defense Boat</v>
      </c>
    </row>
    <row r="62" spans="1:50" ht="16" thickBot="1">
      <c r="A62" t="s">
        <v>473</v>
      </c>
      <c r="B62" s="254" t="s">
        <v>375</v>
      </c>
      <c r="C62" s="235">
        <v>0</v>
      </c>
      <c r="D62" s="235">
        <v>0</v>
      </c>
      <c r="F62" s="4">
        <f t="shared" si="23"/>
        <v>0</v>
      </c>
      <c r="H62" s="270">
        <f t="shared" si="24"/>
        <v>0</v>
      </c>
      <c r="K62" s="263">
        <f t="shared" si="25"/>
        <v>0</v>
      </c>
      <c r="M62" s="7" t="s">
        <v>1728</v>
      </c>
      <c r="N62" s="198" t="s">
        <v>100</v>
      </c>
      <c r="O62" s="7" t="s">
        <v>1723</v>
      </c>
      <c r="P62" s="873">
        <v>0</v>
      </c>
      <c r="Q62" s="874"/>
      <c r="X62">
        <f t="shared" si="5"/>
        <v>4</v>
      </c>
      <c r="Y62">
        <f t="shared" si="6"/>
        <v>61</v>
      </c>
      <c r="Z62">
        <v>10</v>
      </c>
      <c r="AA62" t="s">
        <v>2293</v>
      </c>
      <c r="AB62" s="4">
        <v>178000</v>
      </c>
      <c r="AC62" s="493">
        <v>5</v>
      </c>
      <c r="AD62">
        <f>IF($N$62="No",-20,1)</f>
        <v>1</v>
      </c>
      <c r="AR62">
        <f>IF($N$79="No",-20,1)</f>
        <v>1</v>
      </c>
      <c r="AS62">
        <f>IF($P$62=0,1,IF(AC62&lt;=$P$62,1,-20))</f>
        <v>1</v>
      </c>
      <c r="AV62">
        <f t="shared" si="2"/>
        <v>1</v>
      </c>
      <c r="AW62" s="57">
        <f t="shared" si="7"/>
        <v>61</v>
      </c>
      <c r="AX62" s="57" t="str">
        <f t="shared" si="8"/>
        <v>Cabin Rover (JTAS Vol. 15)</v>
      </c>
    </row>
    <row r="63" spans="1:50" ht="17" thickBot="1">
      <c r="A63" t="s">
        <v>473</v>
      </c>
      <c r="B63" s="254" t="s">
        <v>375</v>
      </c>
      <c r="C63" s="235">
        <v>0</v>
      </c>
      <c r="D63" s="235">
        <v>0</v>
      </c>
      <c r="F63" s="4">
        <f t="shared" si="23"/>
        <v>0</v>
      </c>
      <c r="H63" s="270">
        <f t="shared" si="24"/>
        <v>0</v>
      </c>
      <c r="K63" s="263">
        <f t="shared" si="25"/>
        <v>0</v>
      </c>
      <c r="M63" s="7" t="s">
        <v>1729</v>
      </c>
      <c r="N63" s="198" t="s">
        <v>100</v>
      </c>
      <c r="O63" s="7" t="s">
        <v>1723</v>
      </c>
      <c r="P63" s="873">
        <v>0</v>
      </c>
      <c r="Q63" s="874"/>
      <c r="X63">
        <f t="shared" si="5"/>
        <v>3</v>
      </c>
      <c r="Y63">
        <f t="shared" si="6"/>
        <v>62</v>
      </c>
      <c r="Z63" s="459">
        <v>12</v>
      </c>
      <c r="AA63" s="459" t="s">
        <v>2316</v>
      </c>
      <c r="AB63" s="460">
        <v>23390000</v>
      </c>
      <c r="AC63" s="461">
        <v>60</v>
      </c>
      <c r="AD63">
        <f>IF($N$63="No",-20,1)</f>
        <v>1</v>
      </c>
      <c r="AT63">
        <f>IF($P$63=0,1,IF(AC63&lt;=$P$63,1,-20))</f>
        <v>1</v>
      </c>
      <c r="AV63">
        <f t="shared" si="2"/>
        <v>1</v>
      </c>
      <c r="AW63" s="57">
        <f t="shared" si="7"/>
        <v>62</v>
      </c>
      <c r="AX63" s="57" t="str">
        <f t="shared" si="8"/>
        <v>Calefaction Emergency Ascent Vehicle (Mysteries of the Ancients)</v>
      </c>
    </row>
    <row r="64" spans="1:50" ht="16" thickBot="1">
      <c r="A64" t="s">
        <v>473</v>
      </c>
      <c r="B64" s="254" t="s">
        <v>375</v>
      </c>
      <c r="C64" s="235">
        <v>0</v>
      </c>
      <c r="D64" s="235">
        <v>0</v>
      </c>
      <c r="F64" s="4">
        <f t="shared" si="23"/>
        <v>0</v>
      </c>
      <c r="H64" s="270">
        <f>IF(B64="Installed",C64*D64*10,0)</f>
        <v>0</v>
      </c>
      <c r="K64" s="263">
        <f>H64</f>
        <v>0</v>
      </c>
      <c r="M64" s="7" t="s">
        <v>1827</v>
      </c>
      <c r="N64" s="198" t="s">
        <v>100</v>
      </c>
      <c r="O64" s="7"/>
      <c r="P64" s="436"/>
      <c r="Q64" s="436"/>
      <c r="X64">
        <f t="shared" si="5"/>
        <v>4</v>
      </c>
      <c r="Y64">
        <f t="shared" si="6"/>
        <v>63</v>
      </c>
      <c r="Z64">
        <v>8</v>
      </c>
      <c r="AA64" t="s">
        <v>1736</v>
      </c>
      <c r="AB64" s="4">
        <v>70000</v>
      </c>
      <c r="AC64">
        <v>3</v>
      </c>
      <c r="AD64">
        <f>IF($N$62="No",-20,1)</f>
        <v>1</v>
      </c>
      <c r="AI64">
        <f>IF($N$70="No",-20,1)</f>
        <v>1</v>
      </c>
      <c r="AS64">
        <f>IF($P$62=0,1,IF(AC64&lt;=$P$62,1,-20))</f>
        <v>1</v>
      </c>
      <c r="AV64">
        <f t="shared" si="2"/>
        <v>1</v>
      </c>
      <c r="AW64" s="57">
        <f t="shared" si="7"/>
        <v>63</v>
      </c>
      <c r="AX64" s="57" t="str">
        <f t="shared" si="8"/>
        <v>Cargo Lifter</v>
      </c>
    </row>
    <row r="65" spans="2:50" ht="16" thickBot="1">
      <c r="M65" s="102" t="s">
        <v>1730</v>
      </c>
      <c r="N65" s="205" t="s">
        <v>100</v>
      </c>
      <c r="O65" s="102" t="s">
        <v>1724</v>
      </c>
      <c r="P65" s="871">
        <v>0</v>
      </c>
      <c r="Q65" s="872"/>
      <c r="S65" s="3" t="s">
        <v>1597</v>
      </c>
      <c r="U65" t="s">
        <v>2360</v>
      </c>
      <c r="X65">
        <f t="shared" si="5"/>
        <v>4</v>
      </c>
      <c r="Y65">
        <f t="shared" si="6"/>
        <v>64</v>
      </c>
      <c r="Z65">
        <v>12</v>
      </c>
      <c r="AA65" t="s">
        <v>1971</v>
      </c>
      <c r="AB65" s="4">
        <v>11780000</v>
      </c>
      <c r="AC65" s="453">
        <v>100</v>
      </c>
      <c r="AD65">
        <f>IF($N$65="No",-20,1)</f>
        <v>1</v>
      </c>
      <c r="AN65">
        <f>IF($N$75="No",-20,1)</f>
        <v>1</v>
      </c>
      <c r="AU65">
        <f>IF($P$65=0,1,IF(AC65&lt;=$P$65,1,-20))</f>
        <v>1</v>
      </c>
      <c r="AV65">
        <f t="shared" si="2"/>
        <v>1</v>
      </c>
      <c r="AW65" s="57">
        <f t="shared" si="7"/>
        <v>64</v>
      </c>
      <c r="AX65" s="57" t="str">
        <f t="shared" si="8"/>
        <v xml:space="preserve">Cargo Lighter </v>
      </c>
    </row>
    <row r="66" spans="2:50" ht="16" thickBot="1">
      <c r="B66" s="1" t="s">
        <v>488</v>
      </c>
      <c r="C66" s="198" t="s">
        <v>99</v>
      </c>
      <c r="F66" s="4">
        <f>IF(C66="Yes",0.5*SUM(F54:F64),0)</f>
        <v>0</v>
      </c>
      <c r="M66" s="22"/>
      <c r="N66" s="22"/>
      <c r="O66" s="102" t="s">
        <v>1723</v>
      </c>
      <c r="P66" s="871">
        <v>0</v>
      </c>
      <c r="Q66" s="872"/>
      <c r="S66" s="121" t="str">
        <f>""</f>
        <v/>
      </c>
      <c r="U66">
        <f>SUMIF('8a-Weapons'!AB31:AB47,'9a-Optional'!S65,'8a-Weapons'!AA31:AA47)</f>
        <v>0</v>
      </c>
      <c r="X66">
        <f t="shared" si="5"/>
        <v>4</v>
      </c>
      <c r="Y66">
        <f t="shared" si="6"/>
        <v>65</v>
      </c>
      <c r="Z66">
        <v>12</v>
      </c>
      <c r="AA66" t="s">
        <v>1794</v>
      </c>
      <c r="AB66" s="4">
        <v>5690000</v>
      </c>
      <c r="AC66">
        <v>40</v>
      </c>
      <c r="AD66">
        <f>IF($N$63="No",-20,1)</f>
        <v>1</v>
      </c>
      <c r="AG66">
        <f>IF($N$68="No",-20,1)</f>
        <v>1</v>
      </c>
      <c r="AT66">
        <f>IF($P$63=0,1,IF(AC66&lt;=$P$63,1,-20))</f>
        <v>1</v>
      </c>
      <c r="AV66">
        <f t="shared" si="2"/>
        <v>1</v>
      </c>
      <c r="AW66" s="57">
        <f t="shared" si="7"/>
        <v>65</v>
      </c>
      <c r="AX66" s="57" t="str">
        <f t="shared" si="8"/>
        <v>Cargo Shuttle (SCC)</v>
      </c>
    </row>
    <row r="67" spans="2:50" ht="16" thickBot="1">
      <c r="M67" s="7" t="s">
        <v>1726</v>
      </c>
      <c r="N67" s="198" t="s">
        <v>100</v>
      </c>
      <c r="S67" s="122" t="str">
        <f>IF(U66=0,"","GP Mass Driver Added Capacity")</f>
        <v/>
      </c>
      <c r="T67">
        <v>75000</v>
      </c>
      <c r="U67">
        <v>3</v>
      </c>
      <c r="X67">
        <f t="shared" si="5"/>
        <v>4</v>
      </c>
      <c r="Y67">
        <f t="shared" si="6"/>
        <v>66</v>
      </c>
      <c r="Z67">
        <v>15</v>
      </c>
      <c r="AA67" t="s">
        <v>2285</v>
      </c>
      <c r="AB67" s="4">
        <v>100440000</v>
      </c>
      <c r="AC67" s="493">
        <v>100</v>
      </c>
      <c r="AD67">
        <f>IF($N$62="No",-20,1)</f>
        <v>1</v>
      </c>
      <c r="AR67">
        <f>IF($N$79="No",-20,1)</f>
        <v>1</v>
      </c>
      <c r="AS67">
        <f>IF($P$62=0,1,IF(AC67&lt;=$P$62,1,-20))</f>
        <v>1</v>
      </c>
      <c r="AV67">
        <f t="shared" ref="AV67:AV130" si="26">IF($N$61="Yes",1,IF(Z67&gt;TL,-20,1))</f>
        <v>1</v>
      </c>
      <c r="AW67" s="57">
        <f t="shared" si="7"/>
        <v>66</v>
      </c>
      <c r="AX67" s="57" t="str">
        <f t="shared" si="8"/>
        <v>Cargo Submarine (JTAS Vol. 13)</v>
      </c>
    </row>
    <row r="68" spans="2:50" ht="17" thickBot="1">
      <c r="M68" s="7" t="s">
        <v>1727</v>
      </c>
      <c r="N68" s="198" t="s">
        <v>100</v>
      </c>
      <c r="X68">
        <f t="shared" ref="X68:X131" si="27">SUM(AD68:AV68)</f>
        <v>3</v>
      </c>
      <c r="Y68">
        <f t="shared" ref="Y68:Y131" si="28">IF(X68&gt;0,Y67+1,Y67)</f>
        <v>67</v>
      </c>
      <c r="Z68" s="459">
        <v>7</v>
      </c>
      <c r="AA68" s="459" t="s">
        <v>2370</v>
      </c>
      <c r="AB68" s="460">
        <v>11830000</v>
      </c>
      <c r="AC68" s="461">
        <v>110</v>
      </c>
      <c r="AD68">
        <f>IF($N$62="No",-20,1)</f>
        <v>1</v>
      </c>
      <c r="AS68">
        <f>IF($P$62=0,1,IF(AC68&lt;=$P$62,1,-20))</f>
        <v>1</v>
      </c>
      <c r="AV68">
        <f t="shared" si="26"/>
        <v>1</v>
      </c>
      <c r="AW68" s="57">
        <f t="shared" ref="AW68:AW131" si="29">AW67+1</f>
        <v>67</v>
      </c>
      <c r="AX68" s="57" t="str">
        <f t="shared" ref="AX68:AX131" si="30">IF(AW68&gt;$AW$1,"",INDEX($Y$2:$AA$482,MATCH(AW68,$Y$2:$Y$482,0),3))</f>
        <v>Cargo Submarine (Reach Adventure 3)</v>
      </c>
    </row>
    <row r="69" spans="2:50" ht="16" thickBot="1">
      <c r="M69" s="7" t="s">
        <v>1742</v>
      </c>
      <c r="N69" s="198" t="s">
        <v>100</v>
      </c>
      <c r="X69">
        <f t="shared" si="27"/>
        <v>4</v>
      </c>
      <c r="Y69">
        <f t="shared" si="28"/>
        <v>68</v>
      </c>
      <c r="Z69">
        <v>15</v>
      </c>
      <c r="AA69" t="s">
        <v>1837</v>
      </c>
      <c r="AB69" s="4">
        <v>35251000</v>
      </c>
      <c r="AC69">
        <v>70</v>
      </c>
      <c r="AD69">
        <f>IF($N$63="No",-20,1)</f>
        <v>1</v>
      </c>
      <c r="AG69">
        <f>IF($N$68="No",-20,1)</f>
        <v>1</v>
      </c>
      <c r="AT69">
        <f>IF($P$63=0,1,IF(AC69&lt;=$P$63,1,-20))</f>
        <v>1</v>
      </c>
      <c r="AV69">
        <f t="shared" si="26"/>
        <v>1</v>
      </c>
      <c r="AW69" s="57">
        <f t="shared" si="29"/>
        <v>68</v>
      </c>
      <c r="AX69" s="57" t="str">
        <f t="shared" si="30"/>
        <v>Cargo Transport</v>
      </c>
    </row>
    <row r="70" spans="2:50" ht="16" thickBot="1">
      <c r="M70" s="7" t="s">
        <v>1845</v>
      </c>
      <c r="N70" s="198" t="s">
        <v>100</v>
      </c>
      <c r="X70">
        <f t="shared" si="27"/>
        <v>4</v>
      </c>
      <c r="Y70">
        <f t="shared" si="28"/>
        <v>69</v>
      </c>
      <c r="Z70">
        <v>13</v>
      </c>
      <c r="AA70" t="s">
        <v>1830</v>
      </c>
      <c r="AB70" s="4">
        <v>13545000</v>
      </c>
      <c r="AC70">
        <v>20</v>
      </c>
      <c r="AD70">
        <f>IF($N$63="No",-20,1)</f>
        <v>1</v>
      </c>
      <c r="AG70">
        <f>IF($N$68="No",-20,1)</f>
        <v>1</v>
      </c>
      <c r="AT70">
        <f>IF($P$63=0,1,IF(AC70&lt;=$P$63,1,-20))</f>
        <v>1</v>
      </c>
      <c r="AV70">
        <f t="shared" si="26"/>
        <v>1</v>
      </c>
      <c r="AW70" s="57">
        <f t="shared" si="29"/>
        <v>69</v>
      </c>
      <c r="AX70" s="57" t="str">
        <f t="shared" si="30"/>
        <v>Carrier Support Craft</v>
      </c>
    </row>
    <row r="71" spans="2:50" ht="16" thickBot="1">
      <c r="M71" s="7" t="s">
        <v>1869</v>
      </c>
      <c r="N71" s="198" t="s">
        <v>100</v>
      </c>
      <c r="X71">
        <f t="shared" si="27"/>
        <v>3</v>
      </c>
      <c r="Y71">
        <f t="shared" si="28"/>
        <v>70</v>
      </c>
      <c r="Z71">
        <v>12</v>
      </c>
      <c r="AA71" t="s">
        <v>2035</v>
      </c>
      <c r="AB71" s="4">
        <v>72050000</v>
      </c>
      <c r="AC71" s="453">
        <v>100</v>
      </c>
      <c r="AD71">
        <f>IF($N$65="No",-20,1)</f>
        <v>1</v>
      </c>
      <c r="AU71">
        <f>IF($P$65=0,1,IF(AC71&lt;=$P$65,1,-20))</f>
        <v>1</v>
      </c>
      <c r="AV71">
        <f t="shared" si="26"/>
        <v>1</v>
      </c>
      <c r="AW71" s="57">
        <f t="shared" si="29"/>
        <v>70</v>
      </c>
      <c r="AX71" s="57" t="str">
        <f t="shared" si="30"/>
        <v>Cestion Strike Boat</v>
      </c>
    </row>
    <row r="72" spans="2:50" ht="17" thickBot="1">
      <c r="M72" s="7" t="s">
        <v>1870</v>
      </c>
      <c r="N72" s="198" t="s">
        <v>100</v>
      </c>
      <c r="X72">
        <f t="shared" si="27"/>
        <v>3</v>
      </c>
      <c r="Y72">
        <f t="shared" si="28"/>
        <v>71</v>
      </c>
      <c r="Z72" s="459">
        <v>12</v>
      </c>
      <c r="AA72" s="459" t="s">
        <v>2099</v>
      </c>
      <c r="AB72" s="460">
        <v>72050000</v>
      </c>
      <c r="AC72" s="461">
        <v>100</v>
      </c>
      <c r="AD72">
        <f>IF($N$65="No",-20,1)</f>
        <v>1</v>
      </c>
      <c r="AU72">
        <f>IF($P$65=0,1,IF(AC72&lt;=$P$65,1,-20))</f>
        <v>1</v>
      </c>
      <c r="AV72">
        <f t="shared" si="26"/>
        <v>1</v>
      </c>
      <c r="AW72" s="57">
        <f t="shared" si="29"/>
        <v>71</v>
      </c>
      <c r="AX72" s="57" t="str">
        <f t="shared" si="30"/>
        <v>Cestion Strike Boat (DC)</v>
      </c>
    </row>
    <row r="73" spans="2:50" ht="16" thickBot="1">
      <c r="M73" s="7" t="s">
        <v>1871</v>
      </c>
      <c r="N73" s="198" t="s">
        <v>100</v>
      </c>
      <c r="X73">
        <f t="shared" si="27"/>
        <v>3</v>
      </c>
      <c r="Y73">
        <f t="shared" si="28"/>
        <v>72</v>
      </c>
      <c r="Z73">
        <v>10</v>
      </c>
      <c r="AA73" t="s">
        <v>2172</v>
      </c>
      <c r="AB73" s="4">
        <v>309000</v>
      </c>
      <c r="AC73" s="493">
        <v>16</v>
      </c>
      <c r="AD73">
        <f>IF($N$62="No",-20,1)</f>
        <v>1</v>
      </c>
      <c r="AS73">
        <f>IF($P$62=0,1,IF(AC73&lt;=$P$62,1,-20))</f>
        <v>1</v>
      </c>
      <c r="AV73">
        <f t="shared" si="26"/>
        <v>1</v>
      </c>
      <c r="AW73" s="57">
        <f t="shared" si="29"/>
        <v>72</v>
      </c>
      <c r="AX73" s="57" t="str">
        <f t="shared" si="30"/>
        <v>Chagride Grav Sled (Field Catalogue)</v>
      </c>
    </row>
    <row r="74" spans="2:50" ht="17" thickBot="1">
      <c r="M74" s="7" t="s">
        <v>1872</v>
      </c>
      <c r="N74" s="198" t="s">
        <v>100</v>
      </c>
      <c r="X74">
        <f t="shared" si="27"/>
        <v>3</v>
      </c>
      <c r="Y74">
        <f t="shared" si="28"/>
        <v>73</v>
      </c>
      <c r="Z74" s="459">
        <v>12</v>
      </c>
      <c r="AA74" s="459" t="s">
        <v>2382</v>
      </c>
      <c r="AB74" s="460">
        <v>75500</v>
      </c>
      <c r="AC74" s="461">
        <v>1.5</v>
      </c>
      <c r="AD74">
        <f>IF($N$62="No",-20,1)</f>
        <v>1</v>
      </c>
      <c r="AS74">
        <f>IF($P$62=0,1,IF(AC74&lt;=$P$62,1,-20))</f>
        <v>1</v>
      </c>
      <c r="AV74">
        <f t="shared" si="26"/>
        <v>1</v>
      </c>
      <c r="AW74" s="57">
        <f t="shared" si="29"/>
        <v>73</v>
      </c>
      <c r="AX74" s="57" t="str">
        <f t="shared" si="30"/>
        <v>Chipmunk Personal Transport (Rim Expeditions)</v>
      </c>
    </row>
    <row r="75" spans="2:50" ht="16" thickBot="1">
      <c r="M75" s="7" t="s">
        <v>1873</v>
      </c>
      <c r="N75" s="198" t="s">
        <v>100</v>
      </c>
      <c r="X75">
        <f t="shared" si="27"/>
        <v>4</v>
      </c>
      <c r="Y75">
        <f t="shared" si="28"/>
        <v>74</v>
      </c>
      <c r="Z75">
        <v>9</v>
      </c>
      <c r="AA75" t="s">
        <v>1793</v>
      </c>
      <c r="AB75" s="4">
        <v>660300</v>
      </c>
      <c r="AC75">
        <v>6</v>
      </c>
      <c r="AD75">
        <f>IF($N$63="No",-20,1)</f>
        <v>1</v>
      </c>
      <c r="AG75">
        <f>IF($N$68="No",-20,1)</f>
        <v>1</v>
      </c>
      <c r="AT75">
        <f>IF($P$63=0,1,IF(AC75&lt;=$P$63,1,-20))</f>
        <v>1</v>
      </c>
      <c r="AV75">
        <f t="shared" si="26"/>
        <v>1</v>
      </c>
      <c r="AW75" s="57">
        <f t="shared" si="29"/>
        <v>74</v>
      </c>
      <c r="AX75" s="57" t="str">
        <f t="shared" si="30"/>
        <v>Civilian Hopper</v>
      </c>
    </row>
    <row r="76" spans="2:50" ht="17" thickBot="1">
      <c r="M76" s="7" t="s">
        <v>2074</v>
      </c>
      <c r="N76" s="198" t="s">
        <v>100</v>
      </c>
      <c r="X76">
        <f t="shared" si="27"/>
        <v>5</v>
      </c>
      <c r="Y76">
        <f t="shared" si="28"/>
        <v>75</v>
      </c>
      <c r="Z76" s="459">
        <v>12</v>
      </c>
      <c r="AA76" s="459" t="s">
        <v>2058</v>
      </c>
      <c r="AB76" s="460">
        <v>2168000</v>
      </c>
      <c r="AC76" s="461">
        <v>6</v>
      </c>
      <c r="AD76">
        <f>IF($N$63="No",-20,1)</f>
        <v>1</v>
      </c>
      <c r="AE76">
        <f>IF($N$64="No",-20,1)</f>
        <v>1</v>
      </c>
      <c r="AQ76">
        <f>IF($N$78="No",-20,1)</f>
        <v>1</v>
      </c>
      <c r="AT76">
        <f>IF($P$63=0,1,IF(AC76&lt;=$P$63,1,-20))</f>
        <v>1</v>
      </c>
      <c r="AV76">
        <f t="shared" si="26"/>
        <v>1</v>
      </c>
      <c r="AW76" s="57">
        <f t="shared" si="29"/>
        <v>75</v>
      </c>
      <c r="AX76" s="57" t="str">
        <f t="shared" si="30"/>
        <v>Commonwealth F-3A4 Reaction Drive Interceptor (DR:TFSON)</v>
      </c>
    </row>
    <row r="77" spans="2:50" ht="17" thickBot="1">
      <c r="M77" s="7" t="s">
        <v>2031</v>
      </c>
      <c r="N77" s="198" t="s">
        <v>100</v>
      </c>
      <c r="X77">
        <f t="shared" si="27"/>
        <v>4</v>
      </c>
      <c r="Y77">
        <f t="shared" si="28"/>
        <v>76</v>
      </c>
      <c r="Z77" s="459">
        <v>12</v>
      </c>
      <c r="AA77" s="459" t="s">
        <v>2059</v>
      </c>
      <c r="AB77" s="460">
        <v>26116000</v>
      </c>
      <c r="AC77" s="461">
        <v>70</v>
      </c>
      <c r="AD77">
        <f>IF($N$63="No",-20,1)</f>
        <v>1</v>
      </c>
      <c r="AQ77">
        <f>IF($N$78="No",-20,1)</f>
        <v>1</v>
      </c>
      <c r="AT77">
        <f>IF($P$63=0,1,IF(AC77&lt;=$P$63,1,-20))</f>
        <v>1</v>
      </c>
      <c r="AV77">
        <f t="shared" si="26"/>
        <v>1</v>
      </c>
      <c r="AW77" s="57">
        <f t="shared" si="29"/>
        <v>76</v>
      </c>
      <c r="AX77" s="57" t="str">
        <f t="shared" si="30"/>
        <v>Commonwealth U-27 Hybrid Support Vessel (DR:TFSON)</v>
      </c>
    </row>
    <row r="78" spans="2:50" ht="16" thickBot="1">
      <c r="M78" s="7" t="s">
        <v>2063</v>
      </c>
      <c r="N78" s="198" t="s">
        <v>100</v>
      </c>
      <c r="X78">
        <f t="shared" si="27"/>
        <v>4</v>
      </c>
      <c r="Y78">
        <f t="shared" si="28"/>
        <v>77</v>
      </c>
      <c r="Z78">
        <v>13</v>
      </c>
      <c r="AA78" t="s">
        <v>1833</v>
      </c>
      <c r="AB78" s="4">
        <v>58750000</v>
      </c>
      <c r="AC78">
        <v>40</v>
      </c>
      <c r="AD78">
        <f>IF($N$63="No",-20,1)</f>
        <v>1</v>
      </c>
      <c r="AG78">
        <f>IF($N$68="No",-20,1)</f>
        <v>1</v>
      </c>
      <c r="AT78">
        <f>IF($P$63=0,1,IF(AC78&lt;=$P$63,1,-20))</f>
        <v>1</v>
      </c>
      <c r="AV78">
        <f t="shared" si="26"/>
        <v>1</v>
      </c>
      <c r="AW78" s="57">
        <f t="shared" si="29"/>
        <v>77</v>
      </c>
      <c r="AX78" s="57" t="str">
        <f t="shared" si="30"/>
        <v>Covert Insertion Boat</v>
      </c>
    </row>
    <row r="79" spans="2:50" ht="16" thickBot="1">
      <c r="M79" s="7" t="s">
        <v>2259</v>
      </c>
      <c r="N79" s="198" t="s">
        <v>100</v>
      </c>
      <c r="X79">
        <f t="shared" si="27"/>
        <v>4</v>
      </c>
      <c r="Y79">
        <f t="shared" si="28"/>
        <v>78</v>
      </c>
      <c r="Z79">
        <v>10</v>
      </c>
      <c r="AA79" t="s">
        <v>1977</v>
      </c>
      <c r="AB79" s="4">
        <v>58000</v>
      </c>
      <c r="AC79" s="453">
        <v>3</v>
      </c>
      <c r="AD79">
        <f>IF($N$62="No",-20,1)</f>
        <v>1</v>
      </c>
      <c r="AO79">
        <f>IF($N$76="No",-20,1)</f>
        <v>1</v>
      </c>
      <c r="AS79">
        <f>IF($P$62=0,1,IF(AC79&lt;=$P$62,1,-20))</f>
        <v>1</v>
      </c>
      <c r="AV79">
        <f t="shared" si="26"/>
        <v>1</v>
      </c>
      <c r="AW79" s="57">
        <f t="shared" si="29"/>
        <v>78</v>
      </c>
      <c r="AX79" s="57" t="str">
        <f t="shared" si="30"/>
        <v>Cryo-Truck</v>
      </c>
    </row>
    <row r="80" spans="2:50">
      <c r="X80">
        <f t="shared" si="27"/>
        <v>4</v>
      </c>
      <c r="Y80">
        <f t="shared" si="28"/>
        <v>79</v>
      </c>
      <c r="Z80">
        <v>10</v>
      </c>
      <c r="AA80" t="s">
        <v>1808</v>
      </c>
      <c r="AB80" s="4">
        <v>10980000</v>
      </c>
      <c r="AC80">
        <v>20</v>
      </c>
      <c r="AD80">
        <f>IF($N$63="No",-20,1)</f>
        <v>1</v>
      </c>
      <c r="AG80">
        <f>IF($N$68="No",-20,1)</f>
        <v>1</v>
      </c>
      <c r="AT80">
        <f>IF($P$63=0,1,IF(AC80&lt;=$P$63,1,-20))</f>
        <v>1</v>
      </c>
      <c r="AV80">
        <f t="shared" si="26"/>
        <v>1</v>
      </c>
      <c r="AW80" s="57">
        <f t="shared" si="29"/>
        <v>79</v>
      </c>
      <c r="AX80" s="57" t="str">
        <f t="shared" si="30"/>
        <v>Customs Launch</v>
      </c>
    </row>
    <row r="81" spans="24:50">
      <c r="X81">
        <f t="shared" si="27"/>
        <v>4</v>
      </c>
      <c r="Y81">
        <f t="shared" si="28"/>
        <v>80</v>
      </c>
      <c r="Z81">
        <v>11</v>
      </c>
      <c r="AA81" t="s">
        <v>1814</v>
      </c>
      <c r="AB81" s="4">
        <v>22657500</v>
      </c>
      <c r="AC81">
        <v>50</v>
      </c>
      <c r="AD81">
        <f>IF($N$63="No",-20,1)</f>
        <v>1</v>
      </c>
      <c r="AG81">
        <f>IF($N$68="No",-20,1)</f>
        <v>1</v>
      </c>
      <c r="AT81">
        <f>IF($P$63=0,1,IF(AC81&lt;=$P$63,1,-20))</f>
        <v>1</v>
      </c>
      <c r="AV81">
        <f t="shared" si="26"/>
        <v>1</v>
      </c>
      <c r="AW81" s="57">
        <f t="shared" si="29"/>
        <v>80</v>
      </c>
      <c r="AX81" s="57" t="str">
        <f t="shared" si="30"/>
        <v>Customs Patrol Boat</v>
      </c>
    </row>
    <row r="82" spans="24:50">
      <c r="X82">
        <f t="shared" si="27"/>
        <v>5</v>
      </c>
      <c r="Y82">
        <f t="shared" si="28"/>
        <v>81</v>
      </c>
      <c r="Z82">
        <v>11</v>
      </c>
      <c r="AA82" t="s">
        <v>1820</v>
      </c>
      <c r="AB82" s="4">
        <v>13861000</v>
      </c>
      <c r="AC82">
        <v>10</v>
      </c>
      <c r="AD82">
        <f>IF($N$63="No",-20,1)</f>
        <v>1</v>
      </c>
      <c r="AE82">
        <f>IF($N$64="No",-20,1)</f>
        <v>1</v>
      </c>
      <c r="AG82">
        <f>IF($N$68="No",-20,1)</f>
        <v>1</v>
      </c>
      <c r="AT82">
        <f>IF($P$63=0,1,IF(AC82&lt;=$P$63,1,-20))</f>
        <v>1</v>
      </c>
      <c r="AV82">
        <f t="shared" si="26"/>
        <v>1</v>
      </c>
      <c r="AW82" s="57">
        <f t="shared" si="29"/>
        <v>81</v>
      </c>
      <c r="AX82" s="57" t="str">
        <f t="shared" si="30"/>
        <v>Cyclone Ground Attack Fighter</v>
      </c>
    </row>
    <row r="83" spans="24:50" ht="16">
      <c r="X83">
        <f t="shared" si="27"/>
        <v>3</v>
      </c>
      <c r="Y83">
        <f t="shared" si="28"/>
        <v>82</v>
      </c>
      <c r="Z83" s="459">
        <v>13</v>
      </c>
      <c r="AA83" s="459" t="s">
        <v>2400</v>
      </c>
      <c r="AB83" s="460">
        <v>6606000</v>
      </c>
      <c r="AC83" s="461">
        <v>20</v>
      </c>
      <c r="AD83">
        <f>IF($N$63="No",-20,1)</f>
        <v>1</v>
      </c>
      <c r="AT83">
        <f>IF($P$63=0,1,IF(AC83&lt;=$P$63,1,-20))</f>
        <v>1</v>
      </c>
      <c r="AV83">
        <f t="shared" si="26"/>
        <v>1</v>
      </c>
      <c r="AW83" s="57">
        <f t="shared" si="29"/>
        <v>82</v>
      </c>
      <c r="AX83" s="57" t="str">
        <f t="shared" si="30"/>
        <v>Darlene-Class Gig (Traders and Gunboats)</v>
      </c>
    </row>
    <row r="84" spans="24:50">
      <c r="X84">
        <f t="shared" si="27"/>
        <v>4</v>
      </c>
      <c r="Y84">
        <f t="shared" si="28"/>
        <v>83</v>
      </c>
      <c r="Z84">
        <v>11</v>
      </c>
      <c r="AA84" t="s">
        <v>1914</v>
      </c>
      <c r="AB84" s="4">
        <v>393000</v>
      </c>
      <c r="AC84" s="453">
        <v>1.5</v>
      </c>
      <c r="AD84">
        <f>IF($N$62="No",-20,1)</f>
        <v>1</v>
      </c>
      <c r="AL84">
        <f t="shared" ref="AL84:AL90" si="31">IF($N$73="No",-20,1)</f>
        <v>1</v>
      </c>
      <c r="AS84">
        <f>IF($P$62=0,1,IF(AC84&lt;=$P$62,1,-20))</f>
        <v>1</v>
      </c>
      <c r="AV84">
        <f t="shared" si="26"/>
        <v>1</v>
      </c>
      <c r="AW84" s="57">
        <f t="shared" si="29"/>
        <v>83</v>
      </c>
      <c r="AX84" s="57" t="str">
        <f t="shared" si="30"/>
        <v>Darrian Grav Bike</v>
      </c>
    </row>
    <row r="85" spans="24:50">
      <c r="X85">
        <f t="shared" si="27"/>
        <v>4</v>
      </c>
      <c r="Y85">
        <f t="shared" si="28"/>
        <v>84</v>
      </c>
      <c r="Z85">
        <v>15</v>
      </c>
      <c r="AA85" t="s">
        <v>1917</v>
      </c>
      <c r="AB85" s="4">
        <v>368874000</v>
      </c>
      <c r="AC85" s="453">
        <v>200</v>
      </c>
      <c r="AD85">
        <f>IF($N$65="No",-20,1)</f>
        <v>1</v>
      </c>
      <c r="AL85">
        <f t="shared" si="31"/>
        <v>1</v>
      </c>
      <c r="AU85">
        <f>IF($P$65=0,1,IF(AC85&lt;=$P$65,1,-20))</f>
        <v>1</v>
      </c>
      <c r="AV85">
        <f t="shared" si="26"/>
        <v>1</v>
      </c>
      <c r="AW85" s="57">
        <f t="shared" si="29"/>
        <v>84</v>
      </c>
      <c r="AX85" s="57" t="str">
        <f t="shared" si="30"/>
        <v xml:space="preserve">Darrian Lehnd Covert Espionage Scout </v>
      </c>
    </row>
    <row r="86" spans="24:50">
      <c r="X86">
        <f t="shared" si="27"/>
        <v>4</v>
      </c>
      <c r="Y86">
        <f t="shared" si="28"/>
        <v>85</v>
      </c>
      <c r="Z86">
        <v>15</v>
      </c>
      <c r="AA86" t="s">
        <v>1915</v>
      </c>
      <c r="AB86" s="4">
        <v>796000</v>
      </c>
      <c r="AC86" s="453">
        <v>2</v>
      </c>
      <c r="AD86">
        <f>IF($N$62="No",-20,1)</f>
        <v>1</v>
      </c>
      <c r="AL86">
        <f t="shared" si="31"/>
        <v>1</v>
      </c>
      <c r="AS86">
        <f>IF($P$62=0,1,IF(AC86&lt;=$P$62,1,-20))</f>
        <v>1</v>
      </c>
      <c r="AV86">
        <f t="shared" si="26"/>
        <v>1</v>
      </c>
      <c r="AW86" s="57">
        <f t="shared" si="29"/>
        <v>85</v>
      </c>
      <c r="AX86" s="57" t="str">
        <f t="shared" si="30"/>
        <v xml:space="preserve">Darrian Military Grav Bike </v>
      </c>
    </row>
    <row r="87" spans="24:50">
      <c r="X87">
        <f t="shared" si="27"/>
        <v>4</v>
      </c>
      <c r="Y87">
        <f t="shared" si="28"/>
        <v>86</v>
      </c>
      <c r="Z87">
        <v>10</v>
      </c>
      <c r="AA87" t="s">
        <v>1913</v>
      </c>
      <c r="AB87" s="4">
        <v>27000</v>
      </c>
      <c r="AC87" s="453">
        <v>0.5</v>
      </c>
      <c r="AD87">
        <f>IF($N$62="No",-20,1)</f>
        <v>1</v>
      </c>
      <c r="AL87">
        <f t="shared" si="31"/>
        <v>1</v>
      </c>
      <c r="AS87">
        <f>IF($P$62=0,1,IF(AC87&lt;=$P$62,1,-20))</f>
        <v>1</v>
      </c>
      <c r="AV87">
        <f t="shared" si="26"/>
        <v>1</v>
      </c>
      <c r="AW87" s="57">
        <f t="shared" si="29"/>
        <v>86</v>
      </c>
      <c r="AX87" s="57" t="str">
        <f t="shared" si="30"/>
        <v xml:space="preserve">Darrian Monocycle </v>
      </c>
    </row>
    <row r="88" spans="24:50">
      <c r="X88">
        <f t="shared" si="27"/>
        <v>4</v>
      </c>
      <c r="Y88">
        <f t="shared" si="28"/>
        <v>87</v>
      </c>
      <c r="Z88">
        <v>15</v>
      </c>
      <c r="AA88" t="s">
        <v>1919</v>
      </c>
      <c r="AB88" s="4">
        <v>252663300</v>
      </c>
      <c r="AC88" s="453">
        <v>400</v>
      </c>
      <c r="AD88">
        <f>IF($N$65="No",-20,1)</f>
        <v>1</v>
      </c>
      <c r="AL88">
        <f t="shared" si="31"/>
        <v>1</v>
      </c>
      <c r="AU88">
        <f>IF($P$65=0,1,IF(AC88&lt;=$P$65,1,-20))</f>
        <v>1</v>
      </c>
      <c r="AV88">
        <f t="shared" si="26"/>
        <v>1</v>
      </c>
      <c r="AW88" s="57">
        <f t="shared" si="29"/>
        <v>87</v>
      </c>
      <c r="AX88" s="57" t="str">
        <f t="shared" si="30"/>
        <v>Darrian Piholz-Class System Defense Boat</v>
      </c>
    </row>
    <row r="89" spans="24:50">
      <c r="X89">
        <f t="shared" si="27"/>
        <v>4</v>
      </c>
      <c r="Y89">
        <f t="shared" si="28"/>
        <v>88</v>
      </c>
      <c r="Z89">
        <v>13</v>
      </c>
      <c r="AA89" t="s">
        <v>1916</v>
      </c>
      <c r="AB89" s="4">
        <v>6730000</v>
      </c>
      <c r="AC89" s="453">
        <v>10</v>
      </c>
      <c r="AD89">
        <f>IF($N$62="No",-20,1)</f>
        <v>1</v>
      </c>
      <c r="AL89">
        <f t="shared" si="31"/>
        <v>1</v>
      </c>
      <c r="AS89">
        <f>IF($P$62=0,1,IF(AC89&lt;=$P$62,1,-20))</f>
        <v>1</v>
      </c>
      <c r="AV89">
        <f t="shared" si="26"/>
        <v>1</v>
      </c>
      <c r="AW89" s="57">
        <f t="shared" si="29"/>
        <v>88</v>
      </c>
      <c r="AX89" s="57" t="str">
        <f t="shared" si="30"/>
        <v>Darrian Shere Tank</v>
      </c>
    </row>
    <row r="90" spans="24:50">
      <c r="X90">
        <f t="shared" si="27"/>
        <v>4</v>
      </c>
      <c r="Y90">
        <f t="shared" si="28"/>
        <v>89</v>
      </c>
      <c r="Z90">
        <v>15</v>
      </c>
      <c r="AA90" t="s">
        <v>1918</v>
      </c>
      <c r="AB90" s="4">
        <v>168331500</v>
      </c>
      <c r="AC90" s="453">
        <v>200</v>
      </c>
      <c r="AD90">
        <f>IF($N$65="No",-20,1)</f>
        <v>1</v>
      </c>
      <c r="AL90">
        <f t="shared" si="31"/>
        <v>1</v>
      </c>
      <c r="AU90">
        <f>IF($P$65=0,1,IF(AC90&lt;=$P$65,1,-20))</f>
        <v>1</v>
      </c>
      <c r="AV90">
        <f t="shared" si="26"/>
        <v>1</v>
      </c>
      <c r="AW90" s="57">
        <f t="shared" si="29"/>
        <v>89</v>
      </c>
      <c r="AX90" s="57" t="str">
        <f t="shared" si="30"/>
        <v>Darrian Thengg-Class Pioneer Scout</v>
      </c>
    </row>
    <row r="91" spans="24:50" ht="16">
      <c r="X91">
        <f t="shared" si="27"/>
        <v>5</v>
      </c>
      <c r="Y91">
        <f t="shared" si="28"/>
        <v>90</v>
      </c>
      <c r="Z91" s="459">
        <v>12</v>
      </c>
      <c r="AA91" s="459" t="s">
        <v>2244</v>
      </c>
      <c r="AB91" s="460">
        <v>9980000</v>
      </c>
      <c r="AC91" s="461">
        <v>20</v>
      </c>
      <c r="AD91">
        <f>IF($N$63="No",-20,1)</f>
        <v>1</v>
      </c>
      <c r="AE91">
        <f>IF($N$64="No",-20,1)</f>
        <v>1</v>
      </c>
      <c r="AR91">
        <f>IF($N$79="No",-20,1)</f>
        <v>1</v>
      </c>
      <c r="AT91">
        <f>IF($P$63=0,1,IF(AC91&lt;=$P$63,1,-20))</f>
        <v>1</v>
      </c>
      <c r="AV91">
        <f t="shared" si="26"/>
        <v>1</v>
      </c>
      <c r="AW91" s="57">
        <f t="shared" si="29"/>
        <v>90</v>
      </c>
      <c r="AX91" s="57" t="str">
        <f t="shared" si="30"/>
        <v>Dart Interceptor (JTAS Vol. 6)</v>
      </c>
    </row>
    <row r="92" spans="24:50">
      <c r="X92">
        <f t="shared" si="27"/>
        <v>4</v>
      </c>
      <c r="Y92">
        <f t="shared" si="28"/>
        <v>91</v>
      </c>
      <c r="Z92">
        <v>15</v>
      </c>
      <c r="AA92" t="s">
        <v>1969</v>
      </c>
      <c r="AB92" s="4">
        <v>311500000</v>
      </c>
      <c r="AC92" s="453">
        <v>250</v>
      </c>
      <c r="AD92">
        <f>IF($N$62="No",-20,1)</f>
        <v>1</v>
      </c>
      <c r="AN92">
        <f>IF($N$75="No",-20,1)</f>
        <v>1</v>
      </c>
      <c r="AS92">
        <f>IF($P$62=0,1,IF(AC92&lt;=$P$62,1,-20))</f>
        <v>1</v>
      </c>
      <c r="AV92">
        <f t="shared" si="26"/>
        <v>1</v>
      </c>
      <c r="AW92" s="57">
        <f t="shared" si="29"/>
        <v>91</v>
      </c>
      <c r="AX92" s="57" t="str">
        <f t="shared" si="30"/>
        <v>Deep Ranger-Class Research Submarine</v>
      </c>
    </row>
    <row r="93" spans="24:50" ht="16">
      <c r="X93">
        <f t="shared" si="27"/>
        <v>4</v>
      </c>
      <c r="Y93">
        <f t="shared" si="28"/>
        <v>92</v>
      </c>
      <c r="Z93" s="459">
        <v>15</v>
      </c>
      <c r="AA93" s="459" t="s">
        <v>2052</v>
      </c>
      <c r="AB93" s="460">
        <v>11185000</v>
      </c>
      <c r="AC93" s="461">
        <v>20</v>
      </c>
      <c r="AD93">
        <f>IF($N$63="No",-20,1)</f>
        <v>1</v>
      </c>
      <c r="AQ93">
        <f>IF($N$78="No",-20,1)</f>
        <v>1</v>
      </c>
      <c r="AT93">
        <f>IF($P$63=0,1,IF(AC93&lt;=$P$63,1,-20))</f>
        <v>1</v>
      </c>
      <c r="AV93">
        <f t="shared" si="26"/>
        <v>1</v>
      </c>
      <c r="AW93" s="57">
        <f t="shared" si="29"/>
        <v>92</v>
      </c>
      <c r="AX93" s="57" t="str">
        <f t="shared" si="30"/>
        <v>Deepnight Boat (DR:CG)</v>
      </c>
    </row>
    <row r="94" spans="24:50" ht="16">
      <c r="X94">
        <f t="shared" si="27"/>
        <v>3</v>
      </c>
      <c r="Y94">
        <f t="shared" si="28"/>
        <v>93</v>
      </c>
      <c r="Z94" s="459">
        <v>15</v>
      </c>
      <c r="AA94" s="459" t="s">
        <v>2215</v>
      </c>
      <c r="AB94" s="460">
        <v>1810545000</v>
      </c>
      <c r="AC94" s="461">
        <v>10000</v>
      </c>
      <c r="AD94">
        <f>IF($N$65="No",-20,1)</f>
        <v>1</v>
      </c>
      <c r="AU94">
        <f>IF($P$65=0,1,IF(AC94&lt;=$P$65,1,-20))</f>
        <v>1</v>
      </c>
      <c r="AV94">
        <f t="shared" si="26"/>
        <v>1</v>
      </c>
      <c r="AW94" s="57">
        <f t="shared" si="29"/>
        <v>93</v>
      </c>
      <c r="AX94" s="57" t="str">
        <f t="shared" si="30"/>
        <v>Deepnight Endeavour Fuel Shuttle (Great Rift Adventure 2)</v>
      </c>
    </row>
    <row r="95" spans="24:50" ht="16">
      <c r="X95">
        <f t="shared" si="27"/>
        <v>4</v>
      </c>
      <c r="Y95">
        <f t="shared" si="28"/>
        <v>94</v>
      </c>
      <c r="Z95" s="459">
        <v>15</v>
      </c>
      <c r="AA95" s="459" t="s">
        <v>2051</v>
      </c>
      <c r="AB95" s="460">
        <v>34776000</v>
      </c>
      <c r="AC95" s="461">
        <v>60</v>
      </c>
      <c r="AD95">
        <f>IF($N$63="No",-20,1)</f>
        <v>1</v>
      </c>
      <c r="AQ95">
        <f>IF($N$78="No",-20,1)</f>
        <v>1</v>
      </c>
      <c r="AT95">
        <f>IF($P$63=0,1,IF(AC95&lt;=$P$63,1,-20))</f>
        <v>1</v>
      </c>
      <c r="AV95">
        <f t="shared" si="26"/>
        <v>1</v>
      </c>
      <c r="AW95" s="57">
        <f t="shared" si="29"/>
        <v>94</v>
      </c>
      <c r="AX95" s="57" t="str">
        <f t="shared" si="30"/>
        <v>Deepnight Pinnace (DR:CG)</v>
      </c>
    </row>
    <row r="96" spans="24:50" ht="16">
      <c r="X96">
        <f t="shared" si="27"/>
        <v>4</v>
      </c>
      <c r="Y96">
        <f t="shared" si="28"/>
        <v>95</v>
      </c>
      <c r="Z96" s="459">
        <v>15</v>
      </c>
      <c r="AA96" s="459" t="s">
        <v>2050</v>
      </c>
      <c r="AB96" s="460">
        <v>179040000</v>
      </c>
      <c r="AC96" s="461">
        <v>200</v>
      </c>
      <c r="AD96">
        <f>IF($N$65="No",-20,1)</f>
        <v>1</v>
      </c>
      <c r="AQ96">
        <f>IF($N$78="No",-20,1)</f>
        <v>1</v>
      </c>
      <c r="AU96">
        <f>IF($P$65=0,1,IF(AC96&lt;=$P$65,1,-20))</f>
        <v>1</v>
      </c>
      <c r="AV96">
        <f t="shared" si="26"/>
        <v>1</v>
      </c>
      <c r="AW96" s="57">
        <f t="shared" si="29"/>
        <v>95</v>
      </c>
      <c r="AX96" s="57" t="str">
        <f t="shared" si="30"/>
        <v>Deepnight Scout (DR:CG)</v>
      </c>
    </row>
    <row r="97" spans="24:50">
      <c r="X97">
        <f t="shared" si="27"/>
        <v>4</v>
      </c>
      <c r="Y97">
        <f t="shared" si="28"/>
        <v>96</v>
      </c>
      <c r="Z97">
        <v>15</v>
      </c>
      <c r="AA97" t="s">
        <v>1975</v>
      </c>
      <c r="AB97" s="4">
        <v>2258711000</v>
      </c>
      <c r="AC97" s="453">
        <v>5000</v>
      </c>
      <c r="AD97">
        <f>IF($N$65="No",-20,1)</f>
        <v>1</v>
      </c>
      <c r="AN97">
        <f>IF($N$75="No",-20,1)</f>
        <v>1</v>
      </c>
      <c r="AU97">
        <f>IF($P$65=0,1,IF(AC97&lt;=$P$65,1,-20))</f>
        <v>1</v>
      </c>
      <c r="AV97">
        <f t="shared" si="26"/>
        <v>1</v>
      </c>
      <c r="AW97" s="57">
        <f t="shared" si="29"/>
        <v>96</v>
      </c>
      <c r="AX97" s="57" t="str">
        <f t="shared" si="30"/>
        <v>Deneb Stalwart-Class Monitor</v>
      </c>
    </row>
    <row r="98" spans="24:50" ht="16">
      <c r="X98">
        <f t="shared" si="27"/>
        <v>3</v>
      </c>
      <c r="Y98">
        <f t="shared" si="28"/>
        <v>97</v>
      </c>
      <c r="Z98" s="459">
        <v>13</v>
      </c>
      <c r="AA98" s="459" t="s">
        <v>2220</v>
      </c>
      <c r="AB98" s="460">
        <v>35775900</v>
      </c>
      <c r="AC98" s="461">
        <v>50</v>
      </c>
      <c r="AD98">
        <f>IF($N$63="No",-20,1)</f>
        <v>1</v>
      </c>
      <c r="AT98">
        <f>IF($P$63=0,1,IF(AC98&lt;=$P$63,1,-20))</f>
        <v>1</v>
      </c>
      <c r="AV98">
        <f t="shared" si="26"/>
        <v>1</v>
      </c>
      <c r="AW98" s="57">
        <f t="shared" si="29"/>
        <v>97</v>
      </c>
      <c r="AX98" s="57" t="str">
        <f t="shared" si="30"/>
        <v>Deployment Shuttle (High Guard Deployment Shuttle)</v>
      </c>
    </row>
    <row r="99" spans="24:50" ht="16">
      <c r="X99">
        <f t="shared" si="27"/>
        <v>3</v>
      </c>
      <c r="Y99">
        <f t="shared" si="28"/>
        <v>98</v>
      </c>
      <c r="Z99" s="459">
        <v>8</v>
      </c>
      <c r="AA99" s="459" t="s">
        <v>2369</v>
      </c>
      <c r="AB99" s="460">
        <v>6300</v>
      </c>
      <c r="AC99" s="461">
        <v>1</v>
      </c>
      <c r="AD99">
        <f t="shared" ref="AD99:AD108" si="32">IF($N$62="No",-20,1)</f>
        <v>1</v>
      </c>
      <c r="AS99">
        <f>IF($P$62=0,1,IF(AC99&lt;=$P$62,1,-20))</f>
        <v>1</v>
      </c>
      <c r="AV99">
        <f t="shared" si="26"/>
        <v>1</v>
      </c>
      <c r="AW99" s="57">
        <f t="shared" si="29"/>
        <v>98</v>
      </c>
      <c r="AX99" s="57" t="str">
        <f t="shared" si="30"/>
        <v>Dirt Bike (Reach Adventure 2)</v>
      </c>
    </row>
    <row r="100" spans="24:50">
      <c r="X100">
        <f t="shared" si="27"/>
        <v>4</v>
      </c>
      <c r="Y100">
        <f t="shared" si="28"/>
        <v>99</v>
      </c>
      <c r="Z100">
        <v>9</v>
      </c>
      <c r="AA100" t="s">
        <v>1772</v>
      </c>
      <c r="AB100" s="4">
        <v>390000</v>
      </c>
      <c r="AC100">
        <v>10</v>
      </c>
      <c r="AD100">
        <f t="shared" si="32"/>
        <v>1</v>
      </c>
      <c r="AH100">
        <f>IF($N$69="No",-20,1)</f>
        <v>1</v>
      </c>
      <c r="AS100">
        <f>IF($P$62=0,1,IF(AC100&lt;=$P$62,1,-20))</f>
        <v>1</v>
      </c>
      <c r="AV100">
        <f t="shared" si="26"/>
        <v>1</v>
      </c>
      <c r="AW100" s="57">
        <f t="shared" si="29"/>
        <v>99</v>
      </c>
      <c r="AX100" s="57" t="str">
        <f t="shared" si="30"/>
        <v>Dirtside APC</v>
      </c>
    </row>
    <row r="101" spans="24:50">
      <c r="X101">
        <f t="shared" si="27"/>
        <v>4</v>
      </c>
      <c r="Y101">
        <f t="shared" si="28"/>
        <v>100</v>
      </c>
      <c r="Z101">
        <v>12</v>
      </c>
      <c r="AA101" t="s">
        <v>1932</v>
      </c>
      <c r="AB101" s="4">
        <v>36535500</v>
      </c>
      <c r="AC101" s="453">
        <v>100</v>
      </c>
      <c r="AD101">
        <f t="shared" si="32"/>
        <v>1</v>
      </c>
      <c r="AL101">
        <f t="shared" ref="AL101:AL106" si="33">IF($N$73="No",-20,1)</f>
        <v>1</v>
      </c>
      <c r="AU101">
        <f>IF($P$65=0,1,IF(AC101&lt;=$P$65,1,-20))</f>
        <v>1</v>
      </c>
      <c r="AV101">
        <f t="shared" si="26"/>
        <v>1</v>
      </c>
      <c r="AW101" s="57">
        <f t="shared" si="29"/>
        <v>100</v>
      </c>
      <c r="AX101" s="57" t="str">
        <f t="shared" si="30"/>
        <v>Dolphin Deep Dive-Class Scout/Courier</v>
      </c>
    </row>
    <row r="102" spans="24:50">
      <c r="X102">
        <f t="shared" si="27"/>
        <v>4</v>
      </c>
      <c r="Y102">
        <f t="shared" si="28"/>
        <v>101</v>
      </c>
      <c r="Z102">
        <v>9</v>
      </c>
      <c r="AA102" t="s">
        <v>1927</v>
      </c>
      <c r="AB102" s="4">
        <v>155000</v>
      </c>
      <c r="AC102" s="453">
        <v>2</v>
      </c>
      <c r="AD102">
        <f t="shared" si="32"/>
        <v>1</v>
      </c>
      <c r="AL102">
        <f t="shared" si="33"/>
        <v>1</v>
      </c>
      <c r="AS102">
        <f t="shared" ref="AS102:AS108" si="34">IF($P$62=0,1,IF(AC102&lt;=$P$62,1,-20))</f>
        <v>1</v>
      </c>
      <c r="AV102">
        <f t="shared" si="26"/>
        <v>1</v>
      </c>
      <c r="AW102" s="57">
        <f t="shared" si="29"/>
        <v>101</v>
      </c>
      <c r="AX102" s="57" t="str">
        <f t="shared" si="30"/>
        <v>Dolphin Grav Sled</v>
      </c>
    </row>
    <row r="103" spans="24:50">
      <c r="X103">
        <f t="shared" si="27"/>
        <v>4</v>
      </c>
      <c r="Y103">
        <f t="shared" si="28"/>
        <v>102</v>
      </c>
      <c r="Z103">
        <v>15</v>
      </c>
      <c r="AA103" t="s">
        <v>1930</v>
      </c>
      <c r="AB103" s="4">
        <v>71688000</v>
      </c>
      <c r="AC103" s="453">
        <v>30</v>
      </c>
      <c r="AD103">
        <f t="shared" si="32"/>
        <v>1</v>
      </c>
      <c r="AL103">
        <f t="shared" si="33"/>
        <v>1</v>
      </c>
      <c r="AS103">
        <f t="shared" si="34"/>
        <v>1</v>
      </c>
      <c r="AV103">
        <f t="shared" si="26"/>
        <v>1</v>
      </c>
      <c r="AW103" s="57">
        <f t="shared" si="29"/>
        <v>102</v>
      </c>
      <c r="AX103" s="57" t="str">
        <f t="shared" si="30"/>
        <v>Dolphin Mud Crab Submercible Tank</v>
      </c>
    </row>
    <row r="104" spans="24:50">
      <c r="X104">
        <f t="shared" si="27"/>
        <v>4</v>
      </c>
      <c r="Y104">
        <f t="shared" si="28"/>
        <v>103</v>
      </c>
      <c r="Z104">
        <v>10</v>
      </c>
      <c r="AA104" t="s">
        <v>1928</v>
      </c>
      <c r="AB104" s="4">
        <v>37500000</v>
      </c>
      <c r="AC104" s="453">
        <v>55</v>
      </c>
      <c r="AD104">
        <f t="shared" si="32"/>
        <v>1</v>
      </c>
      <c r="AL104">
        <f t="shared" si="33"/>
        <v>1</v>
      </c>
      <c r="AS104">
        <f t="shared" si="34"/>
        <v>1</v>
      </c>
      <c r="AV104">
        <f t="shared" si="26"/>
        <v>1</v>
      </c>
      <c r="AW104" s="57">
        <f t="shared" si="29"/>
        <v>103</v>
      </c>
      <c r="AX104" s="57" t="str">
        <f t="shared" si="30"/>
        <v>Dolphin Ocean Quest Submercible Laboratory</v>
      </c>
    </row>
    <row r="105" spans="24:50">
      <c r="X105">
        <f t="shared" si="27"/>
        <v>4</v>
      </c>
      <c r="Y105">
        <f t="shared" si="28"/>
        <v>104</v>
      </c>
      <c r="Z105">
        <v>12</v>
      </c>
      <c r="AA105" t="s">
        <v>1929</v>
      </c>
      <c r="AB105" s="4">
        <v>118000</v>
      </c>
      <c r="AC105" s="453">
        <v>1.5</v>
      </c>
      <c r="AD105">
        <f t="shared" si="32"/>
        <v>1</v>
      </c>
      <c r="AL105">
        <f t="shared" si="33"/>
        <v>1</v>
      </c>
      <c r="AS105">
        <f t="shared" si="34"/>
        <v>1</v>
      </c>
      <c r="AV105">
        <f t="shared" si="26"/>
        <v>1</v>
      </c>
      <c r="AW105" s="57">
        <f t="shared" si="29"/>
        <v>104</v>
      </c>
      <c r="AX105" s="57" t="str">
        <f t="shared" si="30"/>
        <v>Dolphin Sail Fish Scooter</v>
      </c>
    </row>
    <row r="106" spans="24:50">
      <c r="X106">
        <f t="shared" si="27"/>
        <v>4</v>
      </c>
      <c r="Y106">
        <f t="shared" si="28"/>
        <v>105</v>
      </c>
      <c r="Z106">
        <v>15</v>
      </c>
      <c r="AA106" t="s">
        <v>1931</v>
      </c>
      <c r="AB106" s="4">
        <v>2020000</v>
      </c>
      <c r="AC106" s="453">
        <v>7</v>
      </c>
      <c r="AD106">
        <f t="shared" si="32"/>
        <v>1</v>
      </c>
      <c r="AL106">
        <f t="shared" si="33"/>
        <v>1</v>
      </c>
      <c r="AS106">
        <f t="shared" si="34"/>
        <v>1</v>
      </c>
      <c r="AV106">
        <f t="shared" si="26"/>
        <v>1</v>
      </c>
      <c r="AW106" s="57">
        <f t="shared" si="29"/>
        <v>105</v>
      </c>
      <c r="AX106" s="57" t="str">
        <f t="shared" si="30"/>
        <v>Dolphin Tiger Shark Attack Submarine</v>
      </c>
    </row>
    <row r="107" spans="24:50" ht="16">
      <c r="X107">
        <f t="shared" si="27"/>
        <v>3</v>
      </c>
      <c r="Y107">
        <f t="shared" si="28"/>
        <v>106</v>
      </c>
      <c r="Z107" s="459">
        <v>9</v>
      </c>
      <c r="AA107" s="459" t="s">
        <v>2376</v>
      </c>
      <c r="AB107" s="460">
        <v>6151000</v>
      </c>
      <c r="AC107" s="461">
        <v>15</v>
      </c>
      <c r="AD107">
        <f t="shared" si="32"/>
        <v>1</v>
      </c>
      <c r="AS107">
        <f t="shared" si="34"/>
        <v>1</v>
      </c>
      <c r="AV107">
        <f t="shared" si="26"/>
        <v>1</v>
      </c>
      <c r="AW107" s="57">
        <f t="shared" si="29"/>
        <v>106</v>
      </c>
      <c r="AX107" s="57" t="str">
        <f t="shared" si="30"/>
        <v>Doomsayer Grav APC (Reach Adventure 8)</v>
      </c>
    </row>
    <row r="108" spans="24:50">
      <c r="X108">
        <f t="shared" si="27"/>
        <v>4</v>
      </c>
      <c r="Y108">
        <f t="shared" si="28"/>
        <v>107</v>
      </c>
      <c r="Z108">
        <v>8</v>
      </c>
      <c r="AA108" t="s">
        <v>1967</v>
      </c>
      <c r="AB108" s="4">
        <v>67100000</v>
      </c>
      <c r="AC108" s="453">
        <v>200</v>
      </c>
      <c r="AD108">
        <f t="shared" si="32"/>
        <v>1</v>
      </c>
      <c r="AN108">
        <f>IF($N$75="No",-20,1)</f>
        <v>1</v>
      </c>
      <c r="AS108">
        <f t="shared" si="34"/>
        <v>1</v>
      </c>
      <c r="AV108">
        <f t="shared" si="26"/>
        <v>1</v>
      </c>
      <c r="AW108" s="57">
        <f t="shared" si="29"/>
        <v>107</v>
      </c>
      <c r="AX108" s="57" t="str">
        <f t="shared" si="30"/>
        <v>Dorannian Transport Crawler</v>
      </c>
    </row>
    <row r="109" spans="24:50">
      <c r="X109">
        <f t="shared" si="27"/>
        <v>4</v>
      </c>
      <c r="Y109">
        <f t="shared" si="28"/>
        <v>108</v>
      </c>
      <c r="Z109">
        <v>13</v>
      </c>
      <c r="AA109" t="s">
        <v>1791</v>
      </c>
      <c r="AB109" s="4">
        <v>308250000</v>
      </c>
      <c r="AC109">
        <v>400</v>
      </c>
      <c r="AD109">
        <f>IF($N$65="No",-20,1)</f>
        <v>1</v>
      </c>
      <c r="AF109">
        <f>IF($N$67="No",-20,1)</f>
        <v>1</v>
      </c>
      <c r="AU109">
        <f>IF($P$65=0,1,IF(AC109&lt;=$P$65,1,-20))</f>
        <v>1</v>
      </c>
      <c r="AV109">
        <f t="shared" si="26"/>
        <v>1</v>
      </c>
      <c r="AW109" s="57">
        <f t="shared" si="29"/>
        <v>108</v>
      </c>
      <c r="AX109" s="57" t="str">
        <f t="shared" si="30"/>
        <v>Dragon System Defense Boat</v>
      </c>
    </row>
    <row r="110" spans="24:50">
      <c r="X110">
        <f t="shared" si="27"/>
        <v>4</v>
      </c>
      <c r="Y110">
        <f t="shared" si="28"/>
        <v>109</v>
      </c>
      <c r="Z110">
        <v>8</v>
      </c>
      <c r="AA110" t="s">
        <v>1773</v>
      </c>
      <c r="AB110" s="4">
        <v>4410000</v>
      </c>
      <c r="AC110">
        <v>10</v>
      </c>
      <c r="AD110">
        <f>IF($N$62="No",-20,1)</f>
        <v>1</v>
      </c>
      <c r="AH110">
        <f>IF($N$69="No",-20,1)</f>
        <v>1</v>
      </c>
      <c r="AS110">
        <f>IF($P$62=0,1,IF(AC110&lt;=$P$62,1,-20))</f>
        <v>1</v>
      </c>
      <c r="AV110">
        <f t="shared" si="26"/>
        <v>1</v>
      </c>
      <c r="AW110" s="57">
        <f t="shared" si="29"/>
        <v>109</v>
      </c>
      <c r="AX110" s="57" t="str">
        <f t="shared" si="30"/>
        <v>Dragonflyer Gravcopter</v>
      </c>
    </row>
    <row r="111" spans="24:50" ht="16">
      <c r="X111">
        <f t="shared" si="27"/>
        <v>3</v>
      </c>
      <c r="Y111">
        <f t="shared" si="28"/>
        <v>110</v>
      </c>
      <c r="Z111" s="459">
        <v>8</v>
      </c>
      <c r="AA111" s="460" t="s">
        <v>2406</v>
      </c>
      <c r="AB111" s="460">
        <v>429045000</v>
      </c>
      <c r="AC111" s="461">
        <v>2000</v>
      </c>
      <c r="AD111">
        <f>IF($N$65="No",-20,1)</f>
        <v>1</v>
      </c>
      <c r="AU111">
        <f>IF($P$65=0,1,IF(AC111&lt;=$P$65,1,-20))</f>
        <v>1</v>
      </c>
      <c r="AV111">
        <f t="shared" si="26"/>
        <v>1</v>
      </c>
      <c r="AW111" s="57">
        <f t="shared" si="29"/>
        <v>110</v>
      </c>
      <c r="AX111" s="57" t="str">
        <f t="shared" si="30"/>
        <v>Drakesward-Class Sword Sworlds System Defense Boat (Traders and Gunboats)</v>
      </c>
    </row>
    <row r="112" spans="24:50">
      <c r="X112">
        <f t="shared" si="27"/>
        <v>4</v>
      </c>
      <c r="Y112">
        <f t="shared" si="28"/>
        <v>111</v>
      </c>
      <c r="Z112">
        <v>13</v>
      </c>
      <c r="AA112" t="s">
        <v>2279</v>
      </c>
      <c r="AB112" s="4">
        <v>779000</v>
      </c>
      <c r="AC112" s="493">
        <v>4</v>
      </c>
      <c r="AD112">
        <f>IF($N$62="No",-20,1)</f>
        <v>1</v>
      </c>
      <c r="AR112">
        <f>IF($N$79="No",-20,1)</f>
        <v>1</v>
      </c>
      <c r="AS112">
        <f>IF($P$62=0,1,IF(AC112&lt;=$P$62,1,-20))</f>
        <v>1</v>
      </c>
      <c r="AV112">
        <f t="shared" si="26"/>
        <v>1</v>
      </c>
      <c r="AW112" s="57">
        <f t="shared" si="29"/>
        <v>111</v>
      </c>
      <c r="AX112" s="57" t="str">
        <f t="shared" si="30"/>
        <v>Drako Valliant Grav Saloon (JTAS Vol. 12)</v>
      </c>
    </row>
    <row r="113" spans="24:50">
      <c r="X113">
        <f t="shared" si="27"/>
        <v>4</v>
      </c>
      <c r="Y113">
        <f t="shared" si="28"/>
        <v>112</v>
      </c>
      <c r="Z113">
        <v>11</v>
      </c>
      <c r="AA113" t="s">
        <v>1912</v>
      </c>
      <c r="AB113" s="4">
        <v>107350000</v>
      </c>
      <c r="AC113" s="453">
        <v>200</v>
      </c>
      <c r="AD113">
        <f>IF($N$65="No",-20,1)</f>
        <v>1</v>
      </c>
      <c r="AK113">
        <f>IF($N$72="No",-20,1)</f>
        <v>1</v>
      </c>
      <c r="AU113">
        <f>IF($P$65=0,1,IF(AC113&lt;=$P$65,1,-20))</f>
        <v>1</v>
      </c>
      <c r="AV113">
        <f t="shared" si="26"/>
        <v>1</v>
      </c>
      <c r="AW113" s="57">
        <f t="shared" si="29"/>
        <v>112</v>
      </c>
      <c r="AX113" s="57" t="str">
        <f t="shared" si="30"/>
        <v>Droyne Siyoparttwi-Class Communications Vessel</v>
      </c>
    </row>
    <row r="114" spans="24:50" ht="16">
      <c r="X114">
        <f t="shared" si="27"/>
        <v>4</v>
      </c>
      <c r="Y114">
        <f t="shared" si="28"/>
        <v>113</v>
      </c>
      <c r="Z114" s="459">
        <v>10</v>
      </c>
      <c r="AA114" s="459" t="s">
        <v>2062</v>
      </c>
      <c r="AB114" s="460">
        <v>72960000</v>
      </c>
      <c r="AC114" s="461">
        <v>300</v>
      </c>
      <c r="AD114">
        <f>IF($N$65="No",-20,1)</f>
        <v>1</v>
      </c>
      <c r="AQ114">
        <f>IF($N$78="No",-20,1)</f>
        <v>1</v>
      </c>
      <c r="AU114">
        <f>IF($P$65=0,1,IF(AC114&lt;=$P$65,1,-20))</f>
        <v>1</v>
      </c>
      <c r="AV114">
        <f t="shared" si="26"/>
        <v>1</v>
      </c>
      <c r="AW114" s="57">
        <f t="shared" si="29"/>
        <v>113</v>
      </c>
      <c r="AX114" s="57" t="str">
        <f t="shared" si="30"/>
        <v>Droyne Umtyatho-Class Spacecraft (DR:V)</v>
      </c>
    </row>
    <row r="115" spans="24:50" ht="16">
      <c r="X115">
        <f t="shared" si="27"/>
        <v>3</v>
      </c>
      <c r="Y115">
        <f t="shared" si="28"/>
        <v>114</v>
      </c>
      <c r="Z115" s="459">
        <v>9</v>
      </c>
      <c r="AA115" s="459" t="s">
        <v>2044</v>
      </c>
      <c r="AB115" s="460">
        <v>97000</v>
      </c>
      <c r="AC115" s="461">
        <v>2.5</v>
      </c>
      <c r="AD115">
        <f>IF($N$62="No",-20,1)</f>
        <v>1</v>
      </c>
      <c r="AS115">
        <f>IF($P$62=0,1,IF(AC115&lt;=$P$62,1,-20))</f>
        <v>1</v>
      </c>
      <c r="AV115">
        <f t="shared" si="26"/>
        <v>1</v>
      </c>
      <c r="AW115" s="57">
        <f t="shared" si="29"/>
        <v>114</v>
      </c>
      <c r="AX115" s="57" t="str">
        <f t="shared" si="30"/>
        <v>Dune Jumper (CA 3)</v>
      </c>
    </row>
    <row r="116" spans="24:50" ht="16">
      <c r="X116">
        <f t="shared" si="27"/>
        <v>3</v>
      </c>
      <c r="Y116">
        <f t="shared" si="28"/>
        <v>115</v>
      </c>
      <c r="Z116" s="459">
        <v>8</v>
      </c>
      <c r="AA116" s="459" t="s">
        <v>2315</v>
      </c>
      <c r="AB116" s="460">
        <v>468000</v>
      </c>
      <c r="AC116" s="461">
        <v>20</v>
      </c>
      <c r="AD116">
        <f>IF($N$62="No",-20,1)</f>
        <v>1</v>
      </c>
      <c r="AS116">
        <f>IF($P$62=0,1,IF(AC116&lt;=$P$62,1,-20))</f>
        <v>1</v>
      </c>
      <c r="AV116">
        <f t="shared" si="26"/>
        <v>1</v>
      </c>
      <c r="AW116" s="57">
        <f t="shared" si="29"/>
        <v>115</v>
      </c>
      <c r="AX116" s="57" t="str">
        <f t="shared" si="30"/>
        <v>Dushka Sarel Surface Action Cutter (Mercenary Adventure 3)</v>
      </c>
    </row>
    <row r="117" spans="24:50" ht="16">
      <c r="X117">
        <f t="shared" si="27"/>
        <v>3</v>
      </c>
      <c r="Y117">
        <f t="shared" si="28"/>
        <v>116</v>
      </c>
      <c r="Z117" s="459">
        <v>11</v>
      </c>
      <c r="AA117" s="459" t="s">
        <v>2108</v>
      </c>
      <c r="AB117" s="460">
        <v>24210000</v>
      </c>
      <c r="AC117" s="461">
        <v>100</v>
      </c>
      <c r="AD117">
        <f t="shared" ref="AD117:AD123" si="35">IF($N$65="No",-20,1)</f>
        <v>1</v>
      </c>
      <c r="AU117">
        <f t="shared" ref="AU117:AU123" si="36">IF($P$65=0,1,IF(AC117&lt;=$P$65,1,-20))</f>
        <v>1</v>
      </c>
      <c r="AV117">
        <f t="shared" si="26"/>
        <v>1</v>
      </c>
      <c r="AW117" s="57">
        <f t="shared" si="29"/>
        <v>116</v>
      </c>
      <c r="AX117" s="57" t="str">
        <f t="shared" si="30"/>
        <v>ECITS Base Module (DC)</v>
      </c>
    </row>
    <row r="118" spans="24:50" ht="16">
      <c r="X118">
        <f t="shared" si="27"/>
        <v>3</v>
      </c>
      <c r="Y118">
        <f t="shared" si="28"/>
        <v>117</v>
      </c>
      <c r="Z118" s="459">
        <v>9</v>
      </c>
      <c r="AA118" s="459" t="s">
        <v>2101</v>
      </c>
      <c r="AB118" s="460">
        <v>4990000</v>
      </c>
      <c r="AC118" s="461">
        <v>100</v>
      </c>
      <c r="AD118">
        <f t="shared" si="35"/>
        <v>1</v>
      </c>
      <c r="AU118">
        <f t="shared" si="36"/>
        <v>1</v>
      </c>
      <c r="AV118">
        <f t="shared" si="26"/>
        <v>1</v>
      </c>
      <c r="AW118" s="57">
        <f t="shared" si="29"/>
        <v>117</v>
      </c>
      <c r="AX118" s="57" t="str">
        <f t="shared" si="30"/>
        <v>ECITS Cargo Module (DC)</v>
      </c>
    </row>
    <row r="119" spans="24:50" ht="16">
      <c r="X119">
        <f t="shared" si="27"/>
        <v>3</v>
      </c>
      <c r="Y119">
        <f t="shared" si="28"/>
        <v>118</v>
      </c>
      <c r="Z119" s="459">
        <v>9</v>
      </c>
      <c r="AA119" s="459" t="s">
        <v>2105</v>
      </c>
      <c r="AB119" s="460">
        <v>11380000</v>
      </c>
      <c r="AC119" s="461">
        <v>100</v>
      </c>
      <c r="AD119">
        <f t="shared" si="35"/>
        <v>1</v>
      </c>
      <c r="AU119">
        <f t="shared" si="36"/>
        <v>1</v>
      </c>
      <c r="AV119">
        <f t="shared" si="26"/>
        <v>1</v>
      </c>
      <c r="AW119" s="57">
        <f t="shared" si="29"/>
        <v>118</v>
      </c>
      <c r="AX119" s="57" t="str">
        <f t="shared" si="30"/>
        <v>ECITS Crew Module (DC)</v>
      </c>
    </row>
    <row r="120" spans="24:50" ht="16">
      <c r="X120">
        <f t="shared" si="27"/>
        <v>3</v>
      </c>
      <c r="Y120">
        <f t="shared" si="28"/>
        <v>119</v>
      </c>
      <c r="Z120" s="459">
        <v>11</v>
      </c>
      <c r="AA120" s="459" t="s">
        <v>2107</v>
      </c>
      <c r="AB120" s="460">
        <v>75500000</v>
      </c>
      <c r="AC120" s="461">
        <v>100</v>
      </c>
      <c r="AD120">
        <f t="shared" si="35"/>
        <v>1</v>
      </c>
      <c r="AU120">
        <f t="shared" si="36"/>
        <v>1</v>
      </c>
      <c r="AV120">
        <f t="shared" si="26"/>
        <v>1</v>
      </c>
      <c r="AW120" s="57">
        <f t="shared" si="29"/>
        <v>119</v>
      </c>
      <c r="AX120" s="57" t="str">
        <f t="shared" si="30"/>
        <v>ECITS Fighter Module (DC)</v>
      </c>
    </row>
    <row r="121" spans="24:50" ht="16">
      <c r="X121">
        <f t="shared" si="27"/>
        <v>3</v>
      </c>
      <c r="Y121">
        <f t="shared" si="28"/>
        <v>120</v>
      </c>
      <c r="Z121" s="459">
        <v>9</v>
      </c>
      <c r="AA121" s="459" t="s">
        <v>2102</v>
      </c>
      <c r="AB121" s="460">
        <v>13090000</v>
      </c>
      <c r="AC121" s="461">
        <v>100</v>
      </c>
      <c r="AD121">
        <f t="shared" si="35"/>
        <v>1</v>
      </c>
      <c r="AU121">
        <f t="shared" si="36"/>
        <v>1</v>
      </c>
      <c r="AV121">
        <f t="shared" si="26"/>
        <v>1</v>
      </c>
      <c r="AW121" s="57">
        <f t="shared" si="29"/>
        <v>120</v>
      </c>
      <c r="AX121" s="57" t="str">
        <f t="shared" si="30"/>
        <v>ECITS Passenger Module (DC)</v>
      </c>
    </row>
    <row r="122" spans="24:50" ht="16">
      <c r="X122">
        <f t="shared" si="27"/>
        <v>3</v>
      </c>
      <c r="Y122">
        <f t="shared" si="28"/>
        <v>121</v>
      </c>
      <c r="Z122" s="459">
        <v>9</v>
      </c>
      <c r="AA122" s="459" t="s">
        <v>2103</v>
      </c>
      <c r="AB122" s="460">
        <v>46505000</v>
      </c>
      <c r="AC122" s="461">
        <v>100</v>
      </c>
      <c r="AD122">
        <f t="shared" si="35"/>
        <v>1</v>
      </c>
      <c r="AU122">
        <f t="shared" si="36"/>
        <v>1</v>
      </c>
      <c r="AV122">
        <f t="shared" si="26"/>
        <v>1</v>
      </c>
      <c r="AW122" s="57">
        <f t="shared" si="29"/>
        <v>121</v>
      </c>
      <c r="AX122" s="57" t="str">
        <f t="shared" si="30"/>
        <v>ECITS Salvage Module (DC)</v>
      </c>
    </row>
    <row r="123" spans="24:50" ht="16">
      <c r="X123">
        <f t="shared" si="27"/>
        <v>3</v>
      </c>
      <c r="Y123">
        <f t="shared" si="28"/>
        <v>122</v>
      </c>
      <c r="Z123" s="459">
        <v>9</v>
      </c>
      <c r="AA123" s="459" t="s">
        <v>2104</v>
      </c>
      <c r="AB123" s="460">
        <v>13090000</v>
      </c>
      <c r="AC123" s="461">
        <v>100</v>
      </c>
      <c r="AD123">
        <f t="shared" si="35"/>
        <v>1</v>
      </c>
      <c r="AU123">
        <f t="shared" si="36"/>
        <v>1</v>
      </c>
      <c r="AV123">
        <f t="shared" si="26"/>
        <v>1</v>
      </c>
      <c r="AW123" s="57">
        <f t="shared" si="29"/>
        <v>122</v>
      </c>
      <c r="AX123" s="57" t="str">
        <f t="shared" si="30"/>
        <v>ECITS Torpedo Module (DC)</v>
      </c>
    </row>
    <row r="124" spans="24:50" ht="16">
      <c r="X124">
        <f t="shared" si="27"/>
        <v>3</v>
      </c>
      <c r="Y124">
        <f t="shared" si="28"/>
        <v>123</v>
      </c>
      <c r="Z124" s="459">
        <v>12</v>
      </c>
      <c r="AA124" s="459" t="s">
        <v>2100</v>
      </c>
      <c r="AB124" s="460">
        <v>18330000</v>
      </c>
      <c r="AC124" s="461">
        <v>50</v>
      </c>
      <c r="AD124">
        <f>IF($N$63="No",-20,1)</f>
        <v>1</v>
      </c>
      <c r="AT124">
        <f>IF($P$63=0,1,IF(AC124&lt;=$P$63,1,-20))</f>
        <v>1</v>
      </c>
      <c r="AV124">
        <f t="shared" si="26"/>
        <v>1</v>
      </c>
      <c r="AW124" s="57">
        <f t="shared" si="29"/>
        <v>123</v>
      </c>
      <c r="AX124" s="57" t="str">
        <f t="shared" si="30"/>
        <v>ECITS Tug (DC)</v>
      </c>
    </row>
    <row r="125" spans="24:50" ht="16">
      <c r="X125">
        <f t="shared" si="27"/>
        <v>3</v>
      </c>
      <c r="Y125">
        <f t="shared" si="28"/>
        <v>124</v>
      </c>
      <c r="Z125" s="459">
        <v>12</v>
      </c>
      <c r="AA125" s="459" t="s">
        <v>2106</v>
      </c>
      <c r="AB125" s="460">
        <v>34236000</v>
      </c>
      <c r="AC125" s="461">
        <v>100</v>
      </c>
      <c r="AD125">
        <f>IF($N$65="No",-20,1)</f>
        <v>1</v>
      </c>
      <c r="AU125">
        <f>IF($P$65=0,1,IF(AC125&lt;=$P$65,1,-20))</f>
        <v>1</v>
      </c>
      <c r="AV125">
        <f t="shared" si="26"/>
        <v>1</v>
      </c>
      <c r="AW125" s="57">
        <f t="shared" si="29"/>
        <v>124</v>
      </c>
      <c r="AX125" s="57" t="str">
        <f t="shared" si="30"/>
        <v>ECITS-Compatable Yacht (DC)</v>
      </c>
    </row>
    <row r="126" spans="24:50">
      <c r="X126">
        <f t="shared" si="27"/>
        <v>4</v>
      </c>
      <c r="Y126">
        <f t="shared" si="28"/>
        <v>125</v>
      </c>
      <c r="Z126">
        <v>12</v>
      </c>
      <c r="AA126" t="s">
        <v>2303</v>
      </c>
      <c r="AB126" s="4">
        <v>249000</v>
      </c>
      <c r="AC126" s="493">
        <v>3.5</v>
      </c>
      <c r="AD126">
        <f>IF($N$62="No",-20,1)</f>
        <v>1</v>
      </c>
      <c r="AR126">
        <f>IF($N$79="No",-20,1)</f>
        <v>1</v>
      </c>
      <c r="AS126">
        <f>IF($P$62=0,1,IF(AC126&lt;=$P$62,1,-20))</f>
        <v>1</v>
      </c>
      <c r="AV126">
        <f t="shared" si="26"/>
        <v>1</v>
      </c>
      <c r="AW126" s="57">
        <f t="shared" si="29"/>
        <v>125</v>
      </c>
      <c r="AX126" s="57" t="str">
        <f t="shared" si="30"/>
        <v>ECO-B3 Ground Car (JTAS Vol. 16)</v>
      </c>
    </row>
    <row r="127" spans="24:50">
      <c r="X127">
        <f t="shared" si="27"/>
        <v>4</v>
      </c>
      <c r="Y127">
        <f t="shared" si="28"/>
        <v>126</v>
      </c>
      <c r="Z127">
        <v>10</v>
      </c>
      <c r="AA127" t="s">
        <v>2274</v>
      </c>
      <c r="AB127" s="4">
        <v>22291000</v>
      </c>
      <c r="AC127" s="493">
        <v>40</v>
      </c>
      <c r="AD127">
        <f>IF($N$63="No",-20,1)</f>
        <v>1</v>
      </c>
      <c r="AR127">
        <f>IF($N$79="No",-20,1)</f>
        <v>1</v>
      </c>
      <c r="AT127">
        <f>IF($P$63=0,1,IF(AC127&lt;=$P$63,1,-20))</f>
        <v>1</v>
      </c>
      <c r="AV127">
        <f t="shared" si="26"/>
        <v>1</v>
      </c>
      <c r="AW127" s="57">
        <f t="shared" si="29"/>
        <v>126</v>
      </c>
      <c r="AX127" s="57" t="str">
        <f t="shared" si="30"/>
        <v>Eli Boarding Pinnace (JTAS Vol. 11)</v>
      </c>
    </row>
    <row r="128" spans="24:50" ht="16">
      <c r="X128">
        <f t="shared" si="27"/>
        <v>4</v>
      </c>
      <c r="Y128">
        <f t="shared" si="28"/>
        <v>127</v>
      </c>
      <c r="Z128" s="459">
        <v>10</v>
      </c>
      <c r="AA128" s="459" t="s">
        <v>2057</v>
      </c>
      <c r="AB128" s="460">
        <v>120960000</v>
      </c>
      <c r="AC128" s="461">
        <v>40</v>
      </c>
      <c r="AD128">
        <f>IF($N$62="No",-20,1)</f>
        <v>1</v>
      </c>
      <c r="AQ128">
        <f>IF($N$78="No",-20,1)</f>
        <v>1</v>
      </c>
      <c r="AS128">
        <f>IF($P$62=0,1,IF(AC128&lt;=$P$62,1,-20))</f>
        <v>1</v>
      </c>
      <c r="AV128">
        <f t="shared" si="26"/>
        <v>1</v>
      </c>
      <c r="AW128" s="57">
        <f t="shared" si="29"/>
        <v>127</v>
      </c>
      <c r="AX128" s="57" t="str">
        <f t="shared" si="30"/>
        <v>Erline Combat Drone (DR:TNSOY)</v>
      </c>
    </row>
    <row r="129" spans="24:50" ht="16">
      <c r="X129">
        <f t="shared" si="27"/>
        <v>4</v>
      </c>
      <c r="Y129">
        <f t="shared" si="28"/>
        <v>128</v>
      </c>
      <c r="Z129" s="459">
        <v>10</v>
      </c>
      <c r="AA129" s="459" t="s">
        <v>2056</v>
      </c>
      <c r="AB129" s="460">
        <v>2640000</v>
      </c>
      <c r="AC129" s="461">
        <v>15</v>
      </c>
      <c r="AD129">
        <f>IF($N$62="No",-20,1)</f>
        <v>1</v>
      </c>
      <c r="AQ129">
        <f>IF($N$78="No",-20,1)</f>
        <v>1</v>
      </c>
      <c r="AS129">
        <f>IF($P$62=0,1,IF(AC129&lt;=$P$62,1,-20))</f>
        <v>1</v>
      </c>
      <c r="AV129">
        <f t="shared" si="26"/>
        <v>1</v>
      </c>
      <c r="AW129" s="57">
        <f t="shared" si="29"/>
        <v>128</v>
      </c>
      <c r="AX129" s="57" t="str">
        <f t="shared" si="30"/>
        <v>Erline Combat Walker (DR:TNSOY)</v>
      </c>
    </row>
    <row r="130" spans="24:50">
      <c r="X130">
        <f t="shared" si="27"/>
        <v>4</v>
      </c>
      <c r="Y130">
        <f t="shared" si="28"/>
        <v>129</v>
      </c>
      <c r="Z130">
        <v>12</v>
      </c>
      <c r="AA130" t="s">
        <v>1978</v>
      </c>
      <c r="AB130" s="4">
        <v>395750</v>
      </c>
      <c r="AC130" s="453">
        <v>4.5</v>
      </c>
      <c r="AD130">
        <f>IF($N$62="No",-20,1)</f>
        <v>1</v>
      </c>
      <c r="AO130">
        <f>IF($N$76="No",-20,1)</f>
        <v>1</v>
      </c>
      <c r="AS130">
        <f>IF($P$62=0,1,IF(AC130&lt;=$P$62,1,-20))</f>
        <v>1</v>
      </c>
      <c r="AV130">
        <f t="shared" si="26"/>
        <v>1</v>
      </c>
      <c r="AW130" s="57">
        <f t="shared" si="29"/>
        <v>129</v>
      </c>
      <c r="AX130" s="57" t="str">
        <f t="shared" si="30"/>
        <v>Exfil Ornithopter</v>
      </c>
    </row>
    <row r="131" spans="24:50">
      <c r="X131">
        <f t="shared" si="27"/>
        <v>3</v>
      </c>
      <c r="Y131">
        <f t="shared" si="28"/>
        <v>130</v>
      </c>
      <c r="Z131">
        <v>12</v>
      </c>
      <c r="AA131" t="s">
        <v>2017</v>
      </c>
      <c r="AB131" s="4">
        <v>12750000</v>
      </c>
      <c r="AC131" s="453">
        <v>24</v>
      </c>
      <c r="AD131">
        <f>IF($N$62="No",-20,1)</f>
        <v>1</v>
      </c>
      <c r="AS131">
        <f>IF($P$62=0,1,IF(AC131&lt;=$P$62,1,-20))</f>
        <v>1</v>
      </c>
      <c r="AV131">
        <f t="shared" ref="AV131:AV194" si="37">IF($N$61="Yes",1,IF(Z131&gt;TL,-20,1))</f>
        <v>1</v>
      </c>
      <c r="AW131" s="57">
        <f t="shared" si="29"/>
        <v>130</v>
      </c>
      <c r="AX131" s="57" t="str">
        <f t="shared" si="30"/>
        <v>Expeditionary Crawler</v>
      </c>
    </row>
    <row r="132" spans="24:50" ht="16">
      <c r="X132">
        <f t="shared" ref="X132:X195" si="38">SUM(AD132:AV132)</f>
        <v>3</v>
      </c>
      <c r="Y132">
        <f t="shared" ref="Y132:Y195" si="39">IF(X132&gt;0,Y131+1,Y131)</f>
        <v>131</v>
      </c>
      <c r="Z132" s="459">
        <v>15</v>
      </c>
      <c r="AA132" s="459" t="s">
        <v>2122</v>
      </c>
      <c r="AB132" s="460">
        <v>935800000</v>
      </c>
      <c r="AC132" s="461">
        <v>2600</v>
      </c>
      <c r="AD132">
        <f>IF($N$65="No",-20,1)</f>
        <v>1</v>
      </c>
      <c r="AU132">
        <f>IF($P$65=0,1,IF(AC132&lt;=$P$65,1,-20))</f>
        <v>1</v>
      </c>
      <c r="AV132">
        <f t="shared" si="37"/>
        <v>1</v>
      </c>
      <c r="AW132" s="57">
        <f t="shared" ref="AW132:AW195" si="40">AW131+1</f>
        <v>131</v>
      </c>
      <c r="AX132" s="57" t="str">
        <f t="shared" ref="AX132:AX195" si="41">IF(AW132&gt;$AW$1,"",INDEX($Y$2:$AA$482,MATCH(AW132,$Y$2:$Y$482,0),3))</f>
        <v>Exploration Pod (ECC)</v>
      </c>
    </row>
    <row r="133" spans="24:50">
      <c r="X133">
        <f t="shared" si="38"/>
        <v>3</v>
      </c>
      <c r="Y133">
        <f t="shared" si="39"/>
        <v>132</v>
      </c>
      <c r="Z133">
        <v>12</v>
      </c>
      <c r="AA133" t="s">
        <v>2018</v>
      </c>
      <c r="AB133" s="4">
        <v>559950</v>
      </c>
      <c r="AC133" s="453">
        <v>5</v>
      </c>
      <c r="AD133">
        <f>IF($N$62="No",-20,1)</f>
        <v>1</v>
      </c>
      <c r="AS133">
        <f>IF($P$62=0,1,IF(AC133&lt;=$P$62,1,-20))</f>
        <v>1</v>
      </c>
      <c r="AV133">
        <f t="shared" si="37"/>
        <v>1</v>
      </c>
      <c r="AW133" s="57">
        <f t="shared" si="40"/>
        <v>132</v>
      </c>
      <c r="AX133" s="57" t="str">
        <f t="shared" si="41"/>
        <v>Explorer Mini-Sub</v>
      </c>
    </row>
    <row r="134" spans="24:50">
      <c r="X134">
        <f t="shared" si="38"/>
        <v>4</v>
      </c>
      <c r="Y134">
        <f t="shared" si="39"/>
        <v>133</v>
      </c>
      <c r="Z134">
        <v>9</v>
      </c>
      <c r="AA134" t="s">
        <v>1801</v>
      </c>
      <c r="AB134" s="4">
        <v>19205000</v>
      </c>
      <c r="AC134">
        <v>95</v>
      </c>
      <c r="AD134">
        <f>IF($N$63="No",-20,1)</f>
        <v>1</v>
      </c>
      <c r="AG134">
        <f>IF($N$68="No",-20,1)</f>
        <v>1</v>
      </c>
      <c r="AT134">
        <f>IF($P$63=0,1,IF(AC134&lt;=$P$63,1,-20))</f>
        <v>1</v>
      </c>
      <c r="AV134">
        <f t="shared" si="37"/>
        <v>1</v>
      </c>
      <c r="AW134" s="57">
        <f t="shared" si="40"/>
        <v>133</v>
      </c>
      <c r="AX134" s="57" t="str">
        <f t="shared" si="41"/>
        <v>ExtRng Passenger Shuttle</v>
      </c>
    </row>
    <row r="135" spans="24:50" ht="16">
      <c r="X135">
        <f t="shared" si="38"/>
        <v>3</v>
      </c>
      <c r="Y135">
        <f t="shared" si="39"/>
        <v>134</v>
      </c>
      <c r="Z135" s="459">
        <v>12</v>
      </c>
      <c r="AA135" s="459" t="s">
        <v>2380</v>
      </c>
      <c r="AB135" s="460">
        <v>863000</v>
      </c>
      <c r="AC135" s="461">
        <v>15</v>
      </c>
      <c r="AD135">
        <f>IF($N$62="No",-20,1)</f>
        <v>1</v>
      </c>
      <c r="AS135">
        <f>IF($P$62=0,1,IF(AC135&lt;=$P$62,1,-20))</f>
        <v>1</v>
      </c>
      <c r="AV135">
        <f t="shared" si="37"/>
        <v>1</v>
      </c>
      <c r="AW135" s="57">
        <f t="shared" si="40"/>
        <v>134</v>
      </c>
      <c r="AX135" s="57" t="str">
        <f t="shared" si="41"/>
        <v>Famat–12 All–Terrain Vehicle (Rim Expeditions)</v>
      </c>
    </row>
    <row r="136" spans="24:50" ht="16">
      <c r="X136">
        <f t="shared" si="38"/>
        <v>3</v>
      </c>
      <c r="Y136">
        <f t="shared" si="39"/>
        <v>135</v>
      </c>
      <c r="Z136" s="459">
        <v>12</v>
      </c>
      <c r="AA136" s="459" t="s">
        <v>2379</v>
      </c>
      <c r="AB136" s="460">
        <v>301000</v>
      </c>
      <c r="AC136" s="461">
        <v>5</v>
      </c>
      <c r="AD136">
        <f>IF($N$62="No",-20,1)</f>
        <v>1</v>
      </c>
      <c r="AS136">
        <f>IF($P$62=0,1,IF(AC136&lt;=$P$62,1,-20))</f>
        <v>1</v>
      </c>
      <c r="AV136">
        <f t="shared" si="37"/>
        <v>1</v>
      </c>
      <c r="AW136" s="57">
        <f t="shared" si="40"/>
        <v>135</v>
      </c>
      <c r="AX136" s="57" t="str">
        <f t="shared" si="41"/>
        <v>Famat–4 All–Terrain Vehicle (Rim Expeditions)</v>
      </c>
    </row>
    <row r="137" spans="24:50">
      <c r="X137">
        <f t="shared" si="38"/>
        <v>4</v>
      </c>
      <c r="Y137">
        <f t="shared" si="39"/>
        <v>136</v>
      </c>
      <c r="Z137">
        <v>8</v>
      </c>
      <c r="AA137" t="s">
        <v>2286</v>
      </c>
      <c r="AB137" s="4">
        <v>79400</v>
      </c>
      <c r="AC137" s="493">
        <v>2.5</v>
      </c>
      <c r="AD137">
        <f>IF($N$62="No",-20,1)</f>
        <v>1</v>
      </c>
      <c r="AR137">
        <f>IF($N$79="No",-20,1)</f>
        <v>1</v>
      </c>
      <c r="AS137">
        <f>IF($P$62=0,1,IF(AC137&lt;=$P$62,1,-20))</f>
        <v>1</v>
      </c>
      <c r="AV137">
        <f t="shared" si="37"/>
        <v>1</v>
      </c>
      <c r="AW137" s="57">
        <f t="shared" si="40"/>
        <v>136</v>
      </c>
      <c r="AX137" s="57" t="str">
        <f t="shared" si="41"/>
        <v>Farm-Crawler (JTAS Vol. 13)</v>
      </c>
    </row>
    <row r="138" spans="24:50">
      <c r="X138">
        <f t="shared" si="38"/>
        <v>4</v>
      </c>
      <c r="Y138">
        <f t="shared" si="39"/>
        <v>137</v>
      </c>
      <c r="Z138">
        <v>15</v>
      </c>
      <c r="AA138" t="s">
        <v>1815</v>
      </c>
      <c r="AB138" s="4">
        <v>15930000</v>
      </c>
      <c r="AC138">
        <v>50</v>
      </c>
      <c r="AD138">
        <f>IF($N$63="No",-20,1)</f>
        <v>1</v>
      </c>
      <c r="AG138">
        <f>IF($N$68="No",-20,1)</f>
        <v>1</v>
      </c>
      <c r="AT138">
        <f>IF($P$63=0,1,IF(AC138&lt;=$P$63,1,-20))</f>
        <v>1</v>
      </c>
      <c r="AV138">
        <f t="shared" si="37"/>
        <v>1</v>
      </c>
      <c r="AW138" s="57">
        <f t="shared" si="40"/>
        <v>137</v>
      </c>
      <c r="AX138" s="57" t="str">
        <f t="shared" si="41"/>
        <v>Fast Cutter</v>
      </c>
    </row>
    <row r="139" spans="24:50">
      <c r="X139">
        <f t="shared" si="38"/>
        <v>4</v>
      </c>
      <c r="Y139">
        <f t="shared" si="39"/>
        <v>138</v>
      </c>
      <c r="Z139">
        <v>12</v>
      </c>
      <c r="AA139" t="s">
        <v>1831</v>
      </c>
      <c r="AB139" s="4">
        <v>5290000</v>
      </c>
      <c r="AC139">
        <v>20</v>
      </c>
      <c r="AD139">
        <f>IF($N$63="No",-20,1)</f>
        <v>1</v>
      </c>
      <c r="AG139">
        <f>IF($N$68="No",-20,1)</f>
        <v>1</v>
      </c>
      <c r="AT139">
        <f>IF($P$63=0,1,IF(AC139&lt;=$P$63,1,-20))</f>
        <v>1</v>
      </c>
      <c r="AV139">
        <f t="shared" si="37"/>
        <v>1</v>
      </c>
      <c r="AW139" s="57">
        <f t="shared" si="40"/>
        <v>138</v>
      </c>
      <c r="AX139" s="57" t="str">
        <f t="shared" si="41"/>
        <v>Fast Launch</v>
      </c>
    </row>
    <row r="140" spans="24:50">
      <c r="X140">
        <f t="shared" si="38"/>
        <v>4</v>
      </c>
      <c r="Y140">
        <f t="shared" si="39"/>
        <v>139</v>
      </c>
      <c r="Z140">
        <v>12</v>
      </c>
      <c r="AA140" t="s">
        <v>2268</v>
      </c>
      <c r="AB140" s="4">
        <v>11350000</v>
      </c>
      <c r="AC140" s="493">
        <v>20</v>
      </c>
      <c r="AD140">
        <f>IF($N$63="No",-20,1)</f>
        <v>1</v>
      </c>
      <c r="AR140">
        <f>IF($N$79="No",-20,1)</f>
        <v>1</v>
      </c>
      <c r="AT140">
        <f>IF($P$63=0,1,IF(AC140&lt;=$P$63,1,-20))</f>
        <v>1</v>
      </c>
      <c r="AV140">
        <f t="shared" si="37"/>
        <v>1</v>
      </c>
      <c r="AW140" s="57">
        <f t="shared" si="40"/>
        <v>139</v>
      </c>
      <c r="AX140" s="57" t="str">
        <f t="shared" si="41"/>
        <v>Fast Launch (JTAS Vol. 9)</v>
      </c>
    </row>
    <row r="141" spans="24:50">
      <c r="X141">
        <f t="shared" si="38"/>
        <v>4</v>
      </c>
      <c r="Y141">
        <f t="shared" si="39"/>
        <v>140</v>
      </c>
      <c r="Z141">
        <v>12</v>
      </c>
      <c r="AA141" t="s">
        <v>1799</v>
      </c>
      <c r="AB141" s="4">
        <v>20882000</v>
      </c>
      <c r="AC141">
        <v>90</v>
      </c>
      <c r="AD141">
        <f>IF($N$63="No",-20,1)</f>
        <v>1</v>
      </c>
      <c r="AG141">
        <f>IF($N$68="No",-20,1)</f>
        <v>1</v>
      </c>
      <c r="AT141">
        <f>IF($P$63=0,1,IF(AC141&lt;=$P$63,1,-20))</f>
        <v>1</v>
      </c>
      <c r="AV141">
        <f t="shared" si="37"/>
        <v>1</v>
      </c>
      <c r="AW141" s="57">
        <f t="shared" si="40"/>
        <v>140</v>
      </c>
      <c r="AX141" s="57" t="str">
        <f t="shared" si="41"/>
        <v>Fast Shuttle</v>
      </c>
    </row>
    <row r="142" spans="24:50" ht="16">
      <c r="X142">
        <f t="shared" si="38"/>
        <v>3</v>
      </c>
      <c r="Y142">
        <f t="shared" si="39"/>
        <v>141</v>
      </c>
      <c r="Z142" s="459">
        <v>7</v>
      </c>
      <c r="AA142" s="459" t="s">
        <v>2217</v>
      </c>
      <c r="AB142" s="460">
        <v>3750</v>
      </c>
      <c r="AC142" s="461">
        <v>2</v>
      </c>
      <c r="AD142">
        <f>IF($N$62="No",-20,1)</f>
        <v>1</v>
      </c>
      <c r="AS142">
        <f>IF($P$62=0,1,IF(AC142&lt;=$P$62,1,-20))</f>
        <v>1</v>
      </c>
      <c r="AV142">
        <f t="shared" si="37"/>
        <v>1</v>
      </c>
      <c r="AW142" s="57">
        <f t="shared" si="40"/>
        <v>141</v>
      </c>
      <c r="AX142" s="57" t="str">
        <f t="shared" si="41"/>
        <v>Field Buggy (Great Rift Adventure 3)</v>
      </c>
    </row>
    <row r="143" spans="24:50">
      <c r="X143">
        <f t="shared" si="38"/>
        <v>3</v>
      </c>
      <c r="Y143">
        <f t="shared" si="39"/>
        <v>142</v>
      </c>
      <c r="Z143">
        <v>9</v>
      </c>
      <c r="AA143" t="s">
        <v>2167</v>
      </c>
      <c r="AB143" s="4">
        <v>44400</v>
      </c>
      <c r="AC143" s="493">
        <v>8</v>
      </c>
      <c r="AD143">
        <f>IF($N$62="No",-20,1)</f>
        <v>1</v>
      </c>
      <c r="AS143">
        <f>IF($P$62=0,1,IF(AC143&lt;=$P$62,1,-20))</f>
        <v>1</v>
      </c>
      <c r="AV143">
        <f t="shared" si="37"/>
        <v>1</v>
      </c>
      <c r="AW143" s="57">
        <f t="shared" si="40"/>
        <v>142</v>
      </c>
      <c r="AX143" s="57" t="str">
        <f t="shared" si="41"/>
        <v>Field Ranger Utility Vehicle (Field Catalogue)</v>
      </c>
    </row>
    <row r="144" spans="24:50" ht="16">
      <c r="X144">
        <f t="shared" si="38"/>
        <v>3</v>
      </c>
      <c r="Y144">
        <f t="shared" si="39"/>
        <v>143</v>
      </c>
      <c r="Z144" s="459">
        <v>15</v>
      </c>
      <c r="AA144" s="459" t="s">
        <v>2120</v>
      </c>
      <c r="AB144" s="460">
        <v>1339800000</v>
      </c>
      <c r="AC144" s="461">
        <v>2600</v>
      </c>
      <c r="AD144">
        <f>IF($N$65="No",-20,1)</f>
        <v>1</v>
      </c>
      <c r="AU144">
        <f>IF($P$65=0,1,IF(AC144&lt;=$P$65,1,-20))</f>
        <v>1</v>
      </c>
      <c r="AV144">
        <f t="shared" si="37"/>
        <v>1</v>
      </c>
      <c r="AW144" s="57">
        <f t="shared" si="40"/>
        <v>143</v>
      </c>
      <c r="AX144" s="57" t="str">
        <f t="shared" si="41"/>
        <v>Fighter Pod (ECC)</v>
      </c>
    </row>
    <row r="145" spans="24:50">
      <c r="X145">
        <f t="shared" si="38"/>
        <v>5</v>
      </c>
      <c r="Y145">
        <f t="shared" si="39"/>
        <v>144</v>
      </c>
      <c r="Z145">
        <v>12</v>
      </c>
      <c r="AA145" t="s">
        <v>1832</v>
      </c>
      <c r="AB145" s="4">
        <v>10630000</v>
      </c>
      <c r="AC145">
        <v>20</v>
      </c>
      <c r="AD145">
        <f>IF($N$63="No",-20,1)</f>
        <v>1</v>
      </c>
      <c r="AE145">
        <f>IF($N$64="No",-20,1)</f>
        <v>1</v>
      </c>
      <c r="AG145">
        <f>IF($N$68="No",-20,1)</f>
        <v>1</v>
      </c>
      <c r="AT145">
        <f>IF($P$63=0,1,IF(AC145&lt;=$P$63,1,-20))</f>
        <v>1</v>
      </c>
      <c r="AV145">
        <f t="shared" si="37"/>
        <v>1</v>
      </c>
      <c r="AW145" s="57">
        <f t="shared" si="40"/>
        <v>144</v>
      </c>
      <c r="AX145" s="57" t="str">
        <f t="shared" si="41"/>
        <v>Fighting Launch</v>
      </c>
    </row>
    <row r="146" spans="24:50">
      <c r="X146">
        <f t="shared" si="38"/>
        <v>4</v>
      </c>
      <c r="Y146">
        <f t="shared" si="39"/>
        <v>145</v>
      </c>
      <c r="Z146">
        <v>15</v>
      </c>
      <c r="AA146" t="s">
        <v>1781</v>
      </c>
      <c r="AB146" s="4">
        <v>44950000</v>
      </c>
      <c r="AC146">
        <v>30</v>
      </c>
      <c r="AD146">
        <f>IF($N$62="No",-20,1)</f>
        <v>1</v>
      </c>
      <c r="AH146">
        <f>IF($N$69="No",-20,1)</f>
        <v>1</v>
      </c>
      <c r="AS146">
        <f>IF($P$62=0,1,IF(AC146&lt;=$P$62,1,-20))</f>
        <v>1</v>
      </c>
      <c r="AV146">
        <f t="shared" si="37"/>
        <v>1</v>
      </c>
      <c r="AW146" s="57">
        <f t="shared" si="40"/>
        <v>145</v>
      </c>
      <c r="AX146" s="57" t="str">
        <f t="shared" si="41"/>
        <v>Firehammer G/Fighter</v>
      </c>
    </row>
    <row r="147" spans="24:50" ht="16">
      <c r="X147">
        <f t="shared" si="38"/>
        <v>3</v>
      </c>
      <c r="Y147">
        <f t="shared" si="39"/>
        <v>146</v>
      </c>
      <c r="Z147" s="459">
        <v>15</v>
      </c>
      <c r="AA147" s="459" t="s">
        <v>2121</v>
      </c>
      <c r="AB147" s="460">
        <v>2649360000</v>
      </c>
      <c r="AC147" s="461">
        <v>2600</v>
      </c>
      <c r="AD147">
        <f>IF($N$65="No",-20,1)</f>
        <v>1</v>
      </c>
      <c r="AU147">
        <f>IF($P$65=0,1,IF(AC147&lt;=$P$65,1,-20))</f>
        <v>1</v>
      </c>
      <c r="AV147">
        <f t="shared" si="37"/>
        <v>1</v>
      </c>
      <c r="AW147" s="57">
        <f t="shared" si="40"/>
        <v>146</v>
      </c>
      <c r="AX147" s="57" t="str">
        <f t="shared" si="41"/>
        <v>Forward Communications Pod (ECC)</v>
      </c>
    </row>
    <row r="148" spans="24:50" ht="16">
      <c r="X148">
        <f t="shared" si="38"/>
        <v>4</v>
      </c>
      <c r="Y148">
        <f t="shared" si="39"/>
        <v>147</v>
      </c>
      <c r="Z148" s="459">
        <v>12</v>
      </c>
      <c r="AA148" s="459" t="s">
        <v>2221</v>
      </c>
      <c r="AB148" s="460">
        <v>112000</v>
      </c>
      <c r="AC148" s="461">
        <v>5</v>
      </c>
      <c r="AD148">
        <f>IF($N$62="No",-20,1)</f>
        <v>1</v>
      </c>
      <c r="AR148">
        <f>IF($N$79="No",-20,1)</f>
        <v>1</v>
      </c>
      <c r="AS148">
        <f>IF($P$62=0,1,IF(AC148&lt;=$P$62,1,-20))</f>
        <v>1</v>
      </c>
      <c r="AV148">
        <f t="shared" si="37"/>
        <v>1</v>
      </c>
      <c r="AW148" s="57">
        <f t="shared" si="40"/>
        <v>147</v>
      </c>
      <c r="AX148" s="57" t="str">
        <f t="shared" si="41"/>
        <v>Four-Wheel ATV (JTAS Vol. 1)</v>
      </c>
    </row>
    <row r="149" spans="24:50" ht="16">
      <c r="X149">
        <f t="shared" si="38"/>
        <v>4</v>
      </c>
      <c r="Y149">
        <f t="shared" si="39"/>
        <v>148</v>
      </c>
      <c r="Z149" s="459">
        <v>8</v>
      </c>
      <c r="AA149" s="459" t="s">
        <v>2228</v>
      </c>
      <c r="AB149" s="460">
        <v>3240000</v>
      </c>
      <c r="AC149" s="461">
        <v>14</v>
      </c>
      <c r="AD149">
        <f>IF($N$62="No",-20,1)</f>
        <v>1</v>
      </c>
      <c r="AR149">
        <f>IF($N$79="No",-20,1)</f>
        <v>1</v>
      </c>
      <c r="AS149">
        <f>IF($P$62=0,1,IF(AC149&lt;=$P$62,1,-20))</f>
        <v>1</v>
      </c>
      <c r="AV149">
        <f t="shared" si="37"/>
        <v>1</v>
      </c>
      <c r="AW149" s="57">
        <f t="shared" si="40"/>
        <v>148</v>
      </c>
      <c r="AX149" s="57" t="str">
        <f t="shared" si="41"/>
        <v>Foxhound Air Superiority Fighter (JTAS Vol. 2)</v>
      </c>
    </row>
    <row r="150" spans="24:50">
      <c r="X150">
        <f t="shared" si="38"/>
        <v>4</v>
      </c>
      <c r="Y150">
        <f t="shared" si="39"/>
        <v>149</v>
      </c>
      <c r="Z150">
        <v>9</v>
      </c>
      <c r="AA150" t="s">
        <v>1803</v>
      </c>
      <c r="AB150" s="4">
        <v>1600300</v>
      </c>
      <c r="AC150">
        <v>6</v>
      </c>
      <c r="AD150">
        <f>IF($N$63="No",-20,1)</f>
        <v>1</v>
      </c>
      <c r="AG150">
        <f>IF($N$68="No",-20,1)</f>
        <v>1</v>
      </c>
      <c r="AT150">
        <f>IF($P$63=0,1,IF(AC150&lt;=$P$63,1,-20))</f>
        <v>1</v>
      </c>
      <c r="AV150">
        <f t="shared" si="37"/>
        <v>1</v>
      </c>
      <c r="AW150" s="57">
        <f t="shared" si="40"/>
        <v>149</v>
      </c>
      <c r="AX150" s="57" t="str">
        <f t="shared" si="41"/>
        <v>Freight Handler Pod</v>
      </c>
    </row>
    <row r="151" spans="24:50" ht="16">
      <c r="X151">
        <f t="shared" si="38"/>
        <v>4</v>
      </c>
      <c r="Y151">
        <f t="shared" si="39"/>
        <v>150</v>
      </c>
      <c r="Z151" s="459">
        <v>12</v>
      </c>
      <c r="AA151" s="459" t="s">
        <v>2240</v>
      </c>
      <c r="AB151" s="460">
        <v>692550</v>
      </c>
      <c r="AC151" s="461">
        <v>25</v>
      </c>
      <c r="AD151">
        <f>IF($N$62="No",-20,1)</f>
        <v>1</v>
      </c>
      <c r="AR151">
        <f>IF($N$79="No",-20,1)</f>
        <v>1</v>
      </c>
      <c r="AS151">
        <f>IF($P$62=0,1,IF(AC151&lt;=$P$62,1,-20))</f>
        <v>1</v>
      </c>
      <c r="AV151">
        <f t="shared" si="37"/>
        <v>1</v>
      </c>
      <c r="AW151" s="57">
        <f t="shared" si="40"/>
        <v>150</v>
      </c>
      <c r="AX151" s="57" t="str">
        <f t="shared" si="41"/>
        <v>FT-500 Field Power Unit (JTAS Vol. 5)</v>
      </c>
    </row>
    <row r="152" spans="24:50">
      <c r="X152">
        <f t="shared" si="38"/>
        <v>4</v>
      </c>
      <c r="Y152">
        <f t="shared" si="39"/>
        <v>151</v>
      </c>
      <c r="Z152">
        <v>12</v>
      </c>
      <c r="AA152" t="s">
        <v>1973</v>
      </c>
      <c r="AB152" s="4">
        <v>12980000</v>
      </c>
      <c r="AC152" s="453">
        <v>100</v>
      </c>
      <c r="AD152">
        <f>IF($N$65="No",-20,1)</f>
        <v>1</v>
      </c>
      <c r="AN152">
        <f>IF($N$75="No",-20,1)</f>
        <v>1</v>
      </c>
      <c r="AU152">
        <f>IF($P$65=0,1,IF(AC152&lt;=$P$65,1,-20))</f>
        <v>1</v>
      </c>
      <c r="AV152">
        <f t="shared" si="37"/>
        <v>1</v>
      </c>
      <c r="AW152" s="57">
        <f t="shared" si="40"/>
        <v>151</v>
      </c>
      <c r="AX152" s="57" t="str">
        <f t="shared" si="41"/>
        <v xml:space="preserve">Fuel Lighter </v>
      </c>
    </row>
    <row r="153" spans="24:50" ht="16">
      <c r="X153">
        <f t="shared" si="38"/>
        <v>3</v>
      </c>
      <c r="Y153">
        <f t="shared" si="39"/>
        <v>152</v>
      </c>
      <c r="Z153" s="459">
        <v>15</v>
      </c>
      <c r="AA153" s="459" t="s">
        <v>2115</v>
      </c>
      <c r="AB153" s="460">
        <v>510600000</v>
      </c>
      <c r="AC153" s="461">
        <v>2600</v>
      </c>
      <c r="AD153">
        <f>IF($N$65="No",-20,1)</f>
        <v>1</v>
      </c>
      <c r="AU153">
        <f>IF($P$65=0,1,IF(AC153&lt;=$P$65,1,-20))</f>
        <v>1</v>
      </c>
      <c r="AV153">
        <f t="shared" si="37"/>
        <v>1</v>
      </c>
      <c r="AW153" s="57">
        <f t="shared" si="40"/>
        <v>152</v>
      </c>
      <c r="AX153" s="57" t="str">
        <f t="shared" si="41"/>
        <v>Fuel Pod (ECC)</v>
      </c>
    </row>
    <row r="154" spans="24:50">
      <c r="X154">
        <f t="shared" si="38"/>
        <v>4</v>
      </c>
      <c r="Y154">
        <f t="shared" si="39"/>
        <v>153</v>
      </c>
      <c r="Z154">
        <v>12</v>
      </c>
      <c r="AA154" t="s">
        <v>1737</v>
      </c>
      <c r="AB154" s="4">
        <v>46000</v>
      </c>
      <c r="AC154">
        <v>0.5</v>
      </c>
      <c r="AD154">
        <f t="shared" ref="AD154:AD159" si="42">IF($N$62="No",-20,1)</f>
        <v>1</v>
      </c>
      <c r="AI154">
        <f>IF($N$70="No",-20,1)</f>
        <v>1</v>
      </c>
      <c r="AS154">
        <f t="shared" ref="AS154:AS159" si="43">IF($P$62=0,1,IF(AC154&lt;=$P$62,1,-20))</f>
        <v>1</v>
      </c>
      <c r="AV154">
        <f t="shared" si="37"/>
        <v>1</v>
      </c>
      <c r="AW154" s="57">
        <f t="shared" si="40"/>
        <v>153</v>
      </c>
      <c r="AX154" s="57" t="str">
        <f t="shared" si="41"/>
        <v>G/Bike</v>
      </c>
    </row>
    <row r="155" spans="24:50">
      <c r="X155">
        <f t="shared" si="38"/>
        <v>4</v>
      </c>
      <c r="Y155">
        <f t="shared" si="39"/>
        <v>154</v>
      </c>
      <c r="Z155">
        <v>10</v>
      </c>
      <c r="AA155" t="s">
        <v>2301</v>
      </c>
      <c r="AB155" s="4">
        <v>201800</v>
      </c>
      <c r="AC155" s="493">
        <v>1</v>
      </c>
      <c r="AD155">
        <f t="shared" si="42"/>
        <v>1</v>
      </c>
      <c r="AR155">
        <f>IF($N$79="No",-20,1)</f>
        <v>1</v>
      </c>
      <c r="AS155">
        <f t="shared" si="43"/>
        <v>1</v>
      </c>
      <c r="AV155">
        <f t="shared" si="37"/>
        <v>1</v>
      </c>
      <c r="AW155" s="57">
        <f t="shared" si="40"/>
        <v>154</v>
      </c>
      <c r="AX155" s="57" t="str">
        <f t="shared" si="41"/>
        <v>G/Bike w/Fusion+ (JTAS Vol. 15)</v>
      </c>
    </row>
    <row r="156" spans="24:50">
      <c r="X156">
        <f t="shared" si="38"/>
        <v>4</v>
      </c>
      <c r="Y156">
        <f t="shared" si="39"/>
        <v>155</v>
      </c>
      <c r="Z156">
        <v>15</v>
      </c>
      <c r="AA156" t="s">
        <v>1741</v>
      </c>
      <c r="AB156" s="4">
        <v>11580000</v>
      </c>
      <c r="AC156">
        <v>15</v>
      </c>
      <c r="AD156">
        <f t="shared" si="42"/>
        <v>1</v>
      </c>
      <c r="AI156">
        <f>IF($N$70="No",-20,1)</f>
        <v>1</v>
      </c>
      <c r="AS156">
        <f t="shared" si="43"/>
        <v>1</v>
      </c>
      <c r="AV156">
        <f t="shared" si="37"/>
        <v>1</v>
      </c>
      <c r="AW156" s="57">
        <f t="shared" si="40"/>
        <v>155</v>
      </c>
      <c r="AX156" s="57" t="str">
        <f t="shared" si="41"/>
        <v>G/Carrier</v>
      </c>
    </row>
    <row r="157" spans="24:50">
      <c r="X157">
        <f t="shared" si="38"/>
        <v>4</v>
      </c>
      <c r="Y157">
        <f t="shared" si="39"/>
        <v>156</v>
      </c>
      <c r="Z157">
        <v>10</v>
      </c>
      <c r="AA157" t="s">
        <v>2299</v>
      </c>
      <c r="AB157" s="4">
        <v>474500</v>
      </c>
      <c r="AC157" s="493">
        <v>4</v>
      </c>
      <c r="AD157">
        <f t="shared" si="42"/>
        <v>1</v>
      </c>
      <c r="AR157">
        <f>IF($N$79="No",-20,1)</f>
        <v>1</v>
      </c>
      <c r="AS157">
        <f t="shared" si="43"/>
        <v>1</v>
      </c>
      <c r="AV157">
        <f t="shared" si="37"/>
        <v>1</v>
      </c>
      <c r="AW157" s="57">
        <f t="shared" si="40"/>
        <v>156</v>
      </c>
      <c r="AX157" s="57" t="str">
        <f t="shared" si="41"/>
        <v>G/Carrier w/Fusion+ (JTAS Vol. 15)</v>
      </c>
    </row>
    <row r="158" spans="24:50">
      <c r="X158">
        <f t="shared" si="38"/>
        <v>4</v>
      </c>
      <c r="Y158">
        <f t="shared" si="39"/>
        <v>157</v>
      </c>
      <c r="Z158">
        <v>9</v>
      </c>
      <c r="AA158" t="s">
        <v>1738</v>
      </c>
      <c r="AB158" s="4">
        <v>300000</v>
      </c>
      <c r="AC158">
        <v>3</v>
      </c>
      <c r="AD158">
        <f t="shared" si="42"/>
        <v>1</v>
      </c>
      <c r="AI158">
        <f>IF($N$70="No",-20,1)</f>
        <v>1</v>
      </c>
      <c r="AS158">
        <f t="shared" si="43"/>
        <v>1</v>
      </c>
      <c r="AV158">
        <f t="shared" si="37"/>
        <v>1</v>
      </c>
      <c r="AW158" s="57">
        <f t="shared" si="40"/>
        <v>157</v>
      </c>
      <c r="AX158" s="57" t="str">
        <f t="shared" si="41"/>
        <v>G/Racer</v>
      </c>
    </row>
    <row r="159" spans="24:50">
      <c r="X159">
        <f t="shared" si="38"/>
        <v>4</v>
      </c>
      <c r="Y159">
        <f t="shared" si="39"/>
        <v>158</v>
      </c>
      <c r="Z159">
        <v>10</v>
      </c>
      <c r="AA159" t="s">
        <v>1774</v>
      </c>
      <c r="AB159" s="4">
        <v>49500</v>
      </c>
      <c r="AC159">
        <v>1.5</v>
      </c>
      <c r="AD159">
        <f t="shared" si="42"/>
        <v>1</v>
      </c>
      <c r="AH159">
        <f>IF($N$69="No",-20,1)</f>
        <v>1</v>
      </c>
      <c r="AS159">
        <f t="shared" si="43"/>
        <v>1</v>
      </c>
      <c r="AV159">
        <f t="shared" si="37"/>
        <v>1</v>
      </c>
      <c r="AW159" s="57">
        <f t="shared" si="40"/>
        <v>158</v>
      </c>
      <c r="AX159" s="57" t="str">
        <f t="shared" si="41"/>
        <v>G/Runner City Car</v>
      </c>
    </row>
    <row r="160" spans="24:50" ht="16">
      <c r="X160">
        <f t="shared" si="38"/>
        <v>3</v>
      </c>
      <c r="Y160">
        <f t="shared" si="39"/>
        <v>159</v>
      </c>
      <c r="Z160" s="459">
        <v>10</v>
      </c>
      <c r="AA160" s="459" t="s">
        <v>2313</v>
      </c>
      <c r="AB160" s="460">
        <v>1974000</v>
      </c>
      <c r="AC160" s="461">
        <v>12</v>
      </c>
      <c r="AD160">
        <f>IF($N$63="No",-20,1)</f>
        <v>1</v>
      </c>
      <c r="AT160">
        <f>IF($P$63=0,1,IF(AC160&lt;=$P$63,1,-20))</f>
        <v>1</v>
      </c>
      <c r="AV160">
        <f t="shared" si="37"/>
        <v>1</v>
      </c>
      <c r="AW160" s="57">
        <f t="shared" si="40"/>
        <v>159</v>
      </c>
      <c r="AX160" s="57" t="str">
        <f t="shared" si="41"/>
        <v>Galian Interceptior Platform (Mercenary Adventure 1)</v>
      </c>
    </row>
    <row r="161" spans="24:50">
      <c r="X161">
        <f t="shared" si="38"/>
        <v>4</v>
      </c>
      <c r="Y161">
        <f t="shared" si="39"/>
        <v>160</v>
      </c>
      <c r="Z161">
        <v>7</v>
      </c>
      <c r="AA161" t="s">
        <v>1739</v>
      </c>
      <c r="AB161" s="4">
        <v>42450</v>
      </c>
      <c r="AC161">
        <v>4.5</v>
      </c>
      <c r="AD161">
        <f>IF($N$62="No",-20,1)</f>
        <v>1</v>
      </c>
      <c r="AI161">
        <f>IF($N$70="No",-20,1)</f>
        <v>1</v>
      </c>
      <c r="AS161">
        <f>IF($P$62=0,1,IF(AC161&lt;=$P$62,1,-20))</f>
        <v>1</v>
      </c>
      <c r="AV161">
        <f t="shared" si="37"/>
        <v>1</v>
      </c>
      <c r="AW161" s="57">
        <f t="shared" si="40"/>
        <v>160</v>
      </c>
      <c r="AX161" s="57" t="str">
        <f t="shared" si="41"/>
        <v>Gecko AT Assault Vehicle</v>
      </c>
    </row>
    <row r="162" spans="24:50">
      <c r="X162">
        <f t="shared" si="38"/>
        <v>4</v>
      </c>
      <c r="Y162">
        <f t="shared" si="39"/>
        <v>161</v>
      </c>
      <c r="Z162">
        <v>15</v>
      </c>
      <c r="AA162" t="s">
        <v>1924</v>
      </c>
      <c r="AB162" s="4">
        <v>155115000</v>
      </c>
      <c r="AC162" s="453">
        <v>200</v>
      </c>
      <c r="AD162">
        <f>IF($N$65="No",-20,1)</f>
        <v>1</v>
      </c>
      <c r="AL162">
        <f t="shared" ref="AL162:AL168" si="44">IF($N$73="No",-20,1)</f>
        <v>1</v>
      </c>
      <c r="AU162">
        <f>IF($P$65=0,1,IF(AC162&lt;=$P$65,1,-20))</f>
        <v>1</v>
      </c>
      <c r="AV162">
        <f t="shared" si="37"/>
        <v>1</v>
      </c>
      <c r="AW162" s="57">
        <f t="shared" si="40"/>
        <v>161</v>
      </c>
      <c r="AX162" s="57" t="str">
        <f t="shared" si="41"/>
        <v xml:space="preserve">Geonee Adrat-Class Scout </v>
      </c>
    </row>
    <row r="163" spans="24:50">
      <c r="X163">
        <f t="shared" si="38"/>
        <v>4</v>
      </c>
      <c r="Y163">
        <f t="shared" si="39"/>
        <v>162</v>
      </c>
      <c r="Z163">
        <v>15</v>
      </c>
      <c r="AA163" t="s">
        <v>1923</v>
      </c>
      <c r="AB163" s="4">
        <v>28981000</v>
      </c>
      <c r="AC163" s="453">
        <v>15</v>
      </c>
      <c r="AD163">
        <f>IF($N$63="No",-20,1)</f>
        <v>1</v>
      </c>
      <c r="AL163">
        <f t="shared" si="44"/>
        <v>1</v>
      </c>
      <c r="AT163">
        <f>IF($P$63=0,1,IF(AC163&lt;=$P$63,1,-20))</f>
        <v>1</v>
      </c>
      <c r="AV163">
        <f t="shared" si="37"/>
        <v>1</v>
      </c>
      <c r="AW163" s="57">
        <f t="shared" si="40"/>
        <v>162</v>
      </c>
      <c r="AX163" s="57" t="str">
        <f t="shared" si="41"/>
        <v xml:space="preserve">Geonee Boarding Pod </v>
      </c>
    </row>
    <row r="164" spans="24:50">
      <c r="X164">
        <f t="shared" si="38"/>
        <v>4</v>
      </c>
      <c r="Y164">
        <f t="shared" si="39"/>
        <v>163</v>
      </c>
      <c r="Z164">
        <v>15</v>
      </c>
      <c r="AA164" t="s">
        <v>1921</v>
      </c>
      <c r="AB164" s="4">
        <v>71688000</v>
      </c>
      <c r="AC164" s="453">
        <v>85</v>
      </c>
      <c r="AD164">
        <f>IF($N$62="No",-20,1)</f>
        <v>1</v>
      </c>
      <c r="AL164">
        <f t="shared" si="44"/>
        <v>1</v>
      </c>
      <c r="AS164">
        <f>IF($P$62=0,1,IF(AC164&lt;=$P$62,1,-20))</f>
        <v>1</v>
      </c>
      <c r="AV164">
        <f t="shared" si="37"/>
        <v>1</v>
      </c>
      <c r="AW164" s="57">
        <f t="shared" si="40"/>
        <v>163</v>
      </c>
      <c r="AX164" s="57" t="str">
        <f t="shared" si="41"/>
        <v xml:space="preserve">Geonee Branak Superheavy Tank </v>
      </c>
    </row>
    <row r="165" spans="24:50">
      <c r="X165">
        <f t="shared" si="38"/>
        <v>4</v>
      </c>
      <c r="Y165">
        <f t="shared" si="39"/>
        <v>164</v>
      </c>
      <c r="Z165">
        <v>15</v>
      </c>
      <c r="AA165" t="s">
        <v>1925</v>
      </c>
      <c r="AB165" s="4">
        <v>462574800</v>
      </c>
      <c r="AC165" s="453">
        <v>600</v>
      </c>
      <c r="AD165">
        <f>IF($N$65="No",-20,1)</f>
        <v>1</v>
      </c>
      <c r="AL165">
        <f t="shared" si="44"/>
        <v>1</v>
      </c>
      <c r="AU165">
        <f>IF($P$65=0,1,IF(AC165&lt;=$P$65,1,-20))</f>
        <v>1</v>
      </c>
      <c r="AV165">
        <f t="shared" si="37"/>
        <v>1</v>
      </c>
      <c r="AW165" s="57">
        <f t="shared" si="40"/>
        <v>164</v>
      </c>
      <c r="AX165" s="57" t="str">
        <f t="shared" si="41"/>
        <v xml:space="preserve">Geonee Brekat-Class System Defense Boat </v>
      </c>
    </row>
    <row r="166" spans="24:50">
      <c r="X166">
        <f t="shared" si="38"/>
        <v>4</v>
      </c>
      <c r="Y166">
        <f t="shared" si="39"/>
        <v>165</v>
      </c>
      <c r="Z166">
        <v>15</v>
      </c>
      <c r="AA166" t="s">
        <v>1922</v>
      </c>
      <c r="AB166" s="4">
        <v>17703600</v>
      </c>
      <c r="AC166" s="453">
        <v>100</v>
      </c>
      <c r="AD166">
        <f>IF($N$65="No",-20,1)</f>
        <v>1</v>
      </c>
      <c r="AL166">
        <f t="shared" si="44"/>
        <v>1</v>
      </c>
      <c r="AU166">
        <f>IF($P$65=0,1,IF(AC166&lt;=$P$65,1,-20))</f>
        <v>1</v>
      </c>
      <c r="AV166">
        <f t="shared" si="37"/>
        <v>1</v>
      </c>
      <c r="AW166" s="57">
        <f t="shared" si="40"/>
        <v>165</v>
      </c>
      <c r="AX166" s="57" t="str">
        <f t="shared" si="41"/>
        <v xml:space="preserve">Geonee Fuelling Shuttle </v>
      </c>
    </row>
    <row r="167" spans="24:50">
      <c r="X167">
        <f t="shared" si="38"/>
        <v>4</v>
      </c>
      <c r="Y167">
        <f t="shared" si="39"/>
        <v>166</v>
      </c>
      <c r="Z167">
        <v>15</v>
      </c>
      <c r="AA167" t="s">
        <v>1920</v>
      </c>
      <c r="AB167" s="4">
        <v>9840000</v>
      </c>
      <c r="AC167" s="453">
        <v>15</v>
      </c>
      <c r="AD167">
        <f>IF($N$62="No",-20,1)</f>
        <v>1</v>
      </c>
      <c r="AL167">
        <f t="shared" si="44"/>
        <v>1</v>
      </c>
      <c r="AS167">
        <f>IF($P$62=0,1,IF(AC167&lt;=$P$62,1,-20))</f>
        <v>1</v>
      </c>
      <c r="AV167">
        <f t="shared" si="37"/>
        <v>1</v>
      </c>
      <c r="AW167" s="57">
        <f t="shared" si="40"/>
        <v>166</v>
      </c>
      <c r="AX167" s="57" t="str">
        <f t="shared" si="41"/>
        <v>Geonee Gosta Light Tank</v>
      </c>
    </row>
    <row r="168" spans="24:50">
      <c r="X168">
        <f t="shared" si="38"/>
        <v>4</v>
      </c>
      <c r="Y168">
        <f t="shared" si="39"/>
        <v>167</v>
      </c>
      <c r="Z168">
        <v>15</v>
      </c>
      <c r="AA168" t="s">
        <v>1926</v>
      </c>
      <c r="AB168" s="4">
        <v>3022482700</v>
      </c>
      <c r="AC168" s="453">
        <v>2000</v>
      </c>
      <c r="AD168">
        <f>IF($N$65="No",-20,1)</f>
        <v>1</v>
      </c>
      <c r="AL168">
        <f t="shared" si="44"/>
        <v>1</v>
      </c>
      <c r="AU168">
        <f>IF($P$65=0,1,IF(AC168&lt;=$P$65,1,-20))</f>
        <v>1</v>
      </c>
      <c r="AV168">
        <f t="shared" si="37"/>
        <v>1</v>
      </c>
      <c r="AW168" s="57">
        <f t="shared" si="40"/>
        <v>167</v>
      </c>
      <c r="AX168" s="57" t="str">
        <f t="shared" si="41"/>
        <v>Geonee Kran-Class System Defense Boat</v>
      </c>
    </row>
    <row r="169" spans="24:50">
      <c r="X169">
        <f t="shared" si="38"/>
        <v>4</v>
      </c>
      <c r="Y169">
        <f t="shared" si="39"/>
        <v>168</v>
      </c>
      <c r="Z169">
        <v>12</v>
      </c>
      <c r="AA169" t="s">
        <v>1747</v>
      </c>
      <c r="AB169" s="4">
        <v>7272000</v>
      </c>
      <c r="AC169">
        <v>20</v>
      </c>
      <c r="AD169">
        <f>IF($N$63="No",-20,1)</f>
        <v>1</v>
      </c>
      <c r="AI169">
        <f>IF($N$70="No",-20,1)</f>
        <v>1</v>
      </c>
      <c r="AT169">
        <f>IF($P$63=0,1,IF(AC169&lt;=$P$63,1,-20))</f>
        <v>1</v>
      </c>
      <c r="AV169">
        <f t="shared" si="37"/>
        <v>1</v>
      </c>
      <c r="AW169" s="57">
        <f t="shared" si="40"/>
        <v>168</v>
      </c>
      <c r="AX169" s="57" t="str">
        <f t="shared" si="41"/>
        <v>Gig (Core'22)</v>
      </c>
    </row>
    <row r="170" spans="24:50" ht="16">
      <c r="X170">
        <f t="shared" si="38"/>
        <v>3</v>
      </c>
      <c r="Y170">
        <f t="shared" si="39"/>
        <v>169</v>
      </c>
      <c r="Z170" s="459">
        <v>13</v>
      </c>
      <c r="AA170" s="459" t="s">
        <v>2404</v>
      </c>
      <c r="AB170" s="460">
        <v>563990000</v>
      </c>
      <c r="AC170" s="461">
        <v>600</v>
      </c>
      <c r="AD170">
        <f>IF($N$65="No",-20,1)</f>
        <v>1</v>
      </c>
      <c r="AU170">
        <f>IF($P$65=0,1,IF(AC170&lt;=$P$65,1,-20))</f>
        <v>1</v>
      </c>
      <c r="AV170">
        <f t="shared" si="37"/>
        <v>1</v>
      </c>
      <c r="AW170" s="57">
        <f t="shared" si="40"/>
        <v>169</v>
      </c>
      <c r="AX170" s="57" t="str">
        <f t="shared" si="41"/>
        <v>Gladys Ei-Class Solomani System Defense Boat (Traders and Gunboats)</v>
      </c>
    </row>
    <row r="171" spans="24:50">
      <c r="X171">
        <f t="shared" si="38"/>
        <v>4</v>
      </c>
      <c r="Y171">
        <f t="shared" si="39"/>
        <v>170</v>
      </c>
      <c r="Z171">
        <v>15</v>
      </c>
      <c r="AA171" t="s">
        <v>2278</v>
      </c>
      <c r="AB171" s="4">
        <v>22980000000</v>
      </c>
      <c r="AC171" s="493">
        <v>30000</v>
      </c>
      <c r="AD171">
        <f>IF($N$65="No",-20,1)</f>
        <v>1</v>
      </c>
      <c r="AR171">
        <f>IF($N$79="No",-20,1)</f>
        <v>1</v>
      </c>
      <c r="AU171">
        <f>IF($P$65=0,1,IF(AC171&lt;=$P$65,1,-20))</f>
        <v>1</v>
      </c>
      <c r="AV171">
        <f t="shared" si="37"/>
        <v>1</v>
      </c>
      <c r="AW171" s="57">
        <f t="shared" si="40"/>
        <v>170</v>
      </c>
      <c r="AX171" s="57" t="str">
        <f t="shared" si="41"/>
        <v>Gorte-Class Battle Rider (JTAS Vol. 12)</v>
      </c>
    </row>
    <row r="172" spans="24:50">
      <c r="X172">
        <f t="shared" si="38"/>
        <v>4</v>
      </c>
      <c r="Y172">
        <f t="shared" si="39"/>
        <v>171</v>
      </c>
      <c r="Z172">
        <v>10</v>
      </c>
      <c r="AA172" t="s">
        <v>2298</v>
      </c>
      <c r="AB172" s="4">
        <v>474500</v>
      </c>
      <c r="AC172" s="493">
        <v>4</v>
      </c>
      <c r="AD172">
        <f t="shared" ref="AD172:AD178" si="45">IF($N$62="No",-20,1)</f>
        <v>1</v>
      </c>
      <c r="AR172">
        <f>IF($N$79="No",-20,1)</f>
        <v>1</v>
      </c>
      <c r="AS172">
        <f t="shared" ref="AS172:AS178" si="46">IF($P$62=0,1,IF(AC172&lt;=$P$62,1,-20))</f>
        <v>1</v>
      </c>
      <c r="AV172">
        <f t="shared" si="37"/>
        <v>1</v>
      </c>
      <c r="AW172" s="57">
        <f t="shared" si="40"/>
        <v>171</v>
      </c>
      <c r="AX172" s="57" t="str">
        <f t="shared" si="41"/>
        <v>Grav Buggy w/Fusion+ (JTAS Vol. 15)</v>
      </c>
    </row>
    <row r="173" spans="24:50">
      <c r="X173">
        <f t="shared" si="38"/>
        <v>4</v>
      </c>
      <c r="Y173">
        <f t="shared" si="39"/>
        <v>172</v>
      </c>
      <c r="Z173">
        <v>12</v>
      </c>
      <c r="AA173" t="s">
        <v>2291</v>
      </c>
      <c r="AB173" s="4">
        <v>160000</v>
      </c>
      <c r="AC173" s="493">
        <v>1.5</v>
      </c>
      <c r="AD173">
        <f t="shared" si="45"/>
        <v>1</v>
      </c>
      <c r="AR173">
        <f>IF($N$79="No",-20,1)</f>
        <v>1</v>
      </c>
      <c r="AS173">
        <f t="shared" si="46"/>
        <v>1</v>
      </c>
      <c r="AV173">
        <f t="shared" si="37"/>
        <v>1</v>
      </c>
      <c r="AW173" s="57">
        <f t="shared" si="40"/>
        <v>172</v>
      </c>
      <c r="AX173" s="57" t="str">
        <f t="shared" si="41"/>
        <v>Grav Cart (JTAS Vol. 14)</v>
      </c>
    </row>
    <row r="174" spans="24:50">
      <c r="X174">
        <f t="shared" si="38"/>
        <v>4</v>
      </c>
      <c r="Y174">
        <f t="shared" si="39"/>
        <v>173</v>
      </c>
      <c r="Z174">
        <v>11</v>
      </c>
      <c r="AA174" t="s">
        <v>1775</v>
      </c>
      <c r="AB174" s="4">
        <v>24000</v>
      </c>
      <c r="AC174">
        <v>0.5</v>
      </c>
      <c r="AD174">
        <f t="shared" si="45"/>
        <v>1</v>
      </c>
      <c r="AH174">
        <f>IF($N$69="No",-20,1)</f>
        <v>1</v>
      </c>
      <c r="AS174">
        <f t="shared" si="46"/>
        <v>1</v>
      </c>
      <c r="AV174">
        <f t="shared" si="37"/>
        <v>1</v>
      </c>
      <c r="AW174" s="57">
        <f t="shared" si="40"/>
        <v>173</v>
      </c>
      <c r="AX174" s="57" t="str">
        <f t="shared" si="41"/>
        <v>Grav/Floater</v>
      </c>
    </row>
    <row r="175" spans="24:50" ht="16">
      <c r="X175">
        <f t="shared" si="38"/>
        <v>4</v>
      </c>
      <c r="Y175">
        <f t="shared" si="39"/>
        <v>174</v>
      </c>
      <c r="Z175" s="459">
        <v>12</v>
      </c>
      <c r="AA175" s="459" t="s">
        <v>2223</v>
      </c>
      <c r="AB175" s="460">
        <v>1180000</v>
      </c>
      <c r="AC175" s="461">
        <v>20</v>
      </c>
      <c r="AD175">
        <f t="shared" si="45"/>
        <v>1</v>
      </c>
      <c r="AR175">
        <f>IF($N$79="No",-20,1)</f>
        <v>1</v>
      </c>
      <c r="AS175">
        <f t="shared" si="46"/>
        <v>1</v>
      </c>
      <c r="AV175">
        <f t="shared" si="37"/>
        <v>1</v>
      </c>
      <c r="AW175" s="57">
        <f t="shared" si="40"/>
        <v>174</v>
      </c>
      <c r="AX175" s="57" t="str">
        <f t="shared" si="41"/>
        <v>Grav-Assisted ATV (JTAS Vol. 1)</v>
      </c>
    </row>
    <row r="176" spans="24:50">
      <c r="X176">
        <f t="shared" si="38"/>
        <v>4</v>
      </c>
      <c r="Y176">
        <f t="shared" si="39"/>
        <v>175</v>
      </c>
      <c r="Z176">
        <v>8</v>
      </c>
      <c r="AA176" t="s">
        <v>1771</v>
      </c>
      <c r="AB176" s="4">
        <v>6500</v>
      </c>
      <c r="AC176">
        <v>3</v>
      </c>
      <c r="AD176">
        <f t="shared" si="45"/>
        <v>1</v>
      </c>
      <c r="AH176">
        <f>IF($N$69="No",-20,1)</f>
        <v>1</v>
      </c>
      <c r="AS176">
        <f t="shared" si="46"/>
        <v>1</v>
      </c>
      <c r="AV176">
        <f t="shared" si="37"/>
        <v>1</v>
      </c>
      <c r="AW176" s="57">
        <f t="shared" si="40"/>
        <v>175</v>
      </c>
      <c r="AX176" s="57" t="str">
        <f t="shared" si="41"/>
        <v>Ground Car</v>
      </c>
    </row>
    <row r="177" spans="24:50">
      <c r="X177">
        <f t="shared" si="38"/>
        <v>4</v>
      </c>
      <c r="Y177">
        <f t="shared" si="39"/>
        <v>176</v>
      </c>
      <c r="Z177">
        <v>10</v>
      </c>
      <c r="AA177" t="s">
        <v>2295</v>
      </c>
      <c r="AB177" s="4">
        <v>21900</v>
      </c>
      <c r="AC177" s="493">
        <v>3</v>
      </c>
      <c r="AD177">
        <f t="shared" si="45"/>
        <v>1</v>
      </c>
      <c r="AR177">
        <f>IF($N$79="No",-20,1)</f>
        <v>1</v>
      </c>
      <c r="AS177">
        <f t="shared" si="46"/>
        <v>1</v>
      </c>
      <c r="AV177">
        <f t="shared" si="37"/>
        <v>1</v>
      </c>
      <c r="AW177" s="57">
        <f t="shared" si="40"/>
        <v>176</v>
      </c>
      <c r="AX177" s="57" t="str">
        <f t="shared" si="41"/>
        <v>Ground Car w/Fusion+ (JTAS Vol. 15)</v>
      </c>
    </row>
    <row r="178" spans="24:50">
      <c r="X178">
        <f t="shared" si="38"/>
        <v>3</v>
      </c>
      <c r="Y178">
        <f t="shared" si="39"/>
        <v>177</v>
      </c>
      <c r="Z178">
        <v>8</v>
      </c>
      <c r="AA178" t="s">
        <v>2166</v>
      </c>
      <c r="AB178" s="4">
        <v>20200</v>
      </c>
      <c r="AC178" s="493">
        <v>3</v>
      </c>
      <c r="AD178">
        <f t="shared" si="45"/>
        <v>1</v>
      </c>
      <c r="AS178">
        <f t="shared" si="46"/>
        <v>1</v>
      </c>
      <c r="AV178">
        <f t="shared" si="37"/>
        <v>1</v>
      </c>
      <c r="AW178" s="57">
        <f t="shared" si="40"/>
        <v>177</v>
      </c>
      <c r="AX178" s="57" t="str">
        <f t="shared" si="41"/>
        <v>GS-3 Fast Attack Vehicle (Field Catalogue)</v>
      </c>
    </row>
    <row r="179" spans="24:50">
      <c r="X179">
        <f t="shared" si="38"/>
        <v>5</v>
      </c>
      <c r="Y179">
        <f t="shared" si="39"/>
        <v>178</v>
      </c>
      <c r="Z179">
        <v>15</v>
      </c>
      <c r="AA179" t="s">
        <v>2287</v>
      </c>
      <c r="AB179" s="4">
        <v>52896000</v>
      </c>
      <c r="AC179" s="493">
        <v>40</v>
      </c>
      <c r="AD179">
        <f>IF($N$63="No",-20,1)</f>
        <v>1</v>
      </c>
      <c r="AE179">
        <f>IF($N$64="No",-20,1)</f>
        <v>1</v>
      </c>
      <c r="AR179">
        <f>IF($N$79="No",-20,1)</f>
        <v>1</v>
      </c>
      <c r="AT179">
        <f>IF($P$63=0,1,IF(AC179&lt;=$P$63,1,-20))</f>
        <v>1</v>
      </c>
      <c r="AV179">
        <f t="shared" si="37"/>
        <v>1</v>
      </c>
      <c r="AW179" s="57">
        <f t="shared" si="40"/>
        <v>178</v>
      </c>
      <c r="AX179" s="57" t="str">
        <f t="shared" si="41"/>
        <v>Gukhii-Class Fighter (JTAS Vol. 14)</v>
      </c>
    </row>
    <row r="180" spans="24:50">
      <c r="X180">
        <f t="shared" si="38"/>
        <v>4</v>
      </c>
      <c r="Y180">
        <f t="shared" si="39"/>
        <v>179</v>
      </c>
      <c r="Z180">
        <v>12</v>
      </c>
      <c r="AA180" t="s">
        <v>1974</v>
      </c>
      <c r="AB180" s="4">
        <v>37330000</v>
      </c>
      <c r="AC180" s="453">
        <v>100</v>
      </c>
      <c r="AD180">
        <f>IF($N$65="No",-20,1)</f>
        <v>1</v>
      </c>
      <c r="AN180">
        <f>IF($N$75="No",-20,1)</f>
        <v>1</v>
      </c>
      <c r="AU180">
        <f>IF($P$65=0,1,IF(AC180&lt;=$P$65,1,-20))</f>
        <v>1</v>
      </c>
      <c r="AV180">
        <f t="shared" si="37"/>
        <v>1</v>
      </c>
      <c r="AW180" s="57">
        <f t="shared" si="40"/>
        <v>179</v>
      </c>
      <c r="AX180" s="57" t="str">
        <f t="shared" si="41"/>
        <v>Gunship Lighter</v>
      </c>
    </row>
    <row r="181" spans="24:50">
      <c r="X181">
        <f t="shared" si="38"/>
        <v>4</v>
      </c>
      <c r="Y181">
        <f t="shared" si="39"/>
        <v>180</v>
      </c>
      <c r="Z181">
        <v>10</v>
      </c>
      <c r="AA181" t="s">
        <v>1740</v>
      </c>
      <c r="AB181" s="4">
        <v>313750</v>
      </c>
      <c r="AC181">
        <v>10</v>
      </c>
      <c r="AD181">
        <f>IF($N$62="No",-20,1)</f>
        <v>1</v>
      </c>
      <c r="AI181">
        <f>IF($N$70="No",-20,1)</f>
        <v>1</v>
      </c>
      <c r="AS181">
        <f>IF($P$62=0,1,IF(AC181&lt;=$P$62,1,-20))</f>
        <v>1</v>
      </c>
      <c r="AV181">
        <f t="shared" si="37"/>
        <v>1</v>
      </c>
      <c r="AW181" s="57">
        <f t="shared" si="40"/>
        <v>180</v>
      </c>
      <c r="AX181" s="57" t="str">
        <f t="shared" si="41"/>
        <v>Gunskiff</v>
      </c>
    </row>
    <row r="182" spans="24:50" ht="16">
      <c r="X182">
        <f t="shared" si="38"/>
        <v>3</v>
      </c>
      <c r="Y182">
        <f t="shared" si="39"/>
        <v>181</v>
      </c>
      <c r="Z182" s="459">
        <v>12</v>
      </c>
      <c r="AA182" s="459" t="s">
        <v>2403</v>
      </c>
      <c r="AB182" s="460">
        <v>104090000</v>
      </c>
      <c r="AC182" s="461">
        <v>300</v>
      </c>
      <c r="AD182">
        <f>IF($N$65="No",-20,1)</f>
        <v>1</v>
      </c>
      <c r="AU182">
        <f>IF($P$65=0,1,IF(AC182&lt;=$P$65,1,-20))</f>
        <v>1</v>
      </c>
      <c r="AV182">
        <f t="shared" si="37"/>
        <v>1</v>
      </c>
      <c r="AW182" s="57">
        <f t="shared" si="40"/>
        <v>181</v>
      </c>
      <c r="AX182" s="57" t="str">
        <f t="shared" si="41"/>
        <v>Guo-Class Solomani System Defense Boat (Traders and Gunboats)</v>
      </c>
    </row>
    <row r="183" spans="24:50">
      <c r="X183">
        <f t="shared" si="38"/>
        <v>4</v>
      </c>
      <c r="Y183">
        <f t="shared" si="39"/>
        <v>182</v>
      </c>
      <c r="Z183">
        <v>13</v>
      </c>
      <c r="AA183" t="s">
        <v>1956</v>
      </c>
      <c r="AB183" s="4">
        <v>55652500</v>
      </c>
      <c r="AC183" s="453">
        <v>150</v>
      </c>
      <c r="AD183">
        <f>IF($N$65="No",-20,1)</f>
        <v>1</v>
      </c>
      <c r="AM183">
        <f>IF($N$74="No",-20,1)</f>
        <v>1</v>
      </c>
      <c r="AU183">
        <f>IF($P$65=0,1,IF(AC183&lt;=$P$65,1,-20))</f>
        <v>1</v>
      </c>
      <c r="AV183">
        <f t="shared" si="37"/>
        <v>1</v>
      </c>
      <c r="AW183" s="57">
        <f t="shared" si="40"/>
        <v>182</v>
      </c>
      <c r="AX183" s="57" t="str">
        <f t="shared" si="41"/>
        <v>Gurvin Nawryne-Class Trade Scout</v>
      </c>
    </row>
    <row r="184" spans="24:50">
      <c r="X184">
        <f t="shared" si="38"/>
        <v>4</v>
      </c>
      <c r="Y184">
        <f t="shared" si="39"/>
        <v>183</v>
      </c>
      <c r="Z184">
        <v>15</v>
      </c>
      <c r="AA184" t="s">
        <v>1792</v>
      </c>
      <c r="AB184" s="4">
        <v>34876030000</v>
      </c>
      <c r="AC184">
        <v>50000</v>
      </c>
      <c r="AD184">
        <f>IF($N$65="No",-20,1)</f>
        <v>1</v>
      </c>
      <c r="AF184">
        <f>IF($N$67="No",-20,1)</f>
        <v>1</v>
      </c>
      <c r="AU184">
        <f>IF($P$65=0,1,IF(AC184&lt;=$P$65,1,-20))</f>
        <v>1</v>
      </c>
      <c r="AV184">
        <f t="shared" si="37"/>
        <v>1</v>
      </c>
      <c r="AW184" s="57">
        <f t="shared" si="40"/>
        <v>183</v>
      </c>
      <c r="AX184" s="57" t="str">
        <f t="shared" si="41"/>
        <v>Hadrian Battle Rider</v>
      </c>
    </row>
    <row r="185" spans="24:50" ht="16">
      <c r="X185">
        <f t="shared" si="38"/>
        <v>3</v>
      </c>
      <c r="Y185">
        <f t="shared" si="39"/>
        <v>184</v>
      </c>
      <c r="Z185" s="459">
        <v>6</v>
      </c>
      <c r="AA185" s="459" t="s">
        <v>2314</v>
      </c>
      <c r="AB185" s="460">
        <v>337450</v>
      </c>
      <c r="AC185" s="461">
        <v>15</v>
      </c>
      <c r="AD185">
        <f>IF($N$62="No",-20,1)</f>
        <v>1</v>
      </c>
      <c r="AS185">
        <f>IF($P$62=0,1,IF(AC185&lt;=$P$62,1,-20))</f>
        <v>1</v>
      </c>
      <c r="AV185">
        <f t="shared" si="37"/>
        <v>1</v>
      </c>
      <c r="AW185" s="57">
        <f t="shared" si="40"/>
        <v>184</v>
      </c>
      <c r="AX185" s="57" t="str">
        <f t="shared" si="41"/>
        <v>Half-Track Truck (Mercenary Adventure 1)</v>
      </c>
    </row>
    <row r="186" spans="24:50" ht="16">
      <c r="X186">
        <f t="shared" si="38"/>
        <v>3</v>
      </c>
      <c r="Y186">
        <f t="shared" si="39"/>
        <v>185</v>
      </c>
      <c r="Z186" s="459">
        <v>15</v>
      </c>
      <c r="AA186" s="459" t="s">
        <v>2111</v>
      </c>
      <c r="AB186" s="460">
        <v>2919760000</v>
      </c>
      <c r="AC186" s="461">
        <v>2600</v>
      </c>
      <c r="AD186">
        <f>IF($N$65="No",-20,1)</f>
        <v>1</v>
      </c>
      <c r="AU186">
        <f>IF($P$65=0,1,IF(AC186&lt;=$P$65,1,-20))</f>
        <v>1</v>
      </c>
      <c r="AV186">
        <f t="shared" si="37"/>
        <v>1</v>
      </c>
      <c r="AW186" s="57">
        <f t="shared" si="40"/>
        <v>185</v>
      </c>
      <c r="AX186" s="57" t="str">
        <f t="shared" si="41"/>
        <v>Hanger Pod (DRCG)</v>
      </c>
    </row>
    <row r="187" spans="24:50" ht="16">
      <c r="X187">
        <f t="shared" si="38"/>
        <v>3</v>
      </c>
      <c r="Y187">
        <f t="shared" si="39"/>
        <v>186</v>
      </c>
      <c r="Z187" s="459">
        <v>15</v>
      </c>
      <c r="AA187" s="459" t="s">
        <v>2116</v>
      </c>
      <c r="AB187" s="460">
        <v>1405300000</v>
      </c>
      <c r="AC187" s="461">
        <v>2600</v>
      </c>
      <c r="AD187">
        <f>IF($N$65="No",-20,1)</f>
        <v>1</v>
      </c>
      <c r="AU187">
        <f>IF($P$65=0,1,IF(AC187&lt;=$P$65,1,-20))</f>
        <v>1</v>
      </c>
      <c r="AV187">
        <f t="shared" si="37"/>
        <v>1</v>
      </c>
      <c r="AW187" s="57">
        <f t="shared" si="40"/>
        <v>186</v>
      </c>
      <c r="AX187" s="57" t="str">
        <f t="shared" si="41"/>
        <v>Hanger Pod (ECC)</v>
      </c>
    </row>
    <row r="188" spans="24:50" ht="16">
      <c r="X188">
        <f t="shared" si="38"/>
        <v>3</v>
      </c>
      <c r="Y188">
        <f t="shared" si="39"/>
        <v>187</v>
      </c>
      <c r="Z188" s="459">
        <v>15</v>
      </c>
      <c r="AA188" s="459" t="s">
        <v>2365</v>
      </c>
      <c r="AB188" s="460">
        <v>3180000000</v>
      </c>
      <c r="AC188" s="461">
        <v>2600</v>
      </c>
      <c r="AD188">
        <f>IF($N$65="No",-20,1)</f>
        <v>1</v>
      </c>
      <c r="AU188">
        <f>IF($P$65=0,1,IF(AC188&lt;=$P$65,1,-20))</f>
        <v>1</v>
      </c>
      <c r="AV188">
        <f t="shared" si="37"/>
        <v>1</v>
      </c>
      <c r="AW188" s="57">
        <f t="shared" si="40"/>
        <v>187</v>
      </c>
      <c r="AX188" s="57" t="str">
        <f t="shared" si="41"/>
        <v>Hanger Pod (Opening Moves)</v>
      </c>
    </row>
    <row r="189" spans="24:50">
      <c r="X189">
        <f t="shared" si="38"/>
        <v>4</v>
      </c>
      <c r="Y189">
        <f t="shared" si="39"/>
        <v>188</v>
      </c>
      <c r="Z189">
        <v>12</v>
      </c>
      <c r="AA189" t="s">
        <v>2275</v>
      </c>
      <c r="AB189" s="4">
        <v>19710000</v>
      </c>
      <c r="AC189" s="493">
        <v>90</v>
      </c>
      <c r="AD189">
        <f>IF($N$63="No",-20,1)</f>
        <v>1</v>
      </c>
      <c r="AR189">
        <f>IF($N$79="No",-20,1)</f>
        <v>1</v>
      </c>
      <c r="AT189">
        <f>IF($P$63=0,1,IF(AC189&lt;=$P$63,1,-20))</f>
        <v>1</v>
      </c>
      <c r="AV189">
        <f t="shared" si="37"/>
        <v>1</v>
      </c>
      <c r="AW189" s="57">
        <f t="shared" si="40"/>
        <v>188</v>
      </c>
      <c r="AX189" s="57" t="str">
        <f t="shared" si="41"/>
        <v>Hauler Shuttle (JTAS Vol. 11)</v>
      </c>
    </row>
    <row r="190" spans="24:50">
      <c r="X190">
        <f t="shared" si="38"/>
        <v>3</v>
      </c>
      <c r="Y190">
        <f t="shared" si="39"/>
        <v>189</v>
      </c>
      <c r="Z190">
        <v>15</v>
      </c>
      <c r="AA190" t="s">
        <v>2008</v>
      </c>
      <c r="AB190" s="4">
        <v>29347000</v>
      </c>
      <c r="AC190" s="453">
        <v>24</v>
      </c>
      <c r="AD190">
        <f>IF($N$63="No",-20,1)</f>
        <v>1</v>
      </c>
      <c r="AT190">
        <f>IF($P$63=0,1,IF(AC190&lt;=$P$63,1,-20))</f>
        <v>1</v>
      </c>
      <c r="AV190">
        <f t="shared" si="37"/>
        <v>1</v>
      </c>
      <c r="AW190" s="57">
        <f t="shared" si="40"/>
        <v>189</v>
      </c>
      <c r="AX190" s="57" t="str">
        <f t="shared" si="41"/>
        <v>Hazardous Environment Exploration Boat</v>
      </c>
    </row>
    <row r="191" spans="24:50" ht="16">
      <c r="X191">
        <f t="shared" si="38"/>
        <v>4</v>
      </c>
      <c r="Y191">
        <f t="shared" si="39"/>
        <v>190</v>
      </c>
      <c r="Z191" s="459">
        <v>10</v>
      </c>
      <c r="AA191" s="459" t="s">
        <v>2241</v>
      </c>
      <c r="AB191" s="460">
        <v>169000</v>
      </c>
      <c r="AC191" s="461">
        <v>6</v>
      </c>
      <c r="AD191">
        <f>IF($N$62="No",-20,1)</f>
        <v>1</v>
      </c>
      <c r="AR191">
        <f>IF($N$79="No",-20,1)</f>
        <v>1</v>
      </c>
      <c r="AS191">
        <f>IF($P$62=0,1,IF(AC191&lt;=$P$62,1,-20))</f>
        <v>1</v>
      </c>
      <c r="AV191">
        <f t="shared" si="37"/>
        <v>1</v>
      </c>
      <c r="AW191" s="57">
        <f t="shared" si="40"/>
        <v>190</v>
      </c>
      <c r="AX191" s="57" t="str">
        <f t="shared" si="41"/>
        <v>Hazardous Environment Fire Engine (JTAS Vol. 5)</v>
      </c>
    </row>
    <row r="192" spans="24:50">
      <c r="X192">
        <f t="shared" si="38"/>
        <v>4</v>
      </c>
      <c r="Y192">
        <f t="shared" si="39"/>
        <v>191</v>
      </c>
      <c r="Z192">
        <v>10</v>
      </c>
      <c r="AA192" t="s">
        <v>1776</v>
      </c>
      <c r="AB192" s="4">
        <v>178000</v>
      </c>
      <c r="AC192">
        <v>3</v>
      </c>
      <c r="AD192">
        <f>IF($N$62="No",-20,1)</f>
        <v>1</v>
      </c>
      <c r="AH192">
        <f>IF($N$69="No",-20,1)</f>
        <v>1</v>
      </c>
      <c r="AS192">
        <f>IF($P$62=0,1,IF(AC192&lt;=$P$62,1,-20))</f>
        <v>1</v>
      </c>
      <c r="AV192">
        <f t="shared" si="37"/>
        <v>1</v>
      </c>
      <c r="AW192" s="57">
        <f t="shared" si="40"/>
        <v>191</v>
      </c>
      <c r="AX192" s="57" t="str">
        <f t="shared" si="41"/>
        <v>Heaven70 Gunship Drone</v>
      </c>
    </row>
    <row r="193" spans="24:50">
      <c r="X193">
        <f t="shared" si="38"/>
        <v>5</v>
      </c>
      <c r="Y193">
        <f t="shared" si="39"/>
        <v>192</v>
      </c>
      <c r="Z193">
        <v>15</v>
      </c>
      <c r="AA193" t="s">
        <v>1787</v>
      </c>
      <c r="AB193" s="4">
        <v>76570000</v>
      </c>
      <c r="AC193">
        <v>50</v>
      </c>
      <c r="AD193">
        <f>IF($N$63="No",-20,1)</f>
        <v>1</v>
      </c>
      <c r="AE193">
        <f>IF($N$64="No",-20,1)</f>
        <v>1</v>
      </c>
      <c r="AF193">
        <f>IF($N$67="No",-20,1)</f>
        <v>1</v>
      </c>
      <c r="AT193">
        <f>IF($P$63=0,1,IF(AC193&lt;=$P$63,1,-20))</f>
        <v>1</v>
      </c>
      <c r="AV193">
        <f t="shared" si="37"/>
        <v>1</v>
      </c>
      <c r="AW193" s="57">
        <f t="shared" si="40"/>
        <v>192</v>
      </c>
      <c r="AX193" s="57" t="str">
        <f t="shared" si="41"/>
        <v>Heavy Fighter</v>
      </c>
    </row>
    <row r="194" spans="24:50">
      <c r="X194">
        <f t="shared" si="38"/>
        <v>4</v>
      </c>
      <c r="Y194">
        <f t="shared" si="39"/>
        <v>193</v>
      </c>
      <c r="Z194">
        <v>12</v>
      </c>
      <c r="AA194" t="s">
        <v>1818</v>
      </c>
      <c r="AB194" s="4">
        <v>21330000</v>
      </c>
      <c r="AC194">
        <v>90</v>
      </c>
      <c r="AD194">
        <f>IF($N$63="No",-20,1)</f>
        <v>1</v>
      </c>
      <c r="AG194">
        <f>IF($N$68="No",-20,1)</f>
        <v>1</v>
      </c>
      <c r="AT194">
        <f>IF($P$63=0,1,IF(AC194&lt;=$P$63,1,-20))</f>
        <v>1</v>
      </c>
      <c r="AV194">
        <f t="shared" si="37"/>
        <v>1</v>
      </c>
      <c r="AW194" s="57">
        <f t="shared" si="40"/>
        <v>193</v>
      </c>
      <c r="AX194" s="57" t="str">
        <f t="shared" si="41"/>
        <v>Heavy Modular Cutter</v>
      </c>
    </row>
    <row r="195" spans="24:50">
      <c r="X195">
        <f t="shared" si="38"/>
        <v>4</v>
      </c>
      <c r="Y195">
        <f t="shared" si="39"/>
        <v>194</v>
      </c>
      <c r="Z195">
        <v>12</v>
      </c>
      <c r="AA195" t="s">
        <v>1777</v>
      </c>
      <c r="AB195" s="4">
        <v>982000</v>
      </c>
      <c r="AC195">
        <v>17.5</v>
      </c>
      <c r="AD195">
        <f>IF($N$62="No",-20,1)</f>
        <v>1</v>
      </c>
      <c r="AH195">
        <f>IF($N$69="No",-20,1)</f>
        <v>1</v>
      </c>
      <c r="AS195">
        <f>IF($P$62=0,1,IF(AC195&lt;=$P$62,1,-20))</f>
        <v>1</v>
      </c>
      <c r="AV195">
        <f t="shared" ref="AV195:AV258" si="47">IF($N$61="Yes",1,IF(Z195&gt;TL,-20,1))</f>
        <v>1</v>
      </c>
      <c r="AW195" s="57">
        <f t="shared" si="40"/>
        <v>194</v>
      </c>
      <c r="AX195" s="57" t="str">
        <f t="shared" si="41"/>
        <v>HEV-12 Hostile Environment</v>
      </c>
    </row>
    <row r="196" spans="24:50" ht="16">
      <c r="X196">
        <f t="shared" ref="X196:X259" si="48">SUM(AD196:AV196)</f>
        <v>3</v>
      </c>
      <c r="Y196">
        <f t="shared" ref="Y196:Y259" si="49">IF(X196&gt;0,Y195+1,Y195)</f>
        <v>195</v>
      </c>
      <c r="Z196" s="459">
        <v>11</v>
      </c>
      <c r="AA196" s="459" t="s">
        <v>2411</v>
      </c>
      <c r="AB196" s="460">
        <v>175610000</v>
      </c>
      <c r="AC196" s="461">
        <v>400</v>
      </c>
      <c r="AD196">
        <f>IF($N$65="No",-20,1)</f>
        <v>1</v>
      </c>
      <c r="AU196">
        <f>IF($P$65=0,1,IF(AC196&lt;=$P$65,1,-20))</f>
        <v>1</v>
      </c>
      <c r="AV196">
        <f t="shared" si="47"/>
        <v>1</v>
      </c>
      <c r="AW196" s="57">
        <f t="shared" ref="AW196:AW259" si="50">AW195+1</f>
        <v>195</v>
      </c>
      <c r="AX196" s="57" t="str">
        <f t="shared" ref="AX196:AX259" si="51">IF(AW196&gt;$AW$1,"",INDEX($Y$2:$AA$482,MATCH(AW196,$Y$2:$Y$482,0),3))</f>
        <v>Hleakakhea-Class System Defense Boat (Clans of the Aslan)</v>
      </c>
    </row>
    <row r="197" spans="24:50">
      <c r="X197">
        <f t="shared" si="48"/>
        <v>5</v>
      </c>
      <c r="Y197">
        <f t="shared" si="49"/>
        <v>196</v>
      </c>
      <c r="Z197">
        <v>7</v>
      </c>
      <c r="AA197" t="s">
        <v>1819</v>
      </c>
      <c r="AB197" s="4">
        <v>1445000</v>
      </c>
      <c r="AC197">
        <v>5</v>
      </c>
      <c r="AD197">
        <f>IF($N$63="No",-20,1)</f>
        <v>1</v>
      </c>
      <c r="AE197">
        <f>IF($N$64="No",-20,1)</f>
        <v>1</v>
      </c>
      <c r="AG197">
        <f>IF($N$68="No",-20,1)</f>
        <v>1</v>
      </c>
      <c r="AT197">
        <f>IF($P$63=0,1,IF(AC197&lt;=$P$63,1,-20))</f>
        <v>1</v>
      </c>
      <c r="AV197">
        <f t="shared" si="47"/>
        <v>1</v>
      </c>
      <c r="AW197" s="57">
        <f t="shared" si="50"/>
        <v>196</v>
      </c>
      <c r="AX197" s="57" t="str">
        <f t="shared" si="51"/>
        <v>Homeshield Mini-Fighter</v>
      </c>
    </row>
    <row r="198" spans="24:50">
      <c r="X198">
        <f t="shared" si="48"/>
        <v>4</v>
      </c>
      <c r="Y198">
        <f t="shared" si="49"/>
        <v>197</v>
      </c>
      <c r="Z198">
        <v>7</v>
      </c>
      <c r="AA198" t="s">
        <v>2282</v>
      </c>
      <c r="AB198" s="4">
        <v>1757900</v>
      </c>
      <c r="AC198" s="493">
        <v>100</v>
      </c>
      <c r="AD198">
        <f t="shared" ref="AD198:AD208" si="52">IF($N$62="No",-20,1)</f>
        <v>1</v>
      </c>
      <c r="AR198">
        <f>IF($N$79="No",-20,1)</f>
        <v>1</v>
      </c>
      <c r="AS198">
        <f t="shared" ref="AS198:AS208" si="53">IF($P$62=0,1,IF(AC198&lt;=$P$62,1,-20))</f>
        <v>1</v>
      </c>
      <c r="AV198">
        <f t="shared" si="47"/>
        <v>1</v>
      </c>
      <c r="AW198" s="57">
        <f t="shared" si="50"/>
        <v>197</v>
      </c>
      <c r="AX198" s="57" t="str">
        <f t="shared" si="51"/>
        <v>Hostile Environment Reserch Outpost (JTAS Vol. 12)</v>
      </c>
    </row>
    <row r="199" spans="24:50" ht="16">
      <c r="X199">
        <f t="shared" si="48"/>
        <v>3</v>
      </c>
      <c r="Y199">
        <f t="shared" si="49"/>
        <v>198</v>
      </c>
      <c r="Z199" s="459">
        <v>6</v>
      </c>
      <c r="AA199" s="459" t="s">
        <v>2043</v>
      </c>
      <c r="AB199" s="460">
        <v>40300</v>
      </c>
      <c r="AC199" s="461">
        <v>1.5</v>
      </c>
      <c r="AD199">
        <f t="shared" si="52"/>
        <v>1</v>
      </c>
      <c r="AS199">
        <f t="shared" si="53"/>
        <v>1</v>
      </c>
      <c r="AV199">
        <f t="shared" si="47"/>
        <v>1</v>
      </c>
      <c r="AW199" s="57">
        <f t="shared" si="50"/>
        <v>198</v>
      </c>
      <c r="AX199" s="57" t="str">
        <f t="shared" si="51"/>
        <v>Hover Chariot (CA 3)</v>
      </c>
    </row>
    <row r="200" spans="24:50" ht="16">
      <c r="X200">
        <f t="shared" si="48"/>
        <v>3</v>
      </c>
      <c r="Y200">
        <f t="shared" si="49"/>
        <v>199</v>
      </c>
      <c r="Z200" s="459">
        <v>10</v>
      </c>
      <c r="AA200" s="459" t="s">
        <v>2040</v>
      </c>
      <c r="AB200" s="460">
        <v>34090000</v>
      </c>
      <c r="AC200" s="461">
        <v>130</v>
      </c>
      <c r="AD200">
        <f t="shared" si="52"/>
        <v>1</v>
      </c>
      <c r="AS200">
        <f t="shared" si="53"/>
        <v>1</v>
      </c>
      <c r="AV200">
        <f t="shared" si="47"/>
        <v>1</v>
      </c>
      <c r="AW200" s="57">
        <f t="shared" si="50"/>
        <v>199</v>
      </c>
      <c r="AX200" s="57" t="str">
        <f t="shared" si="51"/>
        <v>Hrattliner Gravitic Transport (B&amp;ESG)</v>
      </c>
    </row>
    <row r="201" spans="24:50">
      <c r="X201">
        <f t="shared" si="48"/>
        <v>4</v>
      </c>
      <c r="Y201">
        <f t="shared" si="49"/>
        <v>200</v>
      </c>
      <c r="Z201">
        <v>9</v>
      </c>
      <c r="AA201" t="s">
        <v>1968</v>
      </c>
      <c r="AB201" s="4">
        <v>199000</v>
      </c>
      <c r="AC201" s="453">
        <v>4</v>
      </c>
      <c r="AD201">
        <f t="shared" si="52"/>
        <v>1</v>
      </c>
      <c r="AN201">
        <f>IF($N$75="No",-20,1)</f>
        <v>1</v>
      </c>
      <c r="AS201">
        <f t="shared" si="53"/>
        <v>1</v>
      </c>
      <c r="AV201">
        <f t="shared" si="47"/>
        <v>1</v>
      </c>
      <c r="AW201" s="57">
        <f t="shared" si="50"/>
        <v>200</v>
      </c>
      <c r="AX201" s="57" t="str">
        <f t="shared" si="51"/>
        <v xml:space="preserve">Hrunting Hnaefir Air/Raft </v>
      </c>
    </row>
    <row r="202" spans="24:50">
      <c r="X202">
        <f t="shared" si="48"/>
        <v>4</v>
      </c>
      <c r="Y202">
        <f t="shared" si="49"/>
        <v>201</v>
      </c>
      <c r="Z202">
        <v>12</v>
      </c>
      <c r="AA202" t="s">
        <v>2263</v>
      </c>
      <c r="AB202" s="4">
        <v>6000000</v>
      </c>
      <c r="AC202" s="493">
        <v>10</v>
      </c>
      <c r="AD202">
        <f t="shared" si="52"/>
        <v>1</v>
      </c>
      <c r="AR202">
        <f>IF($N$79="No",-20,1)</f>
        <v>1</v>
      </c>
      <c r="AS202">
        <f t="shared" si="53"/>
        <v>1</v>
      </c>
      <c r="AV202">
        <f t="shared" si="47"/>
        <v>1</v>
      </c>
      <c r="AW202" s="57">
        <f t="shared" si="50"/>
        <v>201</v>
      </c>
      <c r="AX202" s="57" t="str">
        <f t="shared" si="51"/>
        <v>Iderati Light Support Submarine (JTAS Vol. 7)</v>
      </c>
    </row>
    <row r="203" spans="24:50">
      <c r="X203">
        <f t="shared" si="48"/>
        <v>4</v>
      </c>
      <c r="Y203">
        <f t="shared" si="49"/>
        <v>202</v>
      </c>
      <c r="Z203">
        <v>12</v>
      </c>
      <c r="AA203" t="s">
        <v>2262</v>
      </c>
      <c r="AB203" s="4">
        <v>299000000</v>
      </c>
      <c r="AC203" s="493">
        <v>300</v>
      </c>
      <c r="AD203">
        <f t="shared" si="52"/>
        <v>1</v>
      </c>
      <c r="AR203">
        <f>IF($N$79="No",-20,1)</f>
        <v>1</v>
      </c>
      <c r="AS203">
        <f t="shared" si="53"/>
        <v>1</v>
      </c>
      <c r="AV203">
        <f t="shared" si="47"/>
        <v>1</v>
      </c>
      <c r="AW203" s="57">
        <f t="shared" si="50"/>
        <v>202</v>
      </c>
      <c r="AX203" s="57" t="str">
        <f t="shared" si="51"/>
        <v>Iderati Space Defense Submarine (JTAS Vol. 7)</v>
      </c>
    </row>
    <row r="204" spans="24:50" ht="16">
      <c r="X204">
        <f t="shared" si="48"/>
        <v>4</v>
      </c>
      <c r="Y204">
        <f t="shared" si="49"/>
        <v>203</v>
      </c>
      <c r="Z204" s="459">
        <v>15</v>
      </c>
      <c r="AA204" s="459" t="s">
        <v>2254</v>
      </c>
      <c r="AB204" s="460">
        <v>1090000</v>
      </c>
      <c r="AC204" s="461">
        <v>5</v>
      </c>
      <c r="AD204">
        <f t="shared" si="52"/>
        <v>1</v>
      </c>
      <c r="AR204">
        <f>IF($N$79="No",-20,1)</f>
        <v>1</v>
      </c>
      <c r="AS204">
        <f t="shared" si="53"/>
        <v>1</v>
      </c>
      <c r="AV204">
        <f t="shared" si="47"/>
        <v>1</v>
      </c>
      <c r="AW204" s="57">
        <f t="shared" si="50"/>
        <v>203</v>
      </c>
      <c r="AX204" s="57" t="str">
        <f t="shared" si="51"/>
        <v>IISS Air/Raft (JTAS Vol. 6)</v>
      </c>
    </row>
    <row r="205" spans="24:50">
      <c r="X205">
        <f t="shared" si="48"/>
        <v>3</v>
      </c>
      <c r="Y205">
        <f t="shared" si="49"/>
        <v>204</v>
      </c>
      <c r="Z205">
        <v>15</v>
      </c>
      <c r="AA205" t="s">
        <v>2007</v>
      </c>
      <c r="AB205" s="4">
        <v>1025000</v>
      </c>
      <c r="AC205" s="453">
        <v>2</v>
      </c>
      <c r="AD205">
        <f t="shared" si="52"/>
        <v>1</v>
      </c>
      <c r="AS205">
        <f t="shared" si="53"/>
        <v>1</v>
      </c>
      <c r="AV205">
        <f t="shared" si="47"/>
        <v>1</v>
      </c>
      <c r="AW205" s="57">
        <f t="shared" si="50"/>
        <v>204</v>
      </c>
      <c r="AX205" s="57" t="str">
        <f t="shared" si="51"/>
        <v>IISS Covert Operations Pod</v>
      </c>
    </row>
    <row r="206" spans="24:50" ht="16">
      <c r="X206">
        <f t="shared" si="48"/>
        <v>4</v>
      </c>
      <c r="Y206">
        <f t="shared" si="49"/>
        <v>205</v>
      </c>
      <c r="Z206" s="459">
        <v>15</v>
      </c>
      <c r="AA206" s="459" t="s">
        <v>2253</v>
      </c>
      <c r="AB206" s="460">
        <v>843500</v>
      </c>
      <c r="AC206" s="461">
        <v>3</v>
      </c>
      <c r="AD206">
        <f t="shared" si="52"/>
        <v>1</v>
      </c>
      <c r="AR206">
        <f>IF($N$79="No",-20,1)</f>
        <v>1</v>
      </c>
      <c r="AS206">
        <f t="shared" si="53"/>
        <v>1</v>
      </c>
      <c r="AV206">
        <f t="shared" si="47"/>
        <v>1</v>
      </c>
      <c r="AW206" s="57">
        <f t="shared" si="50"/>
        <v>205</v>
      </c>
      <c r="AX206" s="57" t="str">
        <f t="shared" si="51"/>
        <v>IISS Grav Bike (JTAS Vol. 6)</v>
      </c>
    </row>
    <row r="207" spans="24:50" ht="16">
      <c r="X207">
        <f t="shared" si="48"/>
        <v>4</v>
      </c>
      <c r="Y207">
        <f t="shared" si="49"/>
        <v>206</v>
      </c>
      <c r="Z207" s="459">
        <v>15</v>
      </c>
      <c r="AA207" s="459" t="s">
        <v>2255</v>
      </c>
      <c r="AB207" s="460">
        <v>6770000</v>
      </c>
      <c r="AC207" s="461">
        <v>15</v>
      </c>
      <c r="AD207">
        <f t="shared" si="52"/>
        <v>1</v>
      </c>
      <c r="AR207">
        <f>IF($N$79="No",-20,1)</f>
        <v>1</v>
      </c>
      <c r="AS207">
        <f t="shared" si="53"/>
        <v>1</v>
      </c>
      <c r="AV207">
        <f t="shared" si="47"/>
        <v>1</v>
      </c>
      <c r="AW207" s="57">
        <f t="shared" si="50"/>
        <v>206</v>
      </c>
      <c r="AX207" s="57" t="str">
        <f t="shared" si="51"/>
        <v>IISS Survey G/Carrier (JTAS Vol. 6)</v>
      </c>
    </row>
    <row r="208" spans="24:50">
      <c r="X208">
        <f t="shared" si="48"/>
        <v>3</v>
      </c>
      <c r="Y208">
        <f t="shared" si="49"/>
        <v>207</v>
      </c>
      <c r="Z208">
        <v>15</v>
      </c>
      <c r="AA208" t="s">
        <v>2006</v>
      </c>
      <c r="AB208" s="4">
        <v>638000</v>
      </c>
      <c r="AC208" s="453">
        <v>2</v>
      </c>
      <c r="AD208">
        <f t="shared" si="52"/>
        <v>1</v>
      </c>
      <c r="AS208">
        <f t="shared" si="53"/>
        <v>1</v>
      </c>
      <c r="AV208">
        <f t="shared" si="47"/>
        <v>1</v>
      </c>
      <c r="AW208" s="57">
        <f t="shared" si="50"/>
        <v>207</v>
      </c>
      <c r="AX208" s="57" t="str">
        <f t="shared" si="51"/>
        <v>IISS Survey Pod</v>
      </c>
    </row>
    <row r="209" spans="24:50">
      <c r="X209">
        <f t="shared" si="48"/>
        <v>4</v>
      </c>
      <c r="Y209">
        <f t="shared" si="49"/>
        <v>208</v>
      </c>
      <c r="Z209">
        <v>15</v>
      </c>
      <c r="AA209" t="s">
        <v>1970</v>
      </c>
      <c r="AB209" s="4">
        <v>30010000</v>
      </c>
      <c r="AC209" s="453">
        <v>100</v>
      </c>
      <c r="AD209">
        <f>IF($N$65="No",-20,1)</f>
        <v>1</v>
      </c>
      <c r="AN209">
        <f>IF($N$75="No",-20,1)</f>
        <v>1</v>
      </c>
      <c r="AU209">
        <f>IF($P$65=0,1,IF(AC209&lt;=$P$65,1,-20))</f>
        <v>1</v>
      </c>
      <c r="AV209">
        <f t="shared" si="47"/>
        <v>1</v>
      </c>
      <c r="AW209" s="57">
        <f t="shared" si="50"/>
        <v>208</v>
      </c>
      <c r="AX209" s="57" t="str">
        <f t="shared" si="51"/>
        <v>Ilauus-Class Fast Shuttle</v>
      </c>
    </row>
    <row r="210" spans="24:50" ht="16">
      <c r="X210">
        <f t="shared" si="48"/>
        <v>3</v>
      </c>
      <c r="Y210">
        <f t="shared" si="49"/>
        <v>209</v>
      </c>
      <c r="Z210" s="459">
        <v>15</v>
      </c>
      <c r="AA210" s="459" t="s">
        <v>2366</v>
      </c>
      <c r="AB210" s="460">
        <v>2649360000</v>
      </c>
      <c r="AC210" s="461">
        <v>2600</v>
      </c>
      <c r="AD210">
        <f>IF($N$65="No",-20,1)</f>
        <v>1</v>
      </c>
      <c r="AU210">
        <f>IF($P$65=0,1,IF(AC210&lt;=$P$65,1,-20))</f>
        <v>1</v>
      </c>
      <c r="AV210">
        <f t="shared" si="47"/>
        <v>1</v>
      </c>
      <c r="AW210" s="57">
        <f t="shared" si="50"/>
        <v>209</v>
      </c>
      <c r="AX210" s="57" t="str">
        <f t="shared" si="51"/>
        <v>Intelligence Operations Pod (Opening Moves)</v>
      </c>
    </row>
    <row r="211" spans="24:50" ht="16">
      <c r="X211">
        <f t="shared" si="48"/>
        <v>3</v>
      </c>
      <c r="Y211">
        <f t="shared" si="49"/>
        <v>210</v>
      </c>
      <c r="Z211" s="459">
        <v>15</v>
      </c>
      <c r="AA211" s="459" t="s">
        <v>2123</v>
      </c>
      <c r="AB211" s="460">
        <v>935800000</v>
      </c>
      <c r="AC211" s="461">
        <v>2600</v>
      </c>
      <c r="AD211">
        <f>IF($N$65="No",-20,1)</f>
        <v>1</v>
      </c>
      <c r="AU211">
        <f>IF($P$65=0,1,IF(AC211&lt;=$P$65,1,-20))</f>
        <v>1</v>
      </c>
      <c r="AV211">
        <f t="shared" si="47"/>
        <v>1</v>
      </c>
      <c r="AW211" s="57">
        <f t="shared" si="50"/>
        <v>210</v>
      </c>
      <c r="AX211" s="57" t="str">
        <f t="shared" si="51"/>
        <v>Intelligence OPS Pod (ECC)</v>
      </c>
    </row>
    <row r="212" spans="24:50">
      <c r="X212">
        <f t="shared" si="48"/>
        <v>3</v>
      </c>
      <c r="Y212">
        <f t="shared" si="49"/>
        <v>211</v>
      </c>
      <c r="Z212">
        <v>14</v>
      </c>
      <c r="AA212" t="s">
        <v>2014</v>
      </c>
      <c r="AB212" s="4">
        <v>35440000</v>
      </c>
      <c r="AC212" s="453">
        <v>30</v>
      </c>
      <c r="AD212">
        <f>IF($N$62="No",-20,1)</f>
        <v>1</v>
      </c>
      <c r="AS212">
        <f>IF($P$62=0,1,IF(AC212&lt;=$P$62,1,-20))</f>
        <v>1</v>
      </c>
      <c r="AV212">
        <f t="shared" si="47"/>
        <v>1</v>
      </c>
      <c r="AW212" s="57">
        <f t="shared" si="50"/>
        <v>211</v>
      </c>
      <c r="AX212" s="57" t="str">
        <f t="shared" si="51"/>
        <v>Invader light Grav Tank</v>
      </c>
    </row>
    <row r="213" spans="24:50" ht="16">
      <c r="X213">
        <f t="shared" si="48"/>
        <v>4</v>
      </c>
      <c r="Y213">
        <f t="shared" si="49"/>
        <v>212</v>
      </c>
      <c r="Z213" s="459">
        <v>12</v>
      </c>
      <c r="AA213" s="459" t="s">
        <v>2243</v>
      </c>
      <c r="AB213" s="460">
        <v>82830000</v>
      </c>
      <c r="AC213" s="461">
        <v>200</v>
      </c>
      <c r="AD213">
        <f>IF($N$65="No",-20,1)</f>
        <v>1</v>
      </c>
      <c r="AR213">
        <f>IF($N$79="No",-20,1)</f>
        <v>1</v>
      </c>
      <c r="AU213">
        <f>IF($P$65=0,1,IF(AC213&lt;=$P$65,1,-20))</f>
        <v>1</v>
      </c>
      <c r="AV213">
        <f t="shared" si="47"/>
        <v>1</v>
      </c>
      <c r="AW213" s="57">
        <f t="shared" si="50"/>
        <v>212</v>
      </c>
      <c r="AX213" s="57" t="str">
        <f t="shared" si="51"/>
        <v>Javelin Light Gunboat (JTAS Vol. 6)</v>
      </c>
    </row>
    <row r="214" spans="24:50">
      <c r="X214">
        <f t="shared" si="48"/>
        <v>5</v>
      </c>
      <c r="Y214">
        <f t="shared" si="49"/>
        <v>213</v>
      </c>
      <c r="Z214">
        <v>12</v>
      </c>
      <c r="AA214" t="s">
        <v>1825</v>
      </c>
      <c r="AB214" s="4">
        <v>41385000</v>
      </c>
      <c r="AC214">
        <v>25</v>
      </c>
      <c r="AD214">
        <f>IF($N$63="No",-20,1)</f>
        <v>1</v>
      </c>
      <c r="AE214">
        <f>IF($N$64="No",-20,1)</f>
        <v>1</v>
      </c>
      <c r="AG214">
        <f>IF($N$68="No",-20,1)</f>
        <v>1</v>
      </c>
      <c r="AT214">
        <f>IF($P$63=0,1,IF(AC214&lt;=$P$63,1,-20))</f>
        <v>1</v>
      </c>
      <c r="AV214">
        <f t="shared" si="47"/>
        <v>1</v>
      </c>
      <c r="AW214" s="57">
        <f t="shared" si="50"/>
        <v>213</v>
      </c>
      <c r="AX214" s="57" t="str">
        <f t="shared" si="51"/>
        <v>Jester Covert Ops Fighter</v>
      </c>
    </row>
    <row r="215" spans="24:50">
      <c r="X215">
        <f t="shared" si="48"/>
        <v>5</v>
      </c>
      <c r="Y215">
        <f t="shared" si="49"/>
        <v>214</v>
      </c>
      <c r="Z215">
        <v>10</v>
      </c>
      <c r="AA215" t="s">
        <v>1823</v>
      </c>
      <c r="AB215" s="4">
        <v>3390000</v>
      </c>
      <c r="AC215">
        <v>20</v>
      </c>
      <c r="AD215">
        <f>IF($N$63="No",-20,1)</f>
        <v>1</v>
      </c>
      <c r="AE215">
        <f>IF($N$64="No",-20,1)</f>
        <v>1</v>
      </c>
      <c r="AG215">
        <f>IF($N$68="No",-20,1)</f>
        <v>1</v>
      </c>
      <c r="AT215">
        <f>IF($P$63=0,1,IF(AC215&lt;=$P$63,1,-20))</f>
        <v>1</v>
      </c>
      <c r="AV215">
        <f t="shared" si="47"/>
        <v>1</v>
      </c>
      <c r="AW215" s="57">
        <f t="shared" si="50"/>
        <v>214</v>
      </c>
      <c r="AX215" s="57" t="str">
        <f t="shared" si="51"/>
        <v>Junker</v>
      </c>
    </row>
    <row r="216" spans="24:50">
      <c r="X216">
        <f t="shared" si="48"/>
        <v>4</v>
      </c>
      <c r="Y216">
        <f t="shared" si="49"/>
        <v>215</v>
      </c>
      <c r="Z216">
        <v>8</v>
      </c>
      <c r="AA216" t="s">
        <v>1982</v>
      </c>
      <c r="AB216" s="4">
        <v>236421</v>
      </c>
      <c r="AC216" s="453">
        <v>9</v>
      </c>
      <c r="AD216">
        <f>IF($N$62="No",-20,1)</f>
        <v>1</v>
      </c>
      <c r="AO216">
        <f>IF($N$76="No",-20,1)</f>
        <v>1</v>
      </c>
      <c r="AS216">
        <f>IF($P$62=0,1,IF(AC216&lt;=$P$62,1,-20))</f>
        <v>1</v>
      </c>
      <c r="AV216">
        <f t="shared" si="47"/>
        <v>1</v>
      </c>
      <c r="AW216" s="57">
        <f t="shared" si="50"/>
        <v>215</v>
      </c>
      <c r="AX216" s="57" t="str">
        <f t="shared" si="51"/>
        <v>Kashi Rover</v>
      </c>
    </row>
    <row r="217" spans="24:50">
      <c r="X217">
        <f t="shared" si="48"/>
        <v>5</v>
      </c>
      <c r="Y217">
        <f t="shared" si="49"/>
        <v>216</v>
      </c>
      <c r="Z217">
        <v>15</v>
      </c>
      <c r="AA217" t="s">
        <v>1824</v>
      </c>
      <c r="AB217" s="4">
        <v>51500000</v>
      </c>
      <c r="AC217">
        <v>20</v>
      </c>
      <c r="AD217">
        <f>IF($N$63="No",-20,1)</f>
        <v>1</v>
      </c>
      <c r="AE217">
        <f>IF($N$64="No",-20,1)</f>
        <v>1</v>
      </c>
      <c r="AG217">
        <f>IF($N$68="No",-20,1)</f>
        <v>1</v>
      </c>
      <c r="AT217">
        <f>IF($P$63=0,1,IF(AC217&lt;=$P$63,1,-20))</f>
        <v>1</v>
      </c>
      <c r="AV217">
        <f t="shared" si="47"/>
        <v>1</v>
      </c>
      <c r="AW217" s="57">
        <f t="shared" si="50"/>
        <v>216</v>
      </c>
      <c r="AX217" s="57" t="str">
        <f t="shared" si="51"/>
        <v>Kashu Multirole Fighter</v>
      </c>
    </row>
    <row r="218" spans="24:50" ht="16">
      <c r="X218">
        <f t="shared" si="48"/>
        <v>3</v>
      </c>
      <c r="Y218">
        <f t="shared" si="49"/>
        <v>217</v>
      </c>
      <c r="Z218" s="459">
        <v>9</v>
      </c>
      <c r="AA218" s="459" t="s">
        <v>2252</v>
      </c>
      <c r="AB218" s="460">
        <v>149000000</v>
      </c>
      <c r="AC218" s="461">
        <v>200</v>
      </c>
      <c r="AD218">
        <f>IF($N$62="No",-20,1)</f>
        <v>1</v>
      </c>
      <c r="AS218">
        <f>IF($P$62=0,1,IF(AC218&lt;=$P$62,1,-20))</f>
        <v>1</v>
      </c>
      <c r="AV218">
        <f t="shared" si="47"/>
        <v>1</v>
      </c>
      <c r="AW218" s="57">
        <f t="shared" si="50"/>
        <v>217</v>
      </c>
      <c r="AX218" s="57" t="str">
        <f t="shared" si="51"/>
        <v>KAVARII-CLASS Aerospace Defense Submarine (JTAS Vol. 6)</v>
      </c>
    </row>
    <row r="219" spans="24:50" ht="16">
      <c r="X219">
        <f t="shared" si="48"/>
        <v>3</v>
      </c>
      <c r="Y219">
        <f t="shared" si="49"/>
        <v>218</v>
      </c>
      <c r="Z219" s="459">
        <v>15</v>
      </c>
      <c r="AA219" s="459" t="s">
        <v>2399</v>
      </c>
      <c r="AB219" s="460">
        <v>500300000</v>
      </c>
      <c r="AC219" s="461">
        <v>400</v>
      </c>
      <c r="AD219">
        <f>IF($N$65="No",-20,1)</f>
        <v>1</v>
      </c>
      <c r="AU219">
        <f>IF($P$65=0,1,IF(AC219&lt;=$P$65,1,-20))</f>
        <v>1</v>
      </c>
      <c r="AV219">
        <f t="shared" si="47"/>
        <v>1</v>
      </c>
      <c r="AW219" s="57">
        <f t="shared" si="50"/>
        <v>218</v>
      </c>
      <c r="AX219" s="57" t="str">
        <f t="shared" si="51"/>
        <v>Keldyx-Class Hiver System Defense Boat (Traders and Gunboats)</v>
      </c>
    </row>
    <row r="220" spans="24:50" ht="16">
      <c r="X220">
        <f t="shared" si="48"/>
        <v>4</v>
      </c>
      <c r="Y220">
        <f t="shared" si="49"/>
        <v>219</v>
      </c>
      <c r="Z220" s="459">
        <v>14</v>
      </c>
      <c r="AA220" s="459" t="s">
        <v>2390</v>
      </c>
      <c r="AB220" s="460">
        <v>21971000</v>
      </c>
      <c r="AC220" s="461">
        <v>15</v>
      </c>
      <c r="AD220">
        <f>IF($N$63="No",-20,1)</f>
        <v>1</v>
      </c>
      <c r="AE220">
        <f>IF($N$64="No",-20,1)</f>
        <v>1</v>
      </c>
      <c r="AT220">
        <f>IF($P$63=0,1,IF(AC220&lt;=$P$63,1,-20))</f>
        <v>1</v>
      </c>
      <c r="AV220">
        <f t="shared" si="47"/>
        <v>1</v>
      </c>
      <c r="AW220" s="57">
        <f t="shared" si="50"/>
        <v>219</v>
      </c>
      <c r="AX220" s="57" t="str">
        <f t="shared" si="51"/>
        <v>Kestrel Aerospace Fighter (Solomani Front)</v>
      </c>
    </row>
    <row r="221" spans="24:50">
      <c r="X221">
        <f t="shared" si="48"/>
        <v>4</v>
      </c>
      <c r="Y221">
        <f t="shared" si="49"/>
        <v>220</v>
      </c>
      <c r="Z221">
        <v>9</v>
      </c>
      <c r="AA221" t="s">
        <v>1889</v>
      </c>
      <c r="AB221" s="4">
        <v>11030000</v>
      </c>
      <c r="AC221" s="453">
        <v>100</v>
      </c>
      <c r="AD221">
        <f>IF($N$65="No",-20,1)</f>
        <v>1</v>
      </c>
      <c r="AJ221">
        <f t="shared" ref="AJ221:AJ228" si="54">IF($N$71="No",-20,1)</f>
        <v>1</v>
      </c>
      <c r="AU221">
        <f>IF($P$65=0,1,IF(AC221&lt;=$P$65,1,-20))</f>
        <v>1</v>
      </c>
      <c r="AV221">
        <f t="shared" si="47"/>
        <v>1</v>
      </c>
      <c r="AW221" s="57">
        <f t="shared" si="50"/>
        <v>220</v>
      </c>
      <c r="AX221" s="57" t="str">
        <f t="shared" si="51"/>
        <v>K'Kree Bearer-of-Cargoes Shuttle</v>
      </c>
    </row>
    <row r="222" spans="24:50">
      <c r="X222">
        <f t="shared" si="48"/>
        <v>4</v>
      </c>
      <c r="Y222">
        <f t="shared" si="49"/>
        <v>221</v>
      </c>
      <c r="Z222">
        <v>9</v>
      </c>
      <c r="AA222" t="s">
        <v>1890</v>
      </c>
      <c r="AB222" s="4">
        <v>16050000</v>
      </c>
      <c r="AC222" s="453">
        <v>100</v>
      </c>
      <c r="AD222">
        <f>IF($N$65="No",-20,1)</f>
        <v>1</v>
      </c>
      <c r="AJ222">
        <f t="shared" si="54"/>
        <v>1</v>
      </c>
      <c r="AU222">
        <f>IF($P$65=0,1,IF(AC222&lt;=$P$65,1,-20))</f>
        <v>1</v>
      </c>
      <c r="AV222">
        <f t="shared" si="47"/>
        <v>1</v>
      </c>
      <c r="AW222" s="57">
        <f t="shared" si="50"/>
        <v>221</v>
      </c>
      <c r="AX222" s="57" t="str">
        <f t="shared" si="51"/>
        <v xml:space="preserve">K'Kree Bearer-of-Families Orbital Shuttle </v>
      </c>
    </row>
    <row r="223" spans="24:50">
      <c r="X223">
        <f t="shared" si="48"/>
        <v>5</v>
      </c>
      <c r="Y223">
        <f t="shared" si="49"/>
        <v>222</v>
      </c>
      <c r="Z223">
        <v>12</v>
      </c>
      <c r="AA223" t="s">
        <v>1892</v>
      </c>
      <c r="AB223" s="4">
        <v>53160000</v>
      </c>
      <c r="AC223" s="453">
        <v>40</v>
      </c>
      <c r="AD223">
        <f>IF($N$63="No",-20,1)</f>
        <v>1</v>
      </c>
      <c r="AE223">
        <f>IF($N$64="No",-20,1)</f>
        <v>1</v>
      </c>
      <c r="AJ223">
        <f t="shared" si="54"/>
        <v>1</v>
      </c>
      <c r="AT223">
        <f>IF($P$63=0,1,IF(AC223&lt;=$P$63,1,-20))</f>
        <v>1</v>
      </c>
      <c r="AV223">
        <f t="shared" si="47"/>
        <v>1</v>
      </c>
      <c r="AW223" s="57">
        <f t="shared" si="50"/>
        <v>222</v>
      </c>
      <c r="AX223" s="57" t="str">
        <f t="shared" si="51"/>
        <v xml:space="preserve">K'Kree Faithful Shield Robotic Escort Fighter </v>
      </c>
    </row>
    <row r="224" spans="24:50">
      <c r="X224">
        <f t="shared" si="48"/>
        <v>4</v>
      </c>
      <c r="Y224">
        <f t="shared" si="49"/>
        <v>223</v>
      </c>
      <c r="Z224">
        <v>13</v>
      </c>
      <c r="AA224" t="s">
        <v>1887</v>
      </c>
      <c r="AB224" s="4">
        <v>10800000</v>
      </c>
      <c r="AC224" s="453">
        <v>30</v>
      </c>
      <c r="AD224">
        <f>IF($N$62="No",-20,1)</f>
        <v>1</v>
      </c>
      <c r="AJ224">
        <f t="shared" si="54"/>
        <v>1</v>
      </c>
      <c r="AS224">
        <f>IF($P$62=0,1,IF(AC224&lt;=$P$62,1,-20))</f>
        <v>1</v>
      </c>
      <c r="AV224">
        <f t="shared" si="47"/>
        <v>1</v>
      </c>
      <c r="AW224" s="57">
        <f t="shared" si="50"/>
        <v>223</v>
      </c>
      <c r="AX224" s="57" t="str">
        <f t="shared" si="51"/>
        <v>K'Kree Family Transport Vehicle</v>
      </c>
    </row>
    <row r="225" spans="24:50">
      <c r="X225">
        <f t="shared" si="48"/>
        <v>4</v>
      </c>
      <c r="Y225">
        <f t="shared" si="49"/>
        <v>224</v>
      </c>
      <c r="Z225">
        <v>9</v>
      </c>
      <c r="AA225" t="s">
        <v>1886</v>
      </c>
      <c r="AB225" s="4">
        <v>340500</v>
      </c>
      <c r="AC225" s="453">
        <v>5</v>
      </c>
      <c r="AD225">
        <f>IF($N$62="No",-20,1)</f>
        <v>1</v>
      </c>
      <c r="AJ225">
        <f t="shared" si="54"/>
        <v>1</v>
      </c>
      <c r="AS225">
        <f>IF($P$62=0,1,IF(AC225&lt;=$P$62,1,-20))</f>
        <v>1</v>
      </c>
      <c r="AV225">
        <f t="shared" si="47"/>
        <v>1</v>
      </c>
      <c r="AW225" s="57">
        <f t="shared" si="50"/>
        <v>224</v>
      </c>
      <c r="AX225" s="57" t="str">
        <f t="shared" si="51"/>
        <v>K'Kree Lead Grav Skimmer</v>
      </c>
    </row>
    <row r="226" spans="24:50">
      <c r="X226">
        <f t="shared" si="48"/>
        <v>4</v>
      </c>
      <c r="Y226">
        <f t="shared" si="49"/>
        <v>225</v>
      </c>
      <c r="Z226">
        <v>12</v>
      </c>
      <c r="AA226" t="s">
        <v>1888</v>
      </c>
      <c r="AB226" s="4">
        <v>21100000</v>
      </c>
      <c r="AC226" s="453">
        <v>50</v>
      </c>
      <c r="AD226">
        <f>IF($N$62="No",-20,1)</f>
        <v>1</v>
      </c>
      <c r="AJ226">
        <f t="shared" si="54"/>
        <v>1</v>
      </c>
      <c r="AS226">
        <f>IF($P$62=0,1,IF(AC226&lt;=$P$62,1,-20))</f>
        <v>1</v>
      </c>
      <c r="AV226">
        <f t="shared" si="47"/>
        <v>1</v>
      </c>
      <c r="AW226" s="57">
        <f t="shared" si="50"/>
        <v>225</v>
      </c>
      <c r="AX226" s="57" t="str">
        <f t="shared" si="51"/>
        <v>K'Kree Mobile Fighting Platform</v>
      </c>
    </row>
    <row r="227" spans="24:50">
      <c r="X227">
        <f t="shared" si="48"/>
        <v>4</v>
      </c>
      <c r="Y227">
        <f t="shared" si="49"/>
        <v>226</v>
      </c>
      <c r="Z227">
        <v>9</v>
      </c>
      <c r="AA227" t="s">
        <v>1885</v>
      </c>
      <c r="AB227" s="4">
        <v>314700</v>
      </c>
      <c r="AC227" s="453">
        <v>5</v>
      </c>
      <c r="AD227">
        <f>IF($N$62="No",-20,1)</f>
        <v>1</v>
      </c>
      <c r="AJ227">
        <f t="shared" si="54"/>
        <v>1</v>
      </c>
      <c r="AS227">
        <f>IF($P$62=0,1,IF(AC227&lt;=$P$62,1,-20))</f>
        <v>1</v>
      </c>
      <c r="AV227">
        <f t="shared" si="47"/>
        <v>1</v>
      </c>
      <c r="AW227" s="57">
        <f t="shared" si="50"/>
        <v>226</v>
      </c>
      <c r="AX227" s="57" t="str">
        <f t="shared" si="51"/>
        <v xml:space="preserve">K'Kree Personal Grav Skimmer </v>
      </c>
    </row>
    <row r="228" spans="24:50">
      <c r="X228">
        <f t="shared" si="48"/>
        <v>5</v>
      </c>
      <c r="Y228">
        <f t="shared" si="49"/>
        <v>227</v>
      </c>
      <c r="Z228">
        <v>12</v>
      </c>
      <c r="AA228" t="s">
        <v>1891</v>
      </c>
      <c r="AB228" s="4">
        <v>29360000</v>
      </c>
      <c r="AC228" s="453">
        <v>30</v>
      </c>
      <c r="AD228">
        <f>IF($N$63="No",-20,1)</f>
        <v>1</v>
      </c>
      <c r="AE228">
        <f>IF($N$64="No",-20,1)</f>
        <v>1</v>
      </c>
      <c r="AJ228">
        <f t="shared" si="54"/>
        <v>1</v>
      </c>
      <c r="AT228">
        <f>IF($P$63=0,1,IF(AC228&lt;=$P$63,1,-20))</f>
        <v>1</v>
      </c>
      <c r="AV228">
        <f t="shared" si="47"/>
        <v>1</v>
      </c>
      <c r="AW228" s="57">
        <f t="shared" si="50"/>
        <v>227</v>
      </c>
      <c r="AX228" s="57" t="str">
        <f t="shared" si="51"/>
        <v xml:space="preserve">K'Kree Quickening Thunder Robotic Fighter </v>
      </c>
    </row>
    <row r="229" spans="24:50" ht="16">
      <c r="X229">
        <f t="shared" si="48"/>
        <v>3</v>
      </c>
      <c r="Y229">
        <f t="shared" si="49"/>
        <v>228</v>
      </c>
      <c r="Z229" s="459">
        <v>12</v>
      </c>
      <c r="AA229" s="459" t="s">
        <v>2389</v>
      </c>
      <c r="AB229" s="460">
        <v>350000</v>
      </c>
      <c r="AC229" s="461">
        <v>10</v>
      </c>
      <c r="AD229">
        <f>IF($N$62="No",-20,1)</f>
        <v>1</v>
      </c>
      <c r="AS229">
        <f>IF($P$62=0,1,IF(AC229&lt;=$P$62,1,-20))</f>
        <v>1</v>
      </c>
      <c r="AV229">
        <f t="shared" si="47"/>
        <v>1</v>
      </c>
      <c r="AW229" s="57">
        <f t="shared" si="50"/>
        <v>228</v>
      </c>
      <c r="AX229" s="57" t="str">
        <f t="shared" si="51"/>
        <v>Kokoro (Ornothopter) (Solomani Adventure 2)</v>
      </c>
    </row>
    <row r="230" spans="24:50" ht="16">
      <c r="X230">
        <f t="shared" si="48"/>
        <v>3</v>
      </c>
      <c r="Y230">
        <f t="shared" si="49"/>
        <v>229</v>
      </c>
      <c r="Z230" s="459">
        <v>12</v>
      </c>
      <c r="AA230" s="459" t="s">
        <v>2222</v>
      </c>
      <c r="AB230" s="460">
        <v>949000</v>
      </c>
      <c r="AC230" s="461">
        <v>20</v>
      </c>
      <c r="AD230">
        <f>IF($N$62="No",-20,1)</f>
        <v>1</v>
      </c>
      <c r="AS230">
        <f>IF($P$62=0,1,IF(AC230&lt;=$P$62,1,-20))</f>
        <v>1</v>
      </c>
      <c r="AV230">
        <f t="shared" si="47"/>
        <v>1</v>
      </c>
      <c r="AW230" s="57">
        <f t="shared" si="50"/>
        <v>229</v>
      </c>
      <c r="AX230" s="57" t="str">
        <f t="shared" si="51"/>
        <v>Large ATV (JTAS Vol. 1)</v>
      </c>
    </row>
    <row r="231" spans="24:50">
      <c r="X231">
        <f t="shared" si="48"/>
        <v>5</v>
      </c>
      <c r="Y231">
        <f t="shared" si="49"/>
        <v>230</v>
      </c>
      <c r="Z231">
        <v>12</v>
      </c>
      <c r="AA231" t="s">
        <v>2026</v>
      </c>
      <c r="AB231" s="4">
        <v>21699000</v>
      </c>
      <c r="AC231" s="453">
        <v>50</v>
      </c>
      <c r="AD231">
        <f>IF($N$63="No",-20,1)</f>
        <v>1</v>
      </c>
      <c r="AE231">
        <f>IF($N$64="No",-20,1)</f>
        <v>1</v>
      </c>
      <c r="AP231">
        <f>IF($N$77="No",-20,1)</f>
        <v>1</v>
      </c>
      <c r="AT231">
        <f>IF($P$63=0,1,IF(AC231&lt;=$P$63,1,-20))</f>
        <v>1</v>
      </c>
      <c r="AV231">
        <f t="shared" si="47"/>
        <v>1</v>
      </c>
      <c r="AW231" s="57">
        <f t="shared" si="50"/>
        <v>230</v>
      </c>
      <c r="AX231" s="57" t="str">
        <f t="shared" si="51"/>
        <v>Larshan -Defender Light Patrol Boat</v>
      </c>
    </row>
    <row r="232" spans="24:50">
      <c r="X232">
        <f t="shared" si="48"/>
        <v>4</v>
      </c>
      <c r="Y232">
        <f t="shared" si="49"/>
        <v>231</v>
      </c>
      <c r="Z232">
        <v>12</v>
      </c>
      <c r="AA232" t="s">
        <v>2025</v>
      </c>
      <c r="AB232" s="4">
        <v>16582500</v>
      </c>
      <c r="AC232" s="453">
        <v>50</v>
      </c>
      <c r="AD232">
        <f>IF($N$63="No",-20,1)</f>
        <v>1</v>
      </c>
      <c r="AP232">
        <f>IF($N$77="No",-20,1)</f>
        <v>1</v>
      </c>
      <c r="AT232">
        <f>IF($P$63=0,1,IF(AC232&lt;=$P$63,1,-20))</f>
        <v>1</v>
      </c>
      <c r="AV232">
        <f t="shared" si="47"/>
        <v>1</v>
      </c>
      <c r="AW232" s="57">
        <f t="shared" si="50"/>
        <v>231</v>
      </c>
      <c r="AX232" s="57" t="str">
        <f t="shared" si="51"/>
        <v>Larshan Utility Craft</v>
      </c>
    </row>
    <row r="233" spans="24:50">
      <c r="X233">
        <f t="shared" si="48"/>
        <v>4</v>
      </c>
      <c r="Y233">
        <f t="shared" si="49"/>
        <v>232</v>
      </c>
      <c r="Z233">
        <v>12</v>
      </c>
      <c r="AA233" t="s">
        <v>1748</v>
      </c>
      <c r="AB233" s="4">
        <v>2630000</v>
      </c>
      <c r="AC233">
        <v>20</v>
      </c>
      <c r="AD233">
        <f>IF($N$63="No",-20,1)</f>
        <v>1</v>
      </c>
      <c r="AI233">
        <f>IF($N$70="No",-20,1)</f>
        <v>1</v>
      </c>
      <c r="AT233">
        <f>IF($P$63=0,1,IF(AC233&lt;=$P$63,1,-20))</f>
        <v>1</v>
      </c>
      <c r="AV233">
        <f t="shared" si="47"/>
        <v>1</v>
      </c>
      <c r="AW233" s="57">
        <f t="shared" si="50"/>
        <v>232</v>
      </c>
      <c r="AX233" s="57" t="str">
        <f t="shared" si="51"/>
        <v>Launch (Core'22)</v>
      </c>
    </row>
    <row r="234" spans="24:50">
      <c r="X234">
        <f t="shared" si="48"/>
        <v>4</v>
      </c>
      <c r="Y234">
        <f t="shared" si="49"/>
        <v>233</v>
      </c>
      <c r="Z234">
        <v>10</v>
      </c>
      <c r="AA234" t="s">
        <v>1778</v>
      </c>
      <c r="AB234" s="4">
        <v>7240000</v>
      </c>
      <c r="AC234">
        <v>15</v>
      </c>
      <c r="AD234">
        <f>IF($N$62="No",-20,1)</f>
        <v>1</v>
      </c>
      <c r="AH234">
        <f>IF($N$69="No",-20,1)</f>
        <v>1</v>
      </c>
      <c r="AS234">
        <f>IF($P$62=0,1,IF(AC234&lt;=$P$62,1,-20))</f>
        <v>1</v>
      </c>
      <c r="AV234">
        <f t="shared" si="47"/>
        <v>1</v>
      </c>
      <c r="AW234" s="57">
        <f t="shared" si="50"/>
        <v>233</v>
      </c>
      <c r="AX234" s="57" t="str">
        <f t="shared" si="51"/>
        <v>Liberator G/Carrier</v>
      </c>
    </row>
    <row r="235" spans="24:50">
      <c r="X235">
        <f t="shared" si="48"/>
        <v>4</v>
      </c>
      <c r="Y235">
        <f t="shared" si="49"/>
        <v>234</v>
      </c>
      <c r="Z235">
        <v>9</v>
      </c>
      <c r="AA235" t="s">
        <v>1809</v>
      </c>
      <c r="AB235" s="4">
        <v>3730000</v>
      </c>
      <c r="AC235">
        <v>20</v>
      </c>
      <c r="AD235">
        <f>IF($N$63="No",-20,1)</f>
        <v>1</v>
      </c>
      <c r="AG235">
        <f>IF($N$68="No",-20,1)</f>
        <v>1</v>
      </c>
      <c r="AT235">
        <f>IF($P$63=0,1,IF(AC235&lt;=$P$63,1,-20))</f>
        <v>1</v>
      </c>
      <c r="AV235">
        <f t="shared" si="47"/>
        <v>1</v>
      </c>
      <c r="AW235" s="57">
        <f t="shared" si="50"/>
        <v>234</v>
      </c>
      <c r="AX235" s="57" t="str">
        <f t="shared" si="51"/>
        <v>Lifeboat</v>
      </c>
    </row>
    <row r="236" spans="24:50" ht="16">
      <c r="X236">
        <f t="shared" si="48"/>
        <v>4</v>
      </c>
      <c r="Y236">
        <f t="shared" si="49"/>
        <v>235</v>
      </c>
      <c r="Z236" s="459">
        <v>9</v>
      </c>
      <c r="AA236" s="459" t="s">
        <v>2226</v>
      </c>
      <c r="AB236" s="460">
        <v>73600</v>
      </c>
      <c r="AC236" s="461">
        <v>7.5</v>
      </c>
      <c r="AD236">
        <f>IF($N$62="No",-20,1)</f>
        <v>1</v>
      </c>
      <c r="AR236">
        <f>IF($N$79="No",-20,1)</f>
        <v>1</v>
      </c>
      <c r="AS236">
        <f>IF($P$62=0,1,IF(AC236&lt;=$P$62,1,-20))</f>
        <v>1</v>
      </c>
      <c r="AV236">
        <f t="shared" si="47"/>
        <v>1</v>
      </c>
      <c r="AW236" s="57">
        <f t="shared" si="50"/>
        <v>235</v>
      </c>
      <c r="AX236" s="57" t="str">
        <f t="shared" si="51"/>
        <v>Light APC (JTAS Vol. 1)</v>
      </c>
    </row>
    <row r="237" spans="24:50">
      <c r="X237">
        <f t="shared" si="48"/>
        <v>5</v>
      </c>
      <c r="Y237">
        <f t="shared" si="49"/>
        <v>236</v>
      </c>
      <c r="Z237">
        <v>12</v>
      </c>
      <c r="AA237" t="s">
        <v>1746</v>
      </c>
      <c r="AB237" s="4">
        <v>9090000</v>
      </c>
      <c r="AC237">
        <v>10</v>
      </c>
      <c r="AD237">
        <f>IF($N$63="No",-20,1)</f>
        <v>1</v>
      </c>
      <c r="AE237">
        <f>IF($N$64="No",-20,1)</f>
        <v>1</v>
      </c>
      <c r="AI237">
        <f>IF($N$70="No",-20,1)</f>
        <v>1</v>
      </c>
      <c r="AT237">
        <f>IF($P$63=0,1,IF(AC237&lt;=$P$63,1,-20))</f>
        <v>1</v>
      </c>
      <c r="AV237">
        <f t="shared" si="47"/>
        <v>1</v>
      </c>
      <c r="AW237" s="57">
        <f t="shared" si="50"/>
        <v>236</v>
      </c>
      <c r="AX237" s="57" t="str">
        <f t="shared" si="51"/>
        <v>Light Fighter (Core'22)</v>
      </c>
    </row>
    <row r="238" spans="24:50">
      <c r="X238">
        <f t="shared" si="48"/>
        <v>5</v>
      </c>
      <c r="Y238">
        <f t="shared" si="49"/>
        <v>237</v>
      </c>
      <c r="Z238">
        <v>12</v>
      </c>
      <c r="AA238" t="s">
        <v>1785</v>
      </c>
      <c r="AB238" s="4">
        <v>10480000</v>
      </c>
      <c r="AC238">
        <v>10</v>
      </c>
      <c r="AD238">
        <f>IF($N$63="No",-20,1)</f>
        <v>1</v>
      </c>
      <c r="AE238">
        <f>IF($N$64="No",-20,1)</f>
        <v>1</v>
      </c>
      <c r="AF238">
        <f>IF($N$67="No",-20,1)</f>
        <v>1</v>
      </c>
      <c r="AT238">
        <f>IF($P$63=0,1,IF(AC238&lt;=$P$63,1,-20))</f>
        <v>1</v>
      </c>
      <c r="AV238">
        <f t="shared" si="47"/>
        <v>1</v>
      </c>
      <c r="AW238" s="57">
        <f t="shared" si="50"/>
        <v>237</v>
      </c>
      <c r="AX238" s="57" t="str">
        <f t="shared" si="51"/>
        <v>Light Fighter (HG'22)</v>
      </c>
    </row>
    <row r="239" spans="24:50" ht="16">
      <c r="X239">
        <f t="shared" si="48"/>
        <v>4</v>
      </c>
      <c r="Y239">
        <f t="shared" si="49"/>
        <v>238</v>
      </c>
      <c r="Z239" s="459">
        <v>9</v>
      </c>
      <c r="AA239" s="459" t="s">
        <v>2225</v>
      </c>
      <c r="AB239" s="460">
        <v>132000</v>
      </c>
      <c r="AC239" s="461">
        <v>7.5</v>
      </c>
      <c r="AD239">
        <f>IF($N$62="No",-20,1)</f>
        <v>1</v>
      </c>
      <c r="AR239">
        <f>IF($N$79="No",-20,1)</f>
        <v>1</v>
      </c>
      <c r="AS239">
        <f>IF($P$62=0,1,IF(AC239&lt;=$P$62,1,-20))</f>
        <v>1</v>
      </c>
      <c r="AV239">
        <f t="shared" si="47"/>
        <v>1</v>
      </c>
      <c r="AW239" s="57">
        <f t="shared" si="50"/>
        <v>238</v>
      </c>
      <c r="AX239" s="57" t="str">
        <f t="shared" si="51"/>
        <v>Light Patrol Vehicle (JTAS Vol. 1)</v>
      </c>
    </row>
    <row r="240" spans="24:50" ht="16">
      <c r="X240">
        <f t="shared" si="48"/>
        <v>4</v>
      </c>
      <c r="Y240">
        <f t="shared" si="49"/>
        <v>239</v>
      </c>
      <c r="Z240" s="459">
        <v>7</v>
      </c>
      <c r="AA240" s="459" t="s">
        <v>2230</v>
      </c>
      <c r="AB240" s="460">
        <v>1900000</v>
      </c>
      <c r="AC240" s="461">
        <v>20</v>
      </c>
      <c r="AD240">
        <f>IF($N$62="No",-20,1)</f>
        <v>1</v>
      </c>
      <c r="AR240">
        <f>IF($N$79="No",-20,1)</f>
        <v>1</v>
      </c>
      <c r="AS240">
        <f>IF($P$62=0,1,IF(AC240&lt;=$P$62,1,-20))</f>
        <v>1</v>
      </c>
      <c r="AV240">
        <f t="shared" si="47"/>
        <v>1</v>
      </c>
      <c r="AW240" s="57">
        <f t="shared" si="50"/>
        <v>239</v>
      </c>
      <c r="AX240" s="57" t="str">
        <f t="shared" si="51"/>
        <v>Lightning Ground-Attack Aitcraft (JTAS Vol. 2)</v>
      </c>
    </row>
    <row r="241" spans="24:50" ht="16">
      <c r="X241">
        <f t="shared" si="48"/>
        <v>3</v>
      </c>
      <c r="Y241">
        <f t="shared" si="49"/>
        <v>240</v>
      </c>
      <c r="Z241" s="459">
        <v>12</v>
      </c>
      <c r="AA241" s="459" t="s">
        <v>2372</v>
      </c>
      <c r="AB241" s="460">
        <v>19670000</v>
      </c>
      <c r="AC241" s="461">
        <v>95</v>
      </c>
      <c r="AD241">
        <f>IF($N$63="No",-20,1)</f>
        <v>1</v>
      </c>
      <c r="AT241">
        <f>IF($P$63=0,1,IF(AC241&lt;=$P$63,1,-20))</f>
        <v>1</v>
      </c>
      <c r="AV241">
        <f t="shared" si="47"/>
        <v>1</v>
      </c>
      <c r="AW241" s="57">
        <f t="shared" si="50"/>
        <v>240</v>
      </c>
      <c r="AX241" s="57" t="str">
        <f t="shared" si="51"/>
        <v>Little Betty (Modified Shuttle) (Reach Adventure 6)</v>
      </c>
    </row>
    <row r="242" spans="24:50">
      <c r="X242">
        <f t="shared" si="48"/>
        <v>5</v>
      </c>
      <c r="Y242">
        <f t="shared" si="49"/>
        <v>241</v>
      </c>
      <c r="Z242">
        <v>15</v>
      </c>
      <c r="AA242" t="s">
        <v>2302</v>
      </c>
      <c r="AB242" s="4">
        <v>21019000</v>
      </c>
      <c r="AC242" s="493">
        <v>20</v>
      </c>
      <c r="AD242">
        <f>IF($N$63="No",-20,1)</f>
        <v>1</v>
      </c>
      <c r="AE242">
        <f>IF($N$64="No",-20,1)</f>
        <v>1</v>
      </c>
      <c r="AR242">
        <f>IF($N$79="No",-20,1)</f>
        <v>1</v>
      </c>
      <c r="AT242">
        <f>IF($P$63=0,1,IF(AC242&lt;=$P$63,1,-20))</f>
        <v>1</v>
      </c>
      <c r="AV242">
        <f t="shared" si="47"/>
        <v>1</v>
      </c>
      <c r="AW242" s="57">
        <f t="shared" si="50"/>
        <v>241</v>
      </c>
      <c r="AX242" s="57" t="str">
        <f t="shared" si="51"/>
        <v>Little Sister Fighting Gig (JTAS Vol. 16)</v>
      </c>
    </row>
    <row r="243" spans="24:50">
      <c r="X243">
        <f t="shared" si="48"/>
        <v>4</v>
      </c>
      <c r="Y243">
        <f t="shared" si="49"/>
        <v>242</v>
      </c>
      <c r="Z243">
        <v>12</v>
      </c>
      <c r="AA243" t="s">
        <v>1843</v>
      </c>
      <c r="AB243" s="4">
        <v>28330000</v>
      </c>
      <c r="AC243">
        <v>90</v>
      </c>
      <c r="AD243">
        <f>IF($N$63="No",-20,1)</f>
        <v>1</v>
      </c>
      <c r="AG243">
        <f>IF($N$68="No",-20,1)</f>
        <v>1</v>
      </c>
      <c r="AT243">
        <f>IF($P$63=0,1,IF(AC243&lt;=$P$63,1,-20))</f>
        <v>1</v>
      </c>
      <c r="AV243">
        <f t="shared" si="47"/>
        <v>1</v>
      </c>
      <c r="AW243" s="57">
        <f t="shared" si="50"/>
        <v>242</v>
      </c>
      <c r="AX243" s="57" t="str">
        <f t="shared" si="51"/>
        <v>Luxury Shuttle</v>
      </c>
    </row>
    <row r="244" spans="24:50" ht="16">
      <c r="X244">
        <f t="shared" si="48"/>
        <v>3</v>
      </c>
      <c r="Y244">
        <f t="shared" si="49"/>
        <v>243</v>
      </c>
      <c r="Z244" s="459">
        <v>15</v>
      </c>
      <c r="AA244" s="459" t="s">
        <v>2117</v>
      </c>
      <c r="AB244" s="460">
        <v>908650000</v>
      </c>
      <c r="AC244" s="461">
        <v>2600</v>
      </c>
      <c r="AD244">
        <f>IF($N$65="No",-20,1)</f>
        <v>1</v>
      </c>
      <c r="AU244">
        <f>IF($P$65=0,1,IF(AC244&lt;=$P$65,1,-20))</f>
        <v>1</v>
      </c>
      <c r="AV244">
        <f t="shared" si="47"/>
        <v>1</v>
      </c>
      <c r="AW244" s="57">
        <f t="shared" si="50"/>
        <v>243</v>
      </c>
      <c r="AX244" s="57" t="str">
        <f t="shared" si="51"/>
        <v>Marine Operations Pod (ECC)</v>
      </c>
    </row>
    <row r="245" spans="24:50">
      <c r="X245">
        <f t="shared" si="48"/>
        <v>3</v>
      </c>
      <c r="Y245">
        <f t="shared" si="49"/>
        <v>244</v>
      </c>
      <c r="Z245">
        <v>9</v>
      </c>
      <c r="AA245" t="s">
        <v>2169</v>
      </c>
      <c r="AB245" s="4">
        <v>334500</v>
      </c>
      <c r="AC245" s="493">
        <v>60</v>
      </c>
      <c r="AD245">
        <f>IF($N$62="No",-20,1)</f>
        <v>1</v>
      </c>
      <c r="AS245">
        <f>IF($P$62=0,1,IF(AC245&lt;=$P$62,1,-20))</f>
        <v>1</v>
      </c>
      <c r="AV245">
        <f t="shared" si="47"/>
        <v>1</v>
      </c>
      <c r="AW245" s="57">
        <f t="shared" si="50"/>
        <v>244</v>
      </c>
      <c r="AX245" s="57" t="str">
        <f t="shared" si="51"/>
        <v>Marrix Light Armoured Combat Vehicle (Field Catalogue)</v>
      </c>
    </row>
    <row r="246" spans="24:50">
      <c r="X246">
        <f t="shared" si="48"/>
        <v>4</v>
      </c>
      <c r="Y246">
        <f t="shared" si="49"/>
        <v>245</v>
      </c>
      <c r="Z246">
        <v>12</v>
      </c>
      <c r="AA246" t="s">
        <v>1810</v>
      </c>
      <c r="AB246" s="4">
        <v>9330000</v>
      </c>
      <c r="AC246">
        <v>20</v>
      </c>
      <c r="AD246">
        <f>IF($N$63="No",-20,1)</f>
        <v>1</v>
      </c>
      <c r="AG246">
        <f>IF($N$68="No",-20,1)</f>
        <v>1</v>
      </c>
      <c r="AT246">
        <f>IF($P$63=0,1,IF(AC246&lt;=$P$63,1,-20))</f>
        <v>1</v>
      </c>
      <c r="AV246">
        <f t="shared" si="47"/>
        <v>1</v>
      </c>
      <c r="AW246" s="57">
        <f t="shared" si="50"/>
        <v>245</v>
      </c>
      <c r="AX246" s="57" t="str">
        <f t="shared" si="51"/>
        <v>Medical Launch</v>
      </c>
    </row>
    <row r="247" spans="24:50">
      <c r="X247">
        <f t="shared" si="48"/>
        <v>4</v>
      </c>
      <c r="Y247">
        <f t="shared" si="49"/>
        <v>246</v>
      </c>
      <c r="Z247">
        <v>12</v>
      </c>
      <c r="AA247" t="s">
        <v>2271</v>
      </c>
      <c r="AB247" s="4">
        <v>345000</v>
      </c>
      <c r="AC247" s="493">
        <v>5</v>
      </c>
      <c r="AD247">
        <f>IF($N$62="No",-20,1)</f>
        <v>1</v>
      </c>
      <c r="AR247">
        <f>IF($N$79="No",-20,1)</f>
        <v>1</v>
      </c>
      <c r="AS247">
        <f>IF($P$62=0,1,IF(AC247&lt;=$P$62,1,-20))</f>
        <v>1</v>
      </c>
      <c r="AV247">
        <f t="shared" si="47"/>
        <v>1</v>
      </c>
      <c r="AW247" s="57">
        <f t="shared" si="50"/>
        <v>246</v>
      </c>
      <c r="AX247" s="57" t="str">
        <f t="shared" si="51"/>
        <v>Merla Light Grav Vehicle (JTAS Vol. 9)</v>
      </c>
    </row>
    <row r="248" spans="24:50">
      <c r="X248">
        <f t="shared" si="48"/>
        <v>4</v>
      </c>
      <c r="Y248">
        <f t="shared" si="49"/>
        <v>247</v>
      </c>
      <c r="Z248">
        <v>8</v>
      </c>
      <c r="AA248" t="s">
        <v>2276</v>
      </c>
      <c r="AB248" s="4">
        <v>648000</v>
      </c>
      <c r="AC248" s="493">
        <v>15</v>
      </c>
      <c r="AD248">
        <f>IF($N$62="No",-20,1)</f>
        <v>1</v>
      </c>
      <c r="AR248">
        <f>IF($N$79="No",-20,1)</f>
        <v>1</v>
      </c>
      <c r="AS248">
        <f>IF($P$62=0,1,IF(AC248&lt;=$P$62,1,-20))</f>
        <v>1</v>
      </c>
      <c r="AV248">
        <f t="shared" si="47"/>
        <v>1</v>
      </c>
      <c r="AW248" s="57">
        <f t="shared" si="50"/>
        <v>247</v>
      </c>
      <c r="AX248" s="57" t="str">
        <f t="shared" si="51"/>
        <v>Mighty Maus Mobile Crane (JTAS Vol. 11)</v>
      </c>
    </row>
    <row r="249" spans="24:50">
      <c r="X249">
        <f t="shared" si="48"/>
        <v>4</v>
      </c>
      <c r="Y249">
        <f t="shared" si="49"/>
        <v>248</v>
      </c>
      <c r="Z249">
        <v>14</v>
      </c>
      <c r="AA249" t="s">
        <v>1786</v>
      </c>
      <c r="AB249" s="4">
        <v>15187000</v>
      </c>
      <c r="AC249">
        <v>20</v>
      </c>
      <c r="AD249">
        <f>IF($N$63="No",-20,1)</f>
        <v>1</v>
      </c>
      <c r="AF249">
        <f>IF($N$67="No",-20,1)</f>
        <v>1</v>
      </c>
      <c r="AT249">
        <f>IF($P$63=0,1,IF(AC249&lt;=$P$63,1,-20))</f>
        <v>1</v>
      </c>
      <c r="AV249">
        <f t="shared" si="47"/>
        <v>1</v>
      </c>
      <c r="AW249" s="57">
        <f t="shared" si="50"/>
        <v>248</v>
      </c>
      <c r="AX249" s="57" t="str">
        <f t="shared" si="51"/>
        <v xml:space="preserve">Military Gig </v>
      </c>
    </row>
    <row r="250" spans="24:50">
      <c r="X250">
        <f t="shared" si="48"/>
        <v>4</v>
      </c>
      <c r="Y250">
        <f t="shared" si="49"/>
        <v>249</v>
      </c>
      <c r="Z250">
        <v>12</v>
      </c>
      <c r="AA250" t="s">
        <v>2260</v>
      </c>
      <c r="AB250" s="4">
        <v>15240000</v>
      </c>
      <c r="AC250" s="493">
        <v>40</v>
      </c>
      <c r="AD250">
        <f>IF($N$63="No",-20,1)</f>
        <v>1</v>
      </c>
      <c r="AR250">
        <f>IF($N$79="No",-20,1)</f>
        <v>1</v>
      </c>
      <c r="AT250">
        <f>IF($P$63=0,1,IF(AC250&lt;=$P$63,1,-20))</f>
        <v>1</v>
      </c>
      <c r="AV250">
        <f t="shared" si="47"/>
        <v>1</v>
      </c>
      <c r="AW250" s="57">
        <f t="shared" si="50"/>
        <v>249</v>
      </c>
      <c r="AX250" s="57" t="str">
        <f t="shared" si="51"/>
        <v>Minnow Slow Pinnace (JTAS Vol. 7)</v>
      </c>
    </row>
    <row r="251" spans="24:50" ht="16">
      <c r="X251">
        <f t="shared" si="48"/>
        <v>3</v>
      </c>
      <c r="Y251">
        <f t="shared" si="49"/>
        <v>250</v>
      </c>
      <c r="Z251" s="459">
        <v>15</v>
      </c>
      <c r="AA251" s="459" t="s">
        <v>2114</v>
      </c>
      <c r="AB251" s="460">
        <v>985900000</v>
      </c>
      <c r="AC251" s="461">
        <v>2600</v>
      </c>
      <c r="AD251">
        <f>IF($N$65="No",-20,1)</f>
        <v>1</v>
      </c>
      <c r="AU251">
        <f>IF($P$65=0,1,IF(AC251&lt;=$P$65,1,-20))</f>
        <v>1</v>
      </c>
      <c r="AV251">
        <f t="shared" si="47"/>
        <v>1</v>
      </c>
      <c r="AW251" s="57">
        <f t="shared" si="50"/>
        <v>250</v>
      </c>
      <c r="AX251" s="57" t="str">
        <f t="shared" si="51"/>
        <v>Missile Pod (ECC)</v>
      </c>
    </row>
    <row r="252" spans="24:50" ht="16">
      <c r="X252">
        <f t="shared" si="48"/>
        <v>3</v>
      </c>
      <c r="Y252">
        <f t="shared" si="49"/>
        <v>251</v>
      </c>
      <c r="Z252" s="459">
        <v>15</v>
      </c>
      <c r="AA252" s="459" t="s">
        <v>2364</v>
      </c>
      <c r="AB252" s="460">
        <v>40340000000</v>
      </c>
      <c r="AC252" s="461">
        <v>2600</v>
      </c>
      <c r="AD252">
        <f>IF($N$65="No",-20,1)</f>
        <v>1</v>
      </c>
      <c r="AU252">
        <f>IF($P$65=0,1,IF(AC252&lt;=$P$65,1,-20))</f>
        <v>1</v>
      </c>
      <c r="AV252">
        <f t="shared" si="47"/>
        <v>1</v>
      </c>
      <c r="AW252" s="57">
        <f t="shared" si="50"/>
        <v>251</v>
      </c>
      <c r="AX252" s="57" t="str">
        <f t="shared" si="51"/>
        <v>Missile Pod (Opening Moves)</v>
      </c>
    </row>
    <row r="253" spans="24:50" ht="16">
      <c r="X253">
        <f t="shared" si="48"/>
        <v>3</v>
      </c>
      <c r="Y253">
        <f t="shared" si="49"/>
        <v>252</v>
      </c>
      <c r="Z253" s="459">
        <v>15</v>
      </c>
      <c r="AA253" s="459" t="s">
        <v>2113</v>
      </c>
      <c r="AB253" s="460">
        <v>2874360000</v>
      </c>
      <c r="AC253" s="461">
        <v>2600</v>
      </c>
      <c r="AD253">
        <f>IF($N$65="No",-20,1)</f>
        <v>1</v>
      </c>
      <c r="AU253">
        <f>IF($P$65=0,1,IF(AC253&lt;=$P$65,1,-20))</f>
        <v>1</v>
      </c>
      <c r="AV253">
        <f t="shared" si="47"/>
        <v>1</v>
      </c>
      <c r="AW253" s="57">
        <f t="shared" si="50"/>
        <v>252</v>
      </c>
      <c r="AX253" s="57" t="str">
        <f t="shared" si="51"/>
        <v>Mission Pod (DRCG)</v>
      </c>
    </row>
    <row r="254" spans="24:50" ht="16">
      <c r="X254">
        <f t="shared" si="48"/>
        <v>3</v>
      </c>
      <c r="Y254">
        <f t="shared" si="49"/>
        <v>253</v>
      </c>
      <c r="Z254" s="459">
        <v>13</v>
      </c>
      <c r="AA254" s="459" t="s">
        <v>2393</v>
      </c>
      <c r="AB254" s="460">
        <v>175200000</v>
      </c>
      <c r="AC254" s="461">
        <v>300</v>
      </c>
      <c r="AD254">
        <f>IF($N$65="No",-20,1)</f>
        <v>1</v>
      </c>
      <c r="AU254">
        <f>IF($P$65=0,1,IF(AC254&lt;=$P$65,1,-20))</f>
        <v>1</v>
      </c>
      <c r="AV254">
        <f t="shared" si="47"/>
        <v>1</v>
      </c>
      <c r="AW254" s="57">
        <f t="shared" si="50"/>
        <v>253</v>
      </c>
      <c r="AX254" s="57" t="str">
        <f t="shared" si="51"/>
        <v>Modified Addumsa-Class System Defense Boat (Solomani Front)</v>
      </c>
    </row>
    <row r="255" spans="24:50">
      <c r="X255">
        <f t="shared" si="48"/>
        <v>4</v>
      </c>
      <c r="Y255">
        <f t="shared" si="49"/>
        <v>254</v>
      </c>
      <c r="Z255">
        <v>12</v>
      </c>
      <c r="AA255" t="s">
        <v>2264</v>
      </c>
      <c r="AB255" s="4">
        <v>122010000</v>
      </c>
      <c r="AC255" s="493">
        <v>400</v>
      </c>
      <c r="AD255">
        <f>IF($N$65="No",-20,1)</f>
        <v>1</v>
      </c>
      <c r="AR255">
        <f>IF($N$79="No",-20,1)</f>
        <v>1</v>
      </c>
      <c r="AU255">
        <f>IF($P$65=0,1,IF(AC255&lt;=$P$65,1,-20))</f>
        <v>1</v>
      </c>
      <c r="AV255">
        <f t="shared" si="47"/>
        <v>1</v>
      </c>
      <c r="AW255" s="57">
        <f t="shared" si="50"/>
        <v>254</v>
      </c>
      <c r="AX255" s="57" t="str">
        <f t="shared" si="51"/>
        <v>Modified System Defense Boat (JTAS Vol. 8)</v>
      </c>
    </row>
    <row r="256" spans="24:50">
      <c r="X256">
        <f t="shared" si="48"/>
        <v>4</v>
      </c>
      <c r="Y256">
        <f t="shared" si="49"/>
        <v>255</v>
      </c>
      <c r="Z256">
        <v>12</v>
      </c>
      <c r="AA256" t="s">
        <v>1751</v>
      </c>
      <c r="AB256" s="4">
        <v>11930000</v>
      </c>
      <c r="AC256">
        <v>50</v>
      </c>
      <c r="AD256">
        <f t="shared" ref="AD256:AD290" si="55">IF($N$63="No",-20,1)</f>
        <v>1</v>
      </c>
      <c r="AI256">
        <f>IF($N$70="No",-20,1)</f>
        <v>1</v>
      </c>
      <c r="AT256">
        <f t="shared" ref="AT256:AT290" si="56">IF($P$63=0,1,IF(AC256&lt;=$P$63,1,-20))</f>
        <v>1</v>
      </c>
      <c r="AV256">
        <f t="shared" si="47"/>
        <v>1</v>
      </c>
      <c r="AW256" s="57">
        <f t="shared" si="50"/>
        <v>255</v>
      </c>
      <c r="AX256" s="57" t="str">
        <f t="shared" si="51"/>
        <v>Modular Cutter (Core'22)</v>
      </c>
    </row>
    <row r="257" spans="24:50">
      <c r="X257">
        <f t="shared" si="48"/>
        <v>4</v>
      </c>
      <c r="Y257">
        <f t="shared" si="49"/>
        <v>256</v>
      </c>
      <c r="Z257">
        <v>8</v>
      </c>
      <c r="AA257" t="s">
        <v>2196</v>
      </c>
      <c r="AB257" s="4">
        <v>7400000</v>
      </c>
      <c r="AC257">
        <v>30</v>
      </c>
      <c r="AD257">
        <f t="shared" si="55"/>
        <v>1</v>
      </c>
      <c r="AG257">
        <f>IF($N$68="No",-20,1)</f>
        <v>1</v>
      </c>
      <c r="AT257">
        <f t="shared" si="56"/>
        <v>1</v>
      </c>
      <c r="AV257">
        <f t="shared" si="47"/>
        <v>1</v>
      </c>
      <c r="AW257" s="57">
        <f t="shared" si="50"/>
        <v>256</v>
      </c>
      <c r="AX257" s="57" t="str">
        <f t="shared" si="51"/>
        <v>Modular Cutter Armory Module</v>
      </c>
    </row>
    <row r="258" spans="24:50">
      <c r="X258">
        <f t="shared" si="48"/>
        <v>4</v>
      </c>
      <c r="Y258">
        <f t="shared" si="49"/>
        <v>257</v>
      </c>
      <c r="Z258">
        <v>12</v>
      </c>
      <c r="AA258" t="s">
        <v>2197</v>
      </c>
      <c r="AB258" s="4">
        <v>1580000</v>
      </c>
      <c r="AC258">
        <v>30</v>
      </c>
      <c r="AD258">
        <f t="shared" si="55"/>
        <v>1</v>
      </c>
      <c r="AF258">
        <f>IF($N$67="No",-20,1)</f>
        <v>1</v>
      </c>
      <c r="AT258">
        <f t="shared" si="56"/>
        <v>1</v>
      </c>
      <c r="AV258">
        <f t="shared" si="47"/>
        <v>1</v>
      </c>
      <c r="AW258" s="57">
        <f t="shared" si="50"/>
        <v>257</v>
      </c>
      <c r="AX258" s="57" t="str">
        <f t="shared" si="51"/>
        <v>Modular Cutter Assault Boat Module</v>
      </c>
    </row>
    <row r="259" spans="24:50">
      <c r="X259">
        <f t="shared" si="48"/>
        <v>4</v>
      </c>
      <c r="Y259">
        <f t="shared" si="49"/>
        <v>258</v>
      </c>
      <c r="Z259">
        <v>12</v>
      </c>
      <c r="AA259" t="s">
        <v>2195</v>
      </c>
      <c r="AB259" s="4">
        <v>1800000</v>
      </c>
      <c r="AC259" s="453">
        <v>30</v>
      </c>
      <c r="AD259">
        <f t="shared" si="55"/>
        <v>1</v>
      </c>
      <c r="AI259">
        <f>IF($N$70="No",-20,1)</f>
        <v>1</v>
      </c>
      <c r="AT259">
        <f t="shared" si="56"/>
        <v>1</v>
      </c>
      <c r="AV259">
        <f t="shared" ref="AV259:AV322" si="57">IF($N$61="Yes",1,IF(Z259&gt;TL,-20,1))</f>
        <v>1</v>
      </c>
      <c r="AW259" s="57">
        <f t="shared" si="50"/>
        <v>258</v>
      </c>
      <c r="AX259" s="57" t="str">
        <f t="shared" si="51"/>
        <v>Modular Cutter ATV Module (Core'22)</v>
      </c>
    </row>
    <row r="260" spans="24:50">
      <c r="X260">
        <f t="shared" ref="X260:X323" si="58">SUM(AD260:AV260)</f>
        <v>4</v>
      </c>
      <c r="Y260">
        <f t="shared" ref="Y260:Y323" si="59">IF(X260&gt;0,Y259+1,Y259)</f>
        <v>259</v>
      </c>
      <c r="Z260">
        <v>7</v>
      </c>
      <c r="AA260" t="s">
        <v>2194</v>
      </c>
      <c r="AB260" s="4">
        <v>1200000</v>
      </c>
      <c r="AC260">
        <v>30</v>
      </c>
      <c r="AD260">
        <f t="shared" si="55"/>
        <v>1</v>
      </c>
      <c r="AF260">
        <f>IF($N$67="No",-20,1)</f>
        <v>1</v>
      </c>
      <c r="AT260">
        <f t="shared" si="56"/>
        <v>1</v>
      </c>
      <c r="AV260">
        <f t="shared" si="57"/>
        <v>1</v>
      </c>
      <c r="AW260" s="57">
        <f t="shared" ref="AW260:AW323" si="60">AW259+1</f>
        <v>259</v>
      </c>
      <c r="AX260" s="57" t="str">
        <f t="shared" ref="AX260:AX323" si="61">IF(AW260&gt;$AW$1,"",INDEX($Y$2:$AA$482,MATCH(AW260,$Y$2:$Y$482,0),3))</f>
        <v>Modular Cutter Cargo Transport Module</v>
      </c>
    </row>
    <row r="261" spans="24:50">
      <c r="X261">
        <f t="shared" si="58"/>
        <v>4</v>
      </c>
      <c r="Y261">
        <f t="shared" si="59"/>
        <v>260</v>
      </c>
      <c r="Z261">
        <v>8</v>
      </c>
      <c r="AA261" t="s">
        <v>2198</v>
      </c>
      <c r="AB261" s="4">
        <v>1450000</v>
      </c>
      <c r="AC261">
        <v>30</v>
      </c>
      <c r="AD261">
        <f t="shared" si="55"/>
        <v>1</v>
      </c>
      <c r="AG261">
        <f>IF($N$68="No",-20,1)</f>
        <v>1</v>
      </c>
      <c r="AT261">
        <f t="shared" si="56"/>
        <v>1</v>
      </c>
      <c r="AV261">
        <f t="shared" si="57"/>
        <v>1</v>
      </c>
      <c r="AW261" s="57">
        <f t="shared" si="60"/>
        <v>260</v>
      </c>
      <c r="AX261" s="57" t="str">
        <f t="shared" si="61"/>
        <v>Modular Cutter Cattle Transport Module</v>
      </c>
    </row>
    <row r="262" spans="24:50">
      <c r="X262">
        <f t="shared" si="58"/>
        <v>4</v>
      </c>
      <c r="Y262">
        <f t="shared" si="59"/>
        <v>261</v>
      </c>
      <c r="Z262">
        <v>8</v>
      </c>
      <c r="AA262" t="s">
        <v>2193</v>
      </c>
      <c r="AB262" s="4">
        <v>4050000</v>
      </c>
      <c r="AC262">
        <v>30</v>
      </c>
      <c r="AD262">
        <f t="shared" si="55"/>
        <v>1</v>
      </c>
      <c r="AG262">
        <f>IF($N$68="No",-20,1)</f>
        <v>1</v>
      </c>
      <c r="AT262">
        <f t="shared" si="56"/>
        <v>1</v>
      </c>
      <c r="AV262">
        <f t="shared" si="57"/>
        <v>1</v>
      </c>
      <c r="AW262" s="57">
        <f t="shared" si="60"/>
        <v>261</v>
      </c>
      <c r="AX262" s="57" t="str">
        <f t="shared" si="61"/>
        <v>Modular Cutter Cold Passage Module</v>
      </c>
    </row>
    <row r="263" spans="24:50" ht="16">
      <c r="X263">
        <f t="shared" si="58"/>
        <v>4</v>
      </c>
      <c r="Y263">
        <f t="shared" si="59"/>
        <v>262</v>
      </c>
      <c r="Z263" s="459">
        <v>12</v>
      </c>
      <c r="AA263" s="459" t="s">
        <v>2234</v>
      </c>
      <c r="AB263" s="460">
        <v>4620000</v>
      </c>
      <c r="AC263" s="461">
        <v>30</v>
      </c>
      <c r="AD263">
        <f t="shared" si="55"/>
        <v>1</v>
      </c>
      <c r="AR263">
        <f>IF($N$79="No",-20,1)</f>
        <v>1</v>
      </c>
      <c r="AT263">
        <f t="shared" si="56"/>
        <v>1</v>
      </c>
      <c r="AV263">
        <f t="shared" si="57"/>
        <v>1</v>
      </c>
      <c r="AW263" s="57">
        <f t="shared" si="60"/>
        <v>262</v>
      </c>
      <c r="AX263" s="57" t="str">
        <f t="shared" si="61"/>
        <v>Modular Cutter Field Workshop Module (JTAS V3)</v>
      </c>
    </row>
    <row r="264" spans="24:50">
      <c r="X264">
        <f t="shared" si="58"/>
        <v>4</v>
      </c>
      <c r="Y264">
        <f t="shared" si="59"/>
        <v>263</v>
      </c>
      <c r="Z264">
        <v>7</v>
      </c>
      <c r="AA264" t="s">
        <v>2192</v>
      </c>
      <c r="AB264" s="4">
        <v>30119000</v>
      </c>
      <c r="AC264">
        <v>30</v>
      </c>
      <c r="AD264">
        <f t="shared" si="55"/>
        <v>1</v>
      </c>
      <c r="AF264">
        <f>IF($N$67="No",-20,1)</f>
        <v>1</v>
      </c>
      <c r="AT264">
        <f t="shared" si="56"/>
        <v>1</v>
      </c>
      <c r="AV264">
        <f t="shared" si="57"/>
        <v>1</v>
      </c>
      <c r="AW264" s="57">
        <f t="shared" si="60"/>
        <v>263</v>
      </c>
      <c r="AX264" s="57" t="str">
        <f t="shared" si="61"/>
        <v>Modular Cutter Fighter Frame Module</v>
      </c>
    </row>
    <row r="265" spans="24:50">
      <c r="X265">
        <f t="shared" si="58"/>
        <v>4</v>
      </c>
      <c r="Y265">
        <f t="shared" si="59"/>
        <v>264</v>
      </c>
      <c r="Z265">
        <v>12</v>
      </c>
      <c r="AA265" t="s">
        <v>2191</v>
      </c>
      <c r="AB265" s="4">
        <v>26760000</v>
      </c>
      <c r="AC265">
        <v>30</v>
      </c>
      <c r="AD265">
        <f t="shared" si="55"/>
        <v>1</v>
      </c>
      <c r="AG265">
        <f>IF($N$68="No",-20,1)</f>
        <v>1</v>
      </c>
      <c r="AT265">
        <f t="shared" si="56"/>
        <v>1</v>
      </c>
      <c r="AV265">
        <f t="shared" si="57"/>
        <v>1</v>
      </c>
      <c r="AW265" s="57">
        <f t="shared" si="60"/>
        <v>264</v>
      </c>
      <c r="AX265" s="57" t="str">
        <f t="shared" si="61"/>
        <v>Modular Cutter Fighter hangar Module</v>
      </c>
    </row>
    <row r="266" spans="24:50">
      <c r="X266">
        <f t="shared" si="58"/>
        <v>4</v>
      </c>
      <c r="Y266">
        <f t="shared" si="59"/>
        <v>265</v>
      </c>
      <c r="Z266">
        <v>8</v>
      </c>
      <c r="AA266" t="s">
        <v>2190</v>
      </c>
      <c r="AB266" s="4">
        <v>13900000</v>
      </c>
      <c r="AC266">
        <v>30</v>
      </c>
      <c r="AD266">
        <f t="shared" si="55"/>
        <v>1</v>
      </c>
      <c r="AG266">
        <f>IF($N$68="No",-20,1)</f>
        <v>1</v>
      </c>
      <c r="AT266">
        <f t="shared" si="56"/>
        <v>1</v>
      </c>
      <c r="AV266">
        <f t="shared" si="57"/>
        <v>1</v>
      </c>
      <c r="AW266" s="57">
        <f t="shared" si="60"/>
        <v>265</v>
      </c>
      <c r="AX266" s="57" t="str">
        <f t="shared" si="61"/>
        <v>Modular Cutter Frontier Medical Module</v>
      </c>
    </row>
    <row r="267" spans="24:50">
      <c r="X267">
        <f t="shared" si="58"/>
        <v>4</v>
      </c>
      <c r="Y267">
        <f t="shared" si="59"/>
        <v>266</v>
      </c>
      <c r="Z267">
        <v>7</v>
      </c>
      <c r="AA267" t="s">
        <v>2189</v>
      </c>
      <c r="AB267" s="4">
        <v>1900000</v>
      </c>
      <c r="AC267">
        <v>30</v>
      </c>
      <c r="AD267">
        <f t="shared" si="55"/>
        <v>1</v>
      </c>
      <c r="AF267">
        <f>IF($N$67="No",-20,1)</f>
        <v>1</v>
      </c>
      <c r="AT267">
        <f t="shared" si="56"/>
        <v>1</v>
      </c>
      <c r="AV267">
        <f t="shared" si="57"/>
        <v>1</v>
      </c>
      <c r="AW267" s="57">
        <f t="shared" si="60"/>
        <v>266</v>
      </c>
      <c r="AX267" s="57" t="str">
        <f t="shared" si="61"/>
        <v>Modular Cutter Fuel Skimmer Module</v>
      </c>
    </row>
    <row r="268" spans="24:50">
      <c r="X268">
        <f t="shared" si="58"/>
        <v>4</v>
      </c>
      <c r="Y268">
        <f t="shared" si="59"/>
        <v>267</v>
      </c>
      <c r="Z268">
        <v>12</v>
      </c>
      <c r="AA268" t="s">
        <v>2188</v>
      </c>
      <c r="AB268" s="4">
        <v>10009000</v>
      </c>
      <c r="AC268">
        <v>30</v>
      </c>
      <c r="AD268">
        <f t="shared" si="55"/>
        <v>1</v>
      </c>
      <c r="AF268">
        <f>IF($N$67="No",-20,1)</f>
        <v>1</v>
      </c>
      <c r="AT268">
        <f t="shared" si="56"/>
        <v>1</v>
      </c>
      <c r="AV268">
        <f t="shared" si="57"/>
        <v>1</v>
      </c>
      <c r="AW268" s="57">
        <f t="shared" si="60"/>
        <v>267</v>
      </c>
      <c r="AX268" s="57" t="str">
        <f t="shared" si="61"/>
        <v>Modular Cutter Gunship Module</v>
      </c>
    </row>
    <row r="269" spans="24:50">
      <c r="X269">
        <f t="shared" si="58"/>
        <v>4</v>
      </c>
      <c r="Y269">
        <f t="shared" si="59"/>
        <v>268</v>
      </c>
      <c r="Z269">
        <v>15</v>
      </c>
      <c r="AA269" t="s">
        <v>2187</v>
      </c>
      <c r="AB269" s="4">
        <v>9900000</v>
      </c>
      <c r="AC269">
        <v>30</v>
      </c>
      <c r="AD269">
        <f t="shared" si="55"/>
        <v>1</v>
      </c>
      <c r="AG269">
        <f>IF($N$68="No",-20,1)</f>
        <v>1</v>
      </c>
      <c r="AT269">
        <f t="shared" si="56"/>
        <v>1</v>
      </c>
      <c r="AV269">
        <f t="shared" si="57"/>
        <v>1</v>
      </c>
      <c r="AW269" s="57">
        <f t="shared" si="60"/>
        <v>268</v>
      </c>
      <c r="AX269" s="57" t="str">
        <f t="shared" si="61"/>
        <v>Modular Cutter Life Support module</v>
      </c>
    </row>
    <row r="270" spans="24:50" ht="16">
      <c r="X270">
        <f t="shared" si="58"/>
        <v>4</v>
      </c>
      <c r="Y270">
        <f t="shared" si="59"/>
        <v>269</v>
      </c>
      <c r="Z270" s="459">
        <v>12</v>
      </c>
      <c r="AA270" s="459" t="s">
        <v>2232</v>
      </c>
      <c r="AB270" s="460">
        <v>11800000</v>
      </c>
      <c r="AC270" s="461">
        <v>30</v>
      </c>
      <c r="AD270">
        <f t="shared" si="55"/>
        <v>1</v>
      </c>
      <c r="AR270">
        <f>IF($N$79="No",-20,1)</f>
        <v>1</v>
      </c>
      <c r="AT270">
        <f t="shared" si="56"/>
        <v>1</v>
      </c>
      <c r="AV270">
        <f t="shared" si="57"/>
        <v>1</v>
      </c>
      <c r="AW270" s="57">
        <f t="shared" si="60"/>
        <v>269</v>
      </c>
      <c r="AX270" s="57" t="str">
        <f t="shared" si="61"/>
        <v>Modular Cutter Mining Module (JTAS Vol. 3)</v>
      </c>
    </row>
    <row r="271" spans="24:50">
      <c r="X271">
        <f t="shared" si="58"/>
        <v>4</v>
      </c>
      <c r="Y271">
        <f t="shared" si="59"/>
        <v>270</v>
      </c>
      <c r="Z271">
        <v>8</v>
      </c>
      <c r="AA271" t="s">
        <v>2186</v>
      </c>
      <c r="AB271" s="4">
        <v>6530000</v>
      </c>
      <c r="AC271">
        <v>30</v>
      </c>
      <c r="AD271">
        <f t="shared" si="55"/>
        <v>1</v>
      </c>
      <c r="AG271">
        <f>IF($N$68="No",-20,1)</f>
        <v>1</v>
      </c>
      <c r="AT271">
        <f t="shared" si="56"/>
        <v>1</v>
      </c>
      <c r="AV271">
        <f t="shared" si="57"/>
        <v>1</v>
      </c>
      <c r="AW271" s="57">
        <f t="shared" si="60"/>
        <v>270</v>
      </c>
      <c r="AX271" s="57" t="str">
        <f t="shared" si="61"/>
        <v>Modular Cutter Missile Support Module</v>
      </c>
    </row>
    <row r="272" spans="24:50">
      <c r="X272">
        <f t="shared" si="58"/>
        <v>4</v>
      </c>
      <c r="Y272">
        <f t="shared" si="59"/>
        <v>271</v>
      </c>
      <c r="Z272">
        <v>12</v>
      </c>
      <c r="AA272" t="s">
        <v>2199</v>
      </c>
      <c r="AB272" s="4">
        <v>2000000</v>
      </c>
      <c r="AC272" s="453">
        <v>30</v>
      </c>
      <c r="AD272">
        <f t="shared" si="55"/>
        <v>1</v>
      </c>
      <c r="AI272">
        <f>IF($N$70="No",-20,1)</f>
        <v>1</v>
      </c>
      <c r="AT272">
        <f t="shared" si="56"/>
        <v>1</v>
      </c>
      <c r="AV272">
        <f t="shared" si="57"/>
        <v>1</v>
      </c>
      <c r="AW272" s="57">
        <f t="shared" si="60"/>
        <v>271</v>
      </c>
      <c r="AX272" s="57" t="str">
        <f t="shared" si="61"/>
        <v>Modular Cutter Open Module (Core'22)</v>
      </c>
    </row>
    <row r="273" spans="24:50">
      <c r="X273">
        <f t="shared" si="58"/>
        <v>4</v>
      </c>
      <c r="Y273">
        <f t="shared" si="59"/>
        <v>272</v>
      </c>
      <c r="Z273">
        <v>9</v>
      </c>
      <c r="AA273" t="s">
        <v>2200</v>
      </c>
      <c r="AB273" s="4">
        <v>6580000</v>
      </c>
      <c r="AC273">
        <v>30</v>
      </c>
      <c r="AD273">
        <f t="shared" si="55"/>
        <v>1</v>
      </c>
      <c r="AG273">
        <f>IF($N$68="No",-20,1)</f>
        <v>1</v>
      </c>
      <c r="AT273">
        <f t="shared" si="56"/>
        <v>1</v>
      </c>
      <c r="AV273">
        <f t="shared" si="57"/>
        <v>1</v>
      </c>
      <c r="AW273" s="57">
        <f t="shared" si="60"/>
        <v>272</v>
      </c>
      <c r="AX273" s="57" t="str">
        <f t="shared" si="61"/>
        <v>Modular Cutter Orbital Outpost Module</v>
      </c>
    </row>
    <row r="274" spans="24:50">
      <c r="X274">
        <f t="shared" si="58"/>
        <v>4</v>
      </c>
      <c r="Y274">
        <f t="shared" si="59"/>
        <v>273</v>
      </c>
      <c r="Z274">
        <v>7</v>
      </c>
      <c r="AA274" t="s">
        <v>2201</v>
      </c>
      <c r="AB274" s="4">
        <v>4300000</v>
      </c>
      <c r="AC274">
        <v>30</v>
      </c>
      <c r="AD274">
        <f t="shared" si="55"/>
        <v>1</v>
      </c>
      <c r="AG274">
        <f>IF($N$68="No",-20,1)</f>
        <v>1</v>
      </c>
      <c r="AT274">
        <f t="shared" si="56"/>
        <v>1</v>
      </c>
      <c r="AV274">
        <f t="shared" si="57"/>
        <v>1</v>
      </c>
      <c r="AW274" s="57">
        <f t="shared" si="60"/>
        <v>273</v>
      </c>
      <c r="AX274" s="57" t="str">
        <f t="shared" si="61"/>
        <v>Modular Cutter Passenger Transport Module</v>
      </c>
    </row>
    <row r="275" spans="24:50">
      <c r="X275">
        <f t="shared" si="58"/>
        <v>4</v>
      </c>
      <c r="Y275">
        <f t="shared" si="59"/>
        <v>274</v>
      </c>
      <c r="Z275">
        <v>7</v>
      </c>
      <c r="AA275" t="s">
        <v>2202</v>
      </c>
      <c r="AB275" s="4">
        <v>2700000</v>
      </c>
      <c r="AC275">
        <v>30</v>
      </c>
      <c r="AD275">
        <f t="shared" si="55"/>
        <v>1</v>
      </c>
      <c r="AF275">
        <f>IF($N$67="No",-20,1)</f>
        <v>1</v>
      </c>
      <c r="AT275">
        <f t="shared" si="56"/>
        <v>1</v>
      </c>
      <c r="AV275">
        <f t="shared" si="57"/>
        <v>1</v>
      </c>
      <c r="AW275" s="57">
        <f t="shared" si="60"/>
        <v>274</v>
      </c>
      <c r="AX275" s="57" t="str">
        <f t="shared" si="61"/>
        <v>Modular Cutter Personnel Transport Module</v>
      </c>
    </row>
    <row r="276" spans="24:50">
      <c r="X276">
        <f t="shared" si="58"/>
        <v>4</v>
      </c>
      <c r="Y276">
        <f t="shared" si="59"/>
        <v>275</v>
      </c>
      <c r="Z276">
        <v>10</v>
      </c>
      <c r="AA276" t="s">
        <v>2203</v>
      </c>
      <c r="AB276" s="4">
        <v>3950000</v>
      </c>
      <c r="AC276">
        <v>30</v>
      </c>
      <c r="AD276">
        <f t="shared" si="55"/>
        <v>1</v>
      </c>
      <c r="AG276">
        <f>IF($N$68="No",-20,1)</f>
        <v>1</v>
      </c>
      <c r="AT276">
        <f t="shared" si="56"/>
        <v>1</v>
      </c>
      <c r="AV276">
        <f t="shared" si="57"/>
        <v>1</v>
      </c>
      <c r="AW276" s="57">
        <f t="shared" si="60"/>
        <v>275</v>
      </c>
      <c r="AX276" s="57" t="str">
        <f t="shared" si="61"/>
        <v>Modular Cutter Planetary Assault Module</v>
      </c>
    </row>
    <row r="277" spans="24:50">
      <c r="X277">
        <f t="shared" si="58"/>
        <v>4</v>
      </c>
      <c r="Y277">
        <f t="shared" si="59"/>
        <v>276</v>
      </c>
      <c r="Z277">
        <v>8</v>
      </c>
      <c r="AA277" t="s">
        <v>2204</v>
      </c>
      <c r="AB277" s="4">
        <v>4600000</v>
      </c>
      <c r="AC277">
        <v>30</v>
      </c>
      <c r="AD277">
        <f t="shared" si="55"/>
        <v>1</v>
      </c>
      <c r="AG277">
        <f>IF($N$68="No",-20,1)</f>
        <v>1</v>
      </c>
      <c r="AT277">
        <f t="shared" si="56"/>
        <v>1</v>
      </c>
      <c r="AV277">
        <f t="shared" si="57"/>
        <v>1</v>
      </c>
      <c r="AW277" s="57">
        <f t="shared" si="60"/>
        <v>276</v>
      </c>
      <c r="AX277" s="57" t="str">
        <f t="shared" si="61"/>
        <v>Modular Cutter Planetary Outpost Module</v>
      </c>
    </row>
    <row r="278" spans="24:50">
      <c r="X278">
        <f t="shared" si="58"/>
        <v>4</v>
      </c>
      <c r="Y278">
        <f t="shared" si="59"/>
        <v>277</v>
      </c>
      <c r="Z278">
        <v>12</v>
      </c>
      <c r="AA278" t="s">
        <v>2205</v>
      </c>
      <c r="AB278" s="4">
        <v>20900000</v>
      </c>
      <c r="AC278">
        <v>30</v>
      </c>
      <c r="AD278">
        <f t="shared" si="55"/>
        <v>1</v>
      </c>
      <c r="AG278">
        <f>IF($N$68="No",-20,1)</f>
        <v>1</v>
      </c>
      <c r="AT278">
        <f t="shared" si="56"/>
        <v>1</v>
      </c>
      <c r="AV278">
        <f t="shared" si="57"/>
        <v>1</v>
      </c>
      <c r="AW278" s="57">
        <f t="shared" si="60"/>
        <v>277</v>
      </c>
      <c r="AX278" s="57" t="str">
        <f t="shared" si="61"/>
        <v>Modular Cutter Power Module</v>
      </c>
    </row>
    <row r="279" spans="24:50">
      <c r="X279">
        <f t="shared" si="58"/>
        <v>4</v>
      </c>
      <c r="Y279">
        <f t="shared" si="59"/>
        <v>278</v>
      </c>
      <c r="Z279">
        <v>8</v>
      </c>
      <c r="AA279" t="s">
        <v>2206</v>
      </c>
      <c r="AB279" s="4">
        <v>3830000</v>
      </c>
      <c r="AC279">
        <v>30</v>
      </c>
      <c r="AD279">
        <f t="shared" si="55"/>
        <v>1</v>
      </c>
      <c r="AF279">
        <f>IF($N$67="No",-20,1)</f>
        <v>1</v>
      </c>
      <c r="AT279">
        <f t="shared" si="56"/>
        <v>1</v>
      </c>
      <c r="AV279">
        <f t="shared" si="57"/>
        <v>1</v>
      </c>
      <c r="AW279" s="57">
        <f t="shared" si="60"/>
        <v>278</v>
      </c>
      <c r="AX279" s="57" t="str">
        <f t="shared" si="61"/>
        <v>Modular Cutter Pressurized Shelter Module</v>
      </c>
    </row>
    <row r="280" spans="24:50">
      <c r="X280">
        <f t="shared" si="58"/>
        <v>4</v>
      </c>
      <c r="Y280">
        <f t="shared" si="59"/>
        <v>279</v>
      </c>
      <c r="Z280">
        <v>8</v>
      </c>
      <c r="AA280" t="s">
        <v>2207</v>
      </c>
      <c r="AB280" s="4">
        <v>3207000</v>
      </c>
      <c r="AC280">
        <v>30</v>
      </c>
      <c r="AD280">
        <f t="shared" si="55"/>
        <v>1</v>
      </c>
      <c r="AG280">
        <f>IF($N$68="No",-20,1)</f>
        <v>1</v>
      </c>
      <c r="AT280">
        <f t="shared" si="56"/>
        <v>1</v>
      </c>
      <c r="AV280">
        <f t="shared" si="57"/>
        <v>1</v>
      </c>
      <c r="AW280" s="57">
        <f t="shared" si="60"/>
        <v>279</v>
      </c>
      <c r="AX280" s="57" t="str">
        <f t="shared" si="61"/>
        <v>Modular Cutter Public House Module</v>
      </c>
    </row>
    <row r="281" spans="24:50">
      <c r="X281">
        <f t="shared" si="58"/>
        <v>4</v>
      </c>
      <c r="Y281">
        <f t="shared" si="59"/>
        <v>280</v>
      </c>
      <c r="Z281">
        <v>8</v>
      </c>
      <c r="AA281" t="s">
        <v>2208</v>
      </c>
      <c r="AB281" s="4">
        <v>4675000</v>
      </c>
      <c r="AC281">
        <v>30</v>
      </c>
      <c r="AD281">
        <f t="shared" si="55"/>
        <v>1</v>
      </c>
      <c r="AG281">
        <f>IF($N$68="No",-20,1)</f>
        <v>1</v>
      </c>
      <c r="AT281">
        <f t="shared" si="56"/>
        <v>1</v>
      </c>
      <c r="AV281">
        <f t="shared" si="57"/>
        <v>1</v>
      </c>
      <c r="AW281" s="57">
        <f t="shared" si="60"/>
        <v>280</v>
      </c>
      <c r="AX281" s="57" t="str">
        <f t="shared" si="61"/>
        <v>Modular Cutter Relaxation Module</v>
      </c>
    </row>
    <row r="282" spans="24:50">
      <c r="X282">
        <f t="shared" si="58"/>
        <v>4</v>
      </c>
      <c r="Y282">
        <f t="shared" si="59"/>
        <v>281</v>
      </c>
      <c r="Z282">
        <v>7</v>
      </c>
      <c r="AA282" t="s">
        <v>2209</v>
      </c>
      <c r="AB282" s="4">
        <v>3800000</v>
      </c>
      <c r="AC282">
        <v>30</v>
      </c>
      <c r="AD282">
        <f t="shared" si="55"/>
        <v>1</v>
      </c>
      <c r="AG282">
        <f>IF($N$68="No",-20,1)</f>
        <v>1</v>
      </c>
      <c r="AT282">
        <f t="shared" si="56"/>
        <v>1</v>
      </c>
      <c r="AV282">
        <f t="shared" si="57"/>
        <v>1</v>
      </c>
      <c r="AW282" s="57">
        <f t="shared" si="60"/>
        <v>281</v>
      </c>
      <c r="AX282" s="57" t="str">
        <f t="shared" si="61"/>
        <v>Modular Cutter Salvage Module</v>
      </c>
    </row>
    <row r="283" spans="24:50">
      <c r="X283">
        <f t="shared" si="58"/>
        <v>4</v>
      </c>
      <c r="Y283">
        <f t="shared" si="59"/>
        <v>282</v>
      </c>
      <c r="Z283">
        <v>15</v>
      </c>
      <c r="AA283" t="s">
        <v>2210</v>
      </c>
      <c r="AB283" s="4">
        <v>53500000</v>
      </c>
      <c r="AC283">
        <v>30</v>
      </c>
      <c r="AD283">
        <f t="shared" si="55"/>
        <v>1</v>
      </c>
      <c r="AG283">
        <f>IF($N$68="No",-20,1)</f>
        <v>1</v>
      </c>
      <c r="AT283">
        <f t="shared" si="56"/>
        <v>1</v>
      </c>
      <c r="AV283">
        <f t="shared" si="57"/>
        <v>1</v>
      </c>
      <c r="AW283" s="57">
        <f t="shared" si="60"/>
        <v>282</v>
      </c>
      <c r="AX283" s="57" t="str">
        <f t="shared" si="61"/>
        <v>Modular Cutter Spaceborne Early Warning Module</v>
      </c>
    </row>
    <row r="284" spans="24:50" ht="16">
      <c r="X284">
        <f t="shared" si="58"/>
        <v>4</v>
      </c>
      <c r="Y284">
        <f t="shared" si="59"/>
        <v>283</v>
      </c>
      <c r="Z284" s="459">
        <v>12</v>
      </c>
      <c r="AA284" s="459" t="s">
        <v>2233</v>
      </c>
      <c r="AB284" s="460">
        <v>3120000</v>
      </c>
      <c r="AC284" s="461">
        <v>30</v>
      </c>
      <c r="AD284">
        <f t="shared" si="55"/>
        <v>1</v>
      </c>
      <c r="AR284">
        <f>IF($N$79="No",-20,1)</f>
        <v>1</v>
      </c>
      <c r="AT284">
        <f t="shared" si="56"/>
        <v>1</v>
      </c>
      <c r="AV284">
        <f t="shared" si="57"/>
        <v>1</v>
      </c>
      <c r="AW284" s="57">
        <f t="shared" si="60"/>
        <v>283</v>
      </c>
      <c r="AX284" s="57" t="str">
        <f t="shared" si="61"/>
        <v>Modular Cutter Starport Shuttle Module (JTAS V3)</v>
      </c>
    </row>
    <row r="285" spans="24:50">
      <c r="X285">
        <f t="shared" si="58"/>
        <v>3</v>
      </c>
      <c r="Y285">
        <f t="shared" si="59"/>
        <v>284</v>
      </c>
      <c r="Z285">
        <v>15</v>
      </c>
      <c r="AA285" t="s">
        <v>2211</v>
      </c>
      <c r="AB285" s="4">
        <v>19460000</v>
      </c>
      <c r="AC285" s="453">
        <v>30</v>
      </c>
      <c r="AD285">
        <f t="shared" si="55"/>
        <v>1</v>
      </c>
      <c r="AT285">
        <f t="shared" si="56"/>
        <v>1</v>
      </c>
      <c r="AV285">
        <f t="shared" si="57"/>
        <v>1</v>
      </c>
      <c r="AW285" s="57">
        <f t="shared" si="60"/>
        <v>284</v>
      </c>
      <c r="AX285" s="57" t="str">
        <f t="shared" si="61"/>
        <v>Modular Cutter Surveyor Cutter Module</v>
      </c>
    </row>
    <row r="286" spans="24:50">
      <c r="X286">
        <f t="shared" si="58"/>
        <v>4</v>
      </c>
      <c r="Y286">
        <f t="shared" si="59"/>
        <v>285</v>
      </c>
      <c r="Z286">
        <v>7</v>
      </c>
      <c r="AA286" t="s">
        <v>2212</v>
      </c>
      <c r="AB286" s="4">
        <v>1655000</v>
      </c>
      <c r="AC286">
        <v>30</v>
      </c>
      <c r="AD286">
        <f t="shared" si="55"/>
        <v>1</v>
      </c>
      <c r="AG286">
        <f>IF($N$68="No",-20,1)</f>
        <v>1</v>
      </c>
      <c r="AT286">
        <f t="shared" si="56"/>
        <v>1</v>
      </c>
      <c r="AV286">
        <f t="shared" si="57"/>
        <v>1</v>
      </c>
      <c r="AW286" s="57">
        <f t="shared" si="60"/>
        <v>285</v>
      </c>
      <c r="AX286" s="57" t="str">
        <f t="shared" si="61"/>
        <v>Modular Cutter Tanker Module</v>
      </c>
    </row>
    <row r="287" spans="24:50">
      <c r="X287">
        <f t="shared" si="58"/>
        <v>4</v>
      </c>
      <c r="Y287">
        <f t="shared" si="59"/>
        <v>286</v>
      </c>
      <c r="Z287">
        <v>7</v>
      </c>
      <c r="AA287" t="s">
        <v>2213</v>
      </c>
      <c r="AB287" s="4">
        <v>6200000</v>
      </c>
      <c r="AC287">
        <v>30</v>
      </c>
      <c r="AD287">
        <f t="shared" si="55"/>
        <v>1</v>
      </c>
      <c r="AG287">
        <f>IF($N$68="No",-20,1)</f>
        <v>1</v>
      </c>
      <c r="AT287">
        <f t="shared" si="56"/>
        <v>1</v>
      </c>
      <c r="AV287">
        <f t="shared" si="57"/>
        <v>1</v>
      </c>
      <c r="AW287" s="57">
        <f t="shared" si="60"/>
        <v>286</v>
      </c>
      <c r="AX287" s="57" t="str">
        <f t="shared" si="61"/>
        <v>Modular Cutter Urban Module</v>
      </c>
    </row>
    <row r="288" spans="24:50">
      <c r="X288">
        <f t="shared" si="58"/>
        <v>4</v>
      </c>
      <c r="Y288">
        <f t="shared" si="59"/>
        <v>287</v>
      </c>
      <c r="Z288">
        <v>7</v>
      </c>
      <c r="AA288" t="s">
        <v>2214</v>
      </c>
      <c r="AB288" s="4">
        <v>5330000</v>
      </c>
      <c r="AC288">
        <v>30</v>
      </c>
      <c r="AD288">
        <f t="shared" si="55"/>
        <v>1</v>
      </c>
      <c r="AF288">
        <f>IF($N$67="No",-20,1)</f>
        <v>1</v>
      </c>
      <c r="AT288">
        <f t="shared" si="56"/>
        <v>1</v>
      </c>
      <c r="AV288">
        <f t="shared" si="57"/>
        <v>1</v>
      </c>
      <c r="AW288" s="57">
        <f t="shared" si="60"/>
        <v>287</v>
      </c>
      <c r="AX288" s="57" t="str">
        <f t="shared" si="61"/>
        <v>Modular Cutter Vehicle Cradle Module</v>
      </c>
    </row>
    <row r="289" spans="24:50">
      <c r="X289">
        <f t="shared" si="58"/>
        <v>4</v>
      </c>
      <c r="Y289">
        <f t="shared" si="59"/>
        <v>288</v>
      </c>
      <c r="Z289">
        <v>10</v>
      </c>
      <c r="AA289" t="s">
        <v>1812</v>
      </c>
      <c r="AB289" s="4">
        <v>7530000</v>
      </c>
      <c r="AC289">
        <v>40</v>
      </c>
      <c r="AD289">
        <f t="shared" si="55"/>
        <v>1</v>
      </c>
      <c r="AG289">
        <f>IF($N$68="No",-20,1)</f>
        <v>1</v>
      </c>
      <c r="AT289">
        <f t="shared" si="56"/>
        <v>1</v>
      </c>
      <c r="AV289">
        <f t="shared" si="57"/>
        <v>1</v>
      </c>
      <c r="AW289" s="57">
        <f t="shared" si="60"/>
        <v>288</v>
      </c>
      <c r="AX289" s="57" t="str">
        <f t="shared" si="61"/>
        <v>Modular Skiff</v>
      </c>
    </row>
    <row r="290" spans="24:50">
      <c r="X290">
        <f t="shared" si="58"/>
        <v>5</v>
      </c>
      <c r="Y290">
        <f t="shared" si="59"/>
        <v>289</v>
      </c>
      <c r="Z290">
        <v>8</v>
      </c>
      <c r="AA290" t="s">
        <v>1821</v>
      </c>
      <c r="AB290" s="4">
        <v>3400000</v>
      </c>
      <c r="AC290">
        <v>10</v>
      </c>
      <c r="AD290">
        <f t="shared" si="55"/>
        <v>1</v>
      </c>
      <c r="AE290">
        <f>IF($N$64="No",-20,1)</f>
        <v>1</v>
      </c>
      <c r="AG290">
        <f>IF($N$68="No",-20,1)</f>
        <v>1</v>
      </c>
      <c r="AT290">
        <f t="shared" si="56"/>
        <v>1</v>
      </c>
      <c r="AV290">
        <f t="shared" si="57"/>
        <v>1</v>
      </c>
      <c r="AW290" s="57">
        <f t="shared" si="60"/>
        <v>289</v>
      </c>
      <c r="AX290" s="57" t="str">
        <f t="shared" si="61"/>
        <v>Moray Antique Fighter</v>
      </c>
    </row>
    <row r="291" spans="24:50" ht="16">
      <c r="X291">
        <f t="shared" si="58"/>
        <v>3</v>
      </c>
      <c r="Y291">
        <f t="shared" si="59"/>
        <v>290</v>
      </c>
      <c r="Z291" s="459">
        <v>14</v>
      </c>
      <c r="AA291" s="459" t="s">
        <v>2392</v>
      </c>
      <c r="AB291" s="460">
        <v>31108900000</v>
      </c>
      <c r="AC291" s="461">
        <v>100000</v>
      </c>
      <c r="AD291">
        <f>IF($N$65="No",-20,1)</f>
        <v>1</v>
      </c>
      <c r="AU291">
        <f>IF($P$65=0,1,IF(AC291&lt;=$P$65,1,-20))</f>
        <v>1</v>
      </c>
      <c r="AV291">
        <f t="shared" si="57"/>
        <v>1</v>
      </c>
      <c r="AW291" s="57">
        <f t="shared" si="60"/>
        <v>290</v>
      </c>
      <c r="AX291" s="57" t="str">
        <f t="shared" si="61"/>
        <v>Mountain-Class Logistics Barge (Solomani Front)</v>
      </c>
    </row>
    <row r="292" spans="24:50">
      <c r="X292">
        <f t="shared" si="58"/>
        <v>3</v>
      </c>
      <c r="Y292">
        <f t="shared" si="59"/>
        <v>291</v>
      </c>
      <c r="Z292">
        <v>9</v>
      </c>
      <c r="AA292" t="s">
        <v>2168</v>
      </c>
      <c r="AB292" s="4">
        <v>208800</v>
      </c>
      <c r="AC292" s="493">
        <v>20</v>
      </c>
      <c r="AD292">
        <f>IF($N$62="No",-20,1)</f>
        <v>1</v>
      </c>
      <c r="AS292">
        <f>IF($P$62=0,1,IF(AC292&lt;=$P$62,1,-20))</f>
        <v>1</v>
      </c>
      <c r="AV292">
        <f t="shared" si="57"/>
        <v>1</v>
      </c>
      <c r="AW292" s="57">
        <f t="shared" si="60"/>
        <v>291</v>
      </c>
      <c r="AX292" s="57" t="str">
        <f t="shared" si="61"/>
        <v>Negav Ten-Wheel Off-Road Transport Vehicle (Field Catalogue)</v>
      </c>
    </row>
    <row r="293" spans="24:50">
      <c r="X293">
        <f t="shared" si="58"/>
        <v>4</v>
      </c>
      <c r="Y293">
        <f t="shared" si="59"/>
        <v>292</v>
      </c>
      <c r="Z293">
        <v>13</v>
      </c>
      <c r="AA293" t="s">
        <v>1782</v>
      </c>
      <c r="AB293" s="4">
        <v>49230000</v>
      </c>
      <c r="AC293">
        <v>12</v>
      </c>
      <c r="AD293">
        <f>IF($N$62="No",-20,1)</f>
        <v>1</v>
      </c>
      <c r="AH293">
        <f>IF($N$69="No",-20,1)</f>
        <v>1</v>
      </c>
      <c r="AS293">
        <f>IF($P$62=0,1,IF(AC293&lt;=$P$62,1,-20))</f>
        <v>1</v>
      </c>
      <c r="AV293">
        <f t="shared" si="57"/>
        <v>1</v>
      </c>
      <c r="AW293" s="57">
        <f t="shared" si="60"/>
        <v>292</v>
      </c>
      <c r="AX293" s="57" t="str">
        <f t="shared" si="61"/>
        <v>Newpoint G/APC</v>
      </c>
    </row>
    <row r="294" spans="24:50" ht="16">
      <c r="X294">
        <f t="shared" si="58"/>
        <v>3</v>
      </c>
      <c r="Y294">
        <f t="shared" si="59"/>
        <v>293</v>
      </c>
      <c r="Z294" s="459">
        <v>15</v>
      </c>
      <c r="AA294" s="459" t="s">
        <v>2397</v>
      </c>
      <c r="AB294" s="460">
        <v>52788000</v>
      </c>
      <c r="AC294" s="461">
        <v>30</v>
      </c>
      <c r="AD294">
        <f>IF($N$63="No",-20,1)</f>
        <v>1</v>
      </c>
      <c r="AT294">
        <f>IF($P$63=0,1,IF(AC294&lt;=$P$63,1,-20))</f>
        <v>1</v>
      </c>
      <c r="AV294">
        <f t="shared" si="57"/>
        <v>1</v>
      </c>
      <c r="AW294" s="57">
        <f t="shared" si="60"/>
        <v>293</v>
      </c>
      <c r="AX294" s="57" t="str">
        <f t="shared" si="61"/>
        <v>Ninnup-Class Hiver Ship's Boat (Traders and Gunboats)</v>
      </c>
    </row>
    <row r="295" spans="24:50">
      <c r="X295">
        <f t="shared" si="58"/>
        <v>4</v>
      </c>
      <c r="Y295">
        <f t="shared" si="59"/>
        <v>294</v>
      </c>
      <c r="Z295">
        <v>12</v>
      </c>
      <c r="AA295" t="s">
        <v>2304</v>
      </c>
      <c r="AB295" s="4">
        <v>105000</v>
      </c>
      <c r="AC295" s="493">
        <v>5.5</v>
      </c>
      <c r="AD295">
        <f>IF($N$62="No",-20,1)</f>
        <v>1</v>
      </c>
      <c r="AR295">
        <f>IF($N$79="No",-20,1)</f>
        <v>1</v>
      </c>
      <c r="AS295">
        <f>IF($P$62=0,1,IF(AC295&lt;=$P$62,1,-20))</f>
        <v>1</v>
      </c>
      <c r="AV295">
        <f t="shared" si="57"/>
        <v>1</v>
      </c>
      <c r="AW295" s="57">
        <f t="shared" si="60"/>
        <v>294</v>
      </c>
      <c r="AX295" s="57" t="str">
        <f t="shared" si="61"/>
        <v>Ocean Cleanup Boat (JTAS Vol. 16)</v>
      </c>
    </row>
    <row r="296" spans="24:50" ht="16">
      <c r="X296">
        <f t="shared" si="58"/>
        <v>3</v>
      </c>
      <c r="Y296">
        <f t="shared" si="59"/>
        <v>295</v>
      </c>
      <c r="Z296" s="459">
        <v>15</v>
      </c>
      <c r="AA296" s="459" t="s">
        <v>2119</v>
      </c>
      <c r="AB296" s="460">
        <v>1110350000</v>
      </c>
      <c r="AC296" s="461">
        <v>2600</v>
      </c>
      <c r="AD296">
        <f>IF($N$65="No",-20,1)</f>
        <v>1</v>
      </c>
      <c r="AU296">
        <f>IF($P$65=0,1,IF(AC296&lt;=$P$65,1,-20))</f>
        <v>1</v>
      </c>
      <c r="AV296">
        <f t="shared" si="57"/>
        <v>1</v>
      </c>
      <c r="AW296" s="57">
        <f t="shared" si="60"/>
        <v>295</v>
      </c>
      <c r="AX296" s="57" t="str">
        <f t="shared" si="61"/>
        <v>Orbiral Assualt Pod (ECC)</v>
      </c>
    </row>
    <row r="297" spans="24:50" ht="16">
      <c r="X297">
        <f t="shared" si="58"/>
        <v>3</v>
      </c>
      <c r="Y297">
        <f t="shared" si="59"/>
        <v>296</v>
      </c>
      <c r="Z297" s="459">
        <v>12</v>
      </c>
      <c r="AA297" s="459" t="s">
        <v>2381</v>
      </c>
      <c r="AB297" s="460">
        <v>631700</v>
      </c>
      <c r="AC297" s="461">
        <v>3</v>
      </c>
      <c r="AD297">
        <f>IF($N$62="No",-20,1)</f>
        <v>1</v>
      </c>
      <c r="AS297">
        <f>IF($P$62=0,1,IF(AC297&lt;=$P$62,1,-20))</f>
        <v>1</v>
      </c>
      <c r="AV297">
        <f t="shared" si="57"/>
        <v>1</v>
      </c>
      <c r="AW297" s="57">
        <f t="shared" si="60"/>
        <v>296</v>
      </c>
      <c r="AX297" s="57" t="str">
        <f t="shared" si="61"/>
        <v>Outrider Grav Platform (Rim Expeditions)</v>
      </c>
    </row>
    <row r="298" spans="24:50" ht="16">
      <c r="X298">
        <f t="shared" si="58"/>
        <v>4</v>
      </c>
      <c r="Y298">
        <f t="shared" si="59"/>
        <v>297</v>
      </c>
      <c r="Z298" s="459">
        <v>5</v>
      </c>
      <c r="AA298" s="459" t="s">
        <v>2229</v>
      </c>
      <c r="AB298" s="460">
        <v>197000</v>
      </c>
      <c r="AC298" s="461">
        <v>4</v>
      </c>
      <c r="AD298">
        <f>IF($N$62="No",-20,1)</f>
        <v>1</v>
      </c>
      <c r="AR298">
        <f>IF($N$79="No",-20,1)</f>
        <v>1</v>
      </c>
      <c r="AS298">
        <f>IF($P$62=0,1,IF(AC298&lt;=$P$62,1,-20))</f>
        <v>1</v>
      </c>
      <c r="AV298">
        <f t="shared" si="57"/>
        <v>1</v>
      </c>
      <c r="AW298" s="57">
        <f t="shared" si="60"/>
        <v>297</v>
      </c>
      <c r="AX298" s="57" t="str">
        <f t="shared" si="61"/>
        <v>Palomino Light Strike Aircraft (JTAS Vol. 2)</v>
      </c>
    </row>
    <row r="299" spans="24:50">
      <c r="X299">
        <f t="shared" si="58"/>
        <v>4</v>
      </c>
      <c r="Y299">
        <f t="shared" si="59"/>
        <v>298</v>
      </c>
      <c r="Z299">
        <v>12</v>
      </c>
      <c r="AA299" t="s">
        <v>1972</v>
      </c>
      <c r="AB299" s="4">
        <v>15380000</v>
      </c>
      <c r="AC299" s="453">
        <v>100</v>
      </c>
      <c r="AD299">
        <f>IF($N$65="No",-20,1)</f>
        <v>1</v>
      </c>
      <c r="AN299">
        <f>IF($N$75="No",-20,1)</f>
        <v>1</v>
      </c>
      <c r="AU299">
        <f>IF($P$65=0,1,IF(AC299&lt;=$P$65,1,-20))</f>
        <v>1</v>
      </c>
      <c r="AV299">
        <f t="shared" si="57"/>
        <v>1</v>
      </c>
      <c r="AW299" s="57">
        <f t="shared" si="60"/>
        <v>298</v>
      </c>
      <c r="AX299" s="57" t="str">
        <f t="shared" si="61"/>
        <v>Passenger Lighter</v>
      </c>
    </row>
    <row r="300" spans="24:50">
      <c r="X300">
        <f t="shared" si="58"/>
        <v>4</v>
      </c>
      <c r="Y300">
        <f t="shared" si="59"/>
        <v>299</v>
      </c>
      <c r="Z300">
        <v>12</v>
      </c>
      <c r="AA300" t="s">
        <v>1753</v>
      </c>
      <c r="AB300" s="4">
        <v>9927000</v>
      </c>
      <c r="AC300">
        <v>95</v>
      </c>
      <c r="AD300">
        <f>IF($N$63="No",-20,1)</f>
        <v>1</v>
      </c>
      <c r="AI300">
        <f>IF($N$70="No",-20,1)</f>
        <v>1</v>
      </c>
      <c r="AT300">
        <f>IF($P$63=0,1,IF(AC300&lt;=$P$63,1,-20))</f>
        <v>1</v>
      </c>
      <c r="AV300">
        <f t="shared" si="57"/>
        <v>1</v>
      </c>
      <c r="AW300" s="57">
        <f t="shared" si="60"/>
        <v>299</v>
      </c>
      <c r="AX300" s="57" t="str">
        <f t="shared" si="61"/>
        <v>Passenger Shuttle (Core'22)</v>
      </c>
    </row>
    <row r="301" spans="24:50">
      <c r="X301">
        <f t="shared" si="58"/>
        <v>4</v>
      </c>
      <c r="Y301">
        <f t="shared" si="59"/>
        <v>300</v>
      </c>
      <c r="Z301">
        <v>9</v>
      </c>
      <c r="AA301" t="s">
        <v>2079</v>
      </c>
      <c r="AB301" s="4">
        <v>14305000</v>
      </c>
      <c r="AC301" s="453">
        <v>95</v>
      </c>
      <c r="AD301">
        <f>IF($N$63="No",-20,1)</f>
        <v>1</v>
      </c>
      <c r="AF301">
        <f>IF($N$67="No",-20,1)</f>
        <v>1</v>
      </c>
      <c r="AT301">
        <f>IF($P$63=0,1,IF(AC301&lt;=$P$63,1,-20))</f>
        <v>1</v>
      </c>
      <c r="AV301">
        <f t="shared" si="57"/>
        <v>1</v>
      </c>
      <c r="AW301" s="57">
        <f t="shared" si="60"/>
        <v>300</v>
      </c>
      <c r="AX301" s="57" t="str">
        <f t="shared" si="61"/>
        <v>Passenger Shuttle (HG'22)</v>
      </c>
    </row>
    <row r="302" spans="24:50" ht="16">
      <c r="X302">
        <f t="shared" si="58"/>
        <v>3</v>
      </c>
      <c r="Y302">
        <f t="shared" si="59"/>
        <v>301</v>
      </c>
      <c r="Z302" s="459">
        <v>10</v>
      </c>
      <c r="AA302" s="459" t="s">
        <v>2367</v>
      </c>
      <c r="AB302" s="460">
        <v>14967000</v>
      </c>
      <c r="AC302" s="461">
        <v>95</v>
      </c>
      <c r="AD302">
        <f>IF($N$63="No",-20,1)</f>
        <v>1</v>
      </c>
      <c r="AT302">
        <f>IF($P$63=0,1,IF(AC302&lt;=$P$63,1,-20))</f>
        <v>1</v>
      </c>
      <c r="AV302">
        <f t="shared" si="57"/>
        <v>1</v>
      </c>
      <c r="AW302" s="57">
        <f t="shared" si="60"/>
        <v>301</v>
      </c>
      <c r="AX302" s="57" t="str">
        <f t="shared" si="61"/>
        <v>Passenger Shuttle (Reach Adventure 1)</v>
      </c>
    </row>
    <row r="303" spans="24:50">
      <c r="X303">
        <f t="shared" si="58"/>
        <v>4</v>
      </c>
      <c r="Y303">
        <f t="shared" si="59"/>
        <v>302</v>
      </c>
      <c r="Z303">
        <v>10</v>
      </c>
      <c r="AA303" t="s">
        <v>2022</v>
      </c>
      <c r="AB303" s="4">
        <v>225261000</v>
      </c>
      <c r="AC303" s="453">
        <v>800</v>
      </c>
      <c r="AD303">
        <f>IF($N$65="No",-20,1)</f>
        <v>1</v>
      </c>
      <c r="AP303">
        <f>IF($N$77="No",-20,1)</f>
        <v>1</v>
      </c>
      <c r="AU303">
        <f>IF($P$65=0,1,IF(AC303&lt;=$P$65,1,-20))</f>
        <v>1</v>
      </c>
      <c r="AV303">
        <f t="shared" si="57"/>
        <v>1</v>
      </c>
      <c r="AW303" s="57">
        <f t="shared" si="60"/>
        <v>302</v>
      </c>
      <c r="AX303" s="57" t="str">
        <f t="shared" si="61"/>
        <v>PBC-10 Class Heavy SDB</v>
      </c>
    </row>
    <row r="304" spans="24:50" ht="16">
      <c r="X304">
        <f t="shared" si="58"/>
        <v>3</v>
      </c>
      <c r="Y304">
        <f t="shared" si="59"/>
        <v>303</v>
      </c>
      <c r="Z304" s="459">
        <v>10</v>
      </c>
      <c r="AA304" s="459" t="s">
        <v>2407</v>
      </c>
      <c r="AB304" s="460">
        <v>225261000</v>
      </c>
      <c r="AC304" s="461">
        <v>800</v>
      </c>
      <c r="AD304">
        <f>IF($N$65="No",-20,1)</f>
        <v>1</v>
      </c>
      <c r="AU304">
        <f>IF($P$65=0,1,IF(AC304&lt;=$P$65,1,-20))</f>
        <v>1</v>
      </c>
      <c r="AV304">
        <f t="shared" si="57"/>
        <v>1</v>
      </c>
      <c r="AW304" s="57">
        <f t="shared" si="60"/>
        <v>303</v>
      </c>
      <c r="AX304" s="57" t="str">
        <f t="shared" si="61"/>
        <v>PBC-10 Heavy System Defense Boat (War Fleets of the Fifth Frontier War)</v>
      </c>
    </row>
    <row r="305" spans="24:50">
      <c r="X305">
        <f t="shared" si="58"/>
        <v>4</v>
      </c>
      <c r="Y305">
        <f t="shared" si="59"/>
        <v>304</v>
      </c>
      <c r="Z305">
        <v>12</v>
      </c>
      <c r="AA305" t="s">
        <v>2024</v>
      </c>
      <c r="AB305" s="4">
        <v>127080000</v>
      </c>
      <c r="AC305" s="453">
        <v>400</v>
      </c>
      <c r="AD305">
        <f>IF($N$65="No",-20,1)</f>
        <v>1</v>
      </c>
      <c r="AP305">
        <f>IF($N$77="No",-20,1)</f>
        <v>1</v>
      </c>
      <c r="AU305">
        <f>IF($P$65=0,1,IF(AC305&lt;=$P$65,1,-20))</f>
        <v>1</v>
      </c>
      <c r="AV305">
        <f t="shared" si="57"/>
        <v>1</v>
      </c>
      <c r="AW305" s="57">
        <f t="shared" si="60"/>
        <v>304</v>
      </c>
      <c r="AX305" s="57" t="str">
        <f t="shared" si="61"/>
        <v>PD-12 Patrol Boat</v>
      </c>
    </row>
    <row r="306" spans="24:50">
      <c r="X306">
        <f t="shared" si="58"/>
        <v>3</v>
      </c>
      <c r="Y306">
        <f t="shared" si="59"/>
        <v>305</v>
      </c>
      <c r="Z306">
        <v>12</v>
      </c>
      <c r="AA306" t="s">
        <v>2034</v>
      </c>
      <c r="AB306" s="4">
        <v>13915000</v>
      </c>
      <c r="AC306" s="453">
        <v>20</v>
      </c>
      <c r="AD306">
        <f>IF($N$63="No",-20,1)</f>
        <v>1</v>
      </c>
      <c r="AT306">
        <f>IF($P$63=0,1,IF(AC306&lt;=$P$63,1,-20))</f>
        <v>1</v>
      </c>
      <c r="AV306">
        <f t="shared" si="57"/>
        <v>1</v>
      </c>
      <c r="AW306" s="57">
        <f t="shared" si="60"/>
        <v>305</v>
      </c>
      <c r="AX306" s="57" t="str">
        <f t="shared" si="61"/>
        <v>Pecah Breacher Shuttle</v>
      </c>
    </row>
    <row r="307" spans="24:50" ht="16">
      <c r="X307">
        <f t="shared" si="58"/>
        <v>3</v>
      </c>
      <c r="Y307">
        <f t="shared" si="59"/>
        <v>306</v>
      </c>
      <c r="Z307" s="459">
        <v>12</v>
      </c>
      <c r="AA307" s="459" t="s">
        <v>2394</v>
      </c>
      <c r="AB307" s="460">
        <v>13915000</v>
      </c>
      <c r="AC307" s="461">
        <v>20</v>
      </c>
      <c r="AD307">
        <f>IF($N$63="No",-20,1)</f>
        <v>1</v>
      </c>
      <c r="AT307">
        <f>IF($P$63=0,1,IF(AC307&lt;=$P$63,1,-20))</f>
        <v>1</v>
      </c>
      <c r="AV307">
        <f t="shared" si="57"/>
        <v>1</v>
      </c>
      <c r="AW307" s="57">
        <f t="shared" si="60"/>
        <v>306</v>
      </c>
      <c r="AX307" s="57" t="str">
        <f t="shared" si="61"/>
        <v>Pecah-Class Breacher Shuttle (Specialist Forces)</v>
      </c>
    </row>
    <row r="308" spans="24:50">
      <c r="X308">
        <f t="shared" si="58"/>
        <v>4</v>
      </c>
      <c r="Y308">
        <f t="shared" si="59"/>
        <v>307</v>
      </c>
      <c r="Z308">
        <v>12</v>
      </c>
      <c r="AA308" t="s">
        <v>2019</v>
      </c>
      <c r="AB308" s="4">
        <v>372870000</v>
      </c>
      <c r="AC308" s="453">
        <v>800</v>
      </c>
      <c r="AD308">
        <f>IF($N$65="No",-20,1)</f>
        <v>1</v>
      </c>
      <c r="AP308">
        <f>IF($N$77="No",-20,1)</f>
        <v>1</v>
      </c>
      <c r="AU308">
        <f>IF($P$65=0,1,IF(AC308&lt;=$P$65,1,-20))</f>
        <v>1</v>
      </c>
      <c r="AV308">
        <f t="shared" si="57"/>
        <v>1</v>
      </c>
      <c r="AW308" s="57">
        <f t="shared" si="60"/>
        <v>307</v>
      </c>
      <c r="AX308" s="57" t="str">
        <f t="shared" si="61"/>
        <v>Piankir Class Light Monitor</v>
      </c>
    </row>
    <row r="309" spans="24:50">
      <c r="X309">
        <f t="shared" si="58"/>
        <v>4</v>
      </c>
      <c r="Y309">
        <f t="shared" si="59"/>
        <v>308</v>
      </c>
      <c r="Z309">
        <v>12</v>
      </c>
      <c r="AA309" t="s">
        <v>2021</v>
      </c>
      <c r="AB309" s="4">
        <v>175513500</v>
      </c>
      <c r="AC309" s="453">
        <v>600</v>
      </c>
      <c r="AD309">
        <f>IF($N$65="No",-20,1)</f>
        <v>1</v>
      </c>
      <c r="AP309">
        <f>IF($N$77="No",-20,1)</f>
        <v>1</v>
      </c>
      <c r="AU309">
        <f>IF($P$65=0,1,IF(AC309&lt;=$P$65,1,-20))</f>
        <v>1</v>
      </c>
      <c r="AV309">
        <f t="shared" si="57"/>
        <v>1</v>
      </c>
      <c r="AW309" s="57">
        <f t="shared" si="60"/>
        <v>308</v>
      </c>
      <c r="AX309" s="57" t="str">
        <f t="shared" si="61"/>
        <v>Piankir Combat Outrigger</v>
      </c>
    </row>
    <row r="310" spans="24:50">
      <c r="X310">
        <f t="shared" si="58"/>
        <v>4</v>
      </c>
      <c r="Y310">
        <f t="shared" si="59"/>
        <v>309</v>
      </c>
      <c r="Z310">
        <v>12</v>
      </c>
      <c r="AA310" t="s">
        <v>2020</v>
      </c>
      <c r="AB310" s="4">
        <v>152743500</v>
      </c>
      <c r="AC310" s="453">
        <v>600</v>
      </c>
      <c r="AD310">
        <f>IF($N$65="No",-20,1)</f>
        <v>1</v>
      </c>
      <c r="AP310">
        <f>IF($N$77="No",-20,1)</f>
        <v>1</v>
      </c>
      <c r="AU310">
        <f>IF($P$65=0,1,IF(AC310&lt;=$P$65,1,-20))</f>
        <v>1</v>
      </c>
      <c r="AV310">
        <f t="shared" si="57"/>
        <v>1</v>
      </c>
      <c r="AW310" s="57">
        <f t="shared" si="60"/>
        <v>309</v>
      </c>
      <c r="AX310" s="57" t="str">
        <f t="shared" si="61"/>
        <v>Piankir Patrol Outrigger</v>
      </c>
    </row>
    <row r="311" spans="24:50" ht="16">
      <c r="X311">
        <f t="shared" si="58"/>
        <v>3</v>
      </c>
      <c r="Y311">
        <f t="shared" si="59"/>
        <v>310</v>
      </c>
      <c r="Z311" s="459">
        <v>7</v>
      </c>
      <c r="AA311" s="459" t="s">
        <v>2037</v>
      </c>
      <c r="AB311" s="460">
        <v>167780000</v>
      </c>
      <c r="AC311" s="461">
        <v>2000</v>
      </c>
      <c r="AD311">
        <f>IF($N$65="No",-20,1)</f>
        <v>1</v>
      </c>
      <c r="AU311">
        <f>IF($P$65=0,1,IF(AC311&lt;=$P$65,1,-20))</f>
        <v>1</v>
      </c>
      <c r="AV311">
        <f t="shared" si="57"/>
        <v>1</v>
      </c>
      <c r="AW311" s="57">
        <f t="shared" si="60"/>
        <v>310</v>
      </c>
      <c r="AX311" s="57" t="str">
        <f t="shared" si="61"/>
        <v>Pimane Fuel Shuttle (B&amp;ESG)</v>
      </c>
    </row>
    <row r="312" spans="24:50">
      <c r="X312">
        <f t="shared" si="58"/>
        <v>4</v>
      </c>
      <c r="Y312">
        <f t="shared" si="59"/>
        <v>311</v>
      </c>
      <c r="Z312">
        <v>12</v>
      </c>
      <c r="AA312" t="s">
        <v>1796</v>
      </c>
      <c r="AB312" s="4">
        <v>9680000</v>
      </c>
      <c r="AC312">
        <v>40</v>
      </c>
      <c r="AD312">
        <f>IF($N$63="No",-20,1)</f>
        <v>1</v>
      </c>
      <c r="AI312">
        <f>IF($N$70="No",-20,1)</f>
        <v>1</v>
      </c>
      <c r="AT312">
        <f>IF($P$63=0,1,IF(AC312&lt;=$P$63,1,-20))</f>
        <v>1</v>
      </c>
      <c r="AV312">
        <f t="shared" si="57"/>
        <v>1</v>
      </c>
      <c r="AW312" s="57">
        <f t="shared" si="60"/>
        <v>311</v>
      </c>
      <c r="AX312" s="57" t="str">
        <f t="shared" si="61"/>
        <v>Pinnace (Core'22)</v>
      </c>
    </row>
    <row r="313" spans="24:50">
      <c r="X313">
        <f t="shared" si="58"/>
        <v>4</v>
      </c>
      <c r="Y313">
        <f t="shared" si="59"/>
        <v>312</v>
      </c>
      <c r="Z313">
        <v>15</v>
      </c>
      <c r="AA313" t="s">
        <v>1838</v>
      </c>
      <c r="AB313" s="4">
        <v>45188000</v>
      </c>
      <c r="AC313">
        <v>90</v>
      </c>
      <c r="AD313">
        <f>IF($N$63="No",-20,1)</f>
        <v>1</v>
      </c>
      <c r="AG313">
        <f>IF($N$68="No",-20,1)</f>
        <v>1</v>
      </c>
      <c r="AT313">
        <f>IF($P$63=0,1,IF(AC313&lt;=$P$63,1,-20))</f>
        <v>1</v>
      </c>
      <c r="AV313">
        <f t="shared" si="57"/>
        <v>1</v>
      </c>
      <c r="AW313" s="57">
        <f t="shared" si="60"/>
        <v>312</v>
      </c>
      <c r="AX313" s="57" t="str">
        <f t="shared" si="61"/>
        <v>Planetary Assault Barge</v>
      </c>
    </row>
    <row r="314" spans="24:50" ht="16">
      <c r="X314">
        <f t="shared" si="58"/>
        <v>3</v>
      </c>
      <c r="Y314">
        <f t="shared" si="59"/>
        <v>313</v>
      </c>
      <c r="Z314" s="459">
        <v>12</v>
      </c>
      <c r="AA314" s="459" t="s">
        <v>2409</v>
      </c>
      <c r="AB314" s="460">
        <v>133380000</v>
      </c>
      <c r="AC314" s="461">
        <v>400</v>
      </c>
      <c r="AD314">
        <f>IF($N$65="No",-20,1)</f>
        <v>1</v>
      </c>
      <c r="AU314">
        <f>IF($P$65=0,1,IF(AC314&lt;=$P$65,1,-20))</f>
        <v>1</v>
      </c>
      <c r="AV314">
        <f t="shared" si="57"/>
        <v>1</v>
      </c>
      <c r="AW314" s="57">
        <f t="shared" si="60"/>
        <v>313</v>
      </c>
      <c r="AX314" s="57" t="str">
        <f t="shared" si="61"/>
        <v>PLD-12 Patrol Boat (War Fleets of the Fifth Frontier War)</v>
      </c>
    </row>
    <row r="315" spans="24:50">
      <c r="X315">
        <f t="shared" si="58"/>
        <v>4</v>
      </c>
      <c r="Y315">
        <f t="shared" si="59"/>
        <v>314</v>
      </c>
      <c r="Z315">
        <v>12</v>
      </c>
      <c r="AA315" t="s">
        <v>1984</v>
      </c>
      <c r="AB315" s="4">
        <v>9282500</v>
      </c>
      <c r="AC315" s="453">
        <v>20</v>
      </c>
      <c r="AD315">
        <f>IF($N$62="No",-20,1)</f>
        <v>1</v>
      </c>
      <c r="AO315">
        <f>IF($N$76="No",-20,1)</f>
        <v>1</v>
      </c>
      <c r="AS315">
        <f>IF($P$62=0,1,IF(AC315&lt;=$P$62,1,-20))</f>
        <v>1</v>
      </c>
      <c r="AV315">
        <f t="shared" si="57"/>
        <v>1</v>
      </c>
      <c r="AW315" s="57">
        <f t="shared" si="60"/>
        <v>314</v>
      </c>
      <c r="AX315" s="57" t="str">
        <f t="shared" si="61"/>
        <v>Poignard</v>
      </c>
    </row>
    <row r="316" spans="24:50" ht="16">
      <c r="X316">
        <f t="shared" si="58"/>
        <v>4</v>
      </c>
      <c r="Y316">
        <f t="shared" si="59"/>
        <v>315</v>
      </c>
      <c r="Z316" s="459">
        <v>8</v>
      </c>
      <c r="AA316" s="459" t="s">
        <v>2319</v>
      </c>
      <c r="AB316" s="460">
        <v>95000</v>
      </c>
      <c r="AC316" s="461">
        <v>6</v>
      </c>
      <c r="AD316">
        <f>IF($N$62="No",-20,1)</f>
        <v>1</v>
      </c>
      <c r="AR316">
        <f>IF($N$79="No",-20,1)</f>
        <v>1</v>
      </c>
      <c r="AS316">
        <f>IF($P$62=0,1,IF(AC316&lt;=$P$62,1,-20))</f>
        <v>1</v>
      </c>
      <c r="AV316">
        <f t="shared" si="57"/>
        <v>1</v>
      </c>
      <c r="AW316" s="57">
        <f t="shared" si="60"/>
        <v>315</v>
      </c>
      <c r="AX316" s="57" t="str">
        <f t="shared" si="61"/>
        <v>Port Porter Transport Vehicle (JTAS Vol. 3)</v>
      </c>
    </row>
    <row r="317" spans="24:50" ht="16">
      <c r="X317">
        <f t="shared" si="58"/>
        <v>4</v>
      </c>
      <c r="Y317">
        <f t="shared" si="59"/>
        <v>316</v>
      </c>
      <c r="Z317" s="459">
        <v>8</v>
      </c>
      <c r="AA317" s="459" t="s">
        <v>2320</v>
      </c>
      <c r="AB317" s="460">
        <v>46000</v>
      </c>
      <c r="AC317" s="461">
        <v>6</v>
      </c>
      <c r="AD317">
        <f>IF($N$62="No",-20,1)</f>
        <v>1</v>
      </c>
      <c r="AR317">
        <f>IF($N$79="No",-20,1)</f>
        <v>1</v>
      </c>
      <c r="AS317">
        <f>IF($P$62=0,1,IF(AC317&lt;=$P$62,1,-20))</f>
        <v>1</v>
      </c>
      <c r="AV317">
        <f t="shared" si="57"/>
        <v>1</v>
      </c>
      <c r="AW317" s="57">
        <f t="shared" si="60"/>
        <v>316</v>
      </c>
      <c r="AX317" s="57" t="str">
        <f t="shared" si="61"/>
        <v>Port Protector Light Security Vehicle (JTAS Vol. 3)</v>
      </c>
    </row>
    <row r="318" spans="24:50" ht="16">
      <c r="X318">
        <f t="shared" si="58"/>
        <v>4</v>
      </c>
      <c r="Y318">
        <f t="shared" si="59"/>
        <v>317</v>
      </c>
      <c r="Z318" s="459">
        <v>14</v>
      </c>
      <c r="AA318" s="459" t="s">
        <v>2401</v>
      </c>
      <c r="AB318" s="460">
        <v>10114700</v>
      </c>
      <c r="AC318" s="461">
        <v>8</v>
      </c>
      <c r="AD318">
        <f>IF($N$63="No",-20,1)</f>
        <v>1</v>
      </c>
      <c r="AE318">
        <f>IF($N$64="No",-20,1)</f>
        <v>1</v>
      </c>
      <c r="AT318">
        <f>IF($P$63=0,1,IF(AC318&lt;=$P$63,1,-20))</f>
        <v>1</v>
      </c>
      <c r="AV318">
        <f t="shared" si="57"/>
        <v>1</v>
      </c>
      <c r="AW318" s="57">
        <f t="shared" si="60"/>
        <v>317</v>
      </c>
      <c r="AX318" s="57" t="str">
        <f t="shared" si="61"/>
        <v>Prasad-Class Solomani Light Fighter (Traders and Gunboats)</v>
      </c>
    </row>
    <row r="319" spans="24:50">
      <c r="X319">
        <f t="shared" si="58"/>
        <v>3</v>
      </c>
      <c r="Y319">
        <f t="shared" si="59"/>
        <v>318</v>
      </c>
      <c r="Z319">
        <v>12</v>
      </c>
      <c r="AA319" t="s">
        <v>2171</v>
      </c>
      <c r="AB319" s="4">
        <v>1195000</v>
      </c>
      <c r="AC319" s="493">
        <v>3</v>
      </c>
      <c r="AD319">
        <f>IF($N$62="No",-20,1)</f>
        <v>1</v>
      </c>
      <c r="AS319">
        <f>IF($P$62=0,1,IF(AC319&lt;=$P$62,1,-20))</f>
        <v>1</v>
      </c>
      <c r="AV319">
        <f t="shared" si="57"/>
        <v>1</v>
      </c>
      <c r="AW319" s="57">
        <f t="shared" si="60"/>
        <v>318</v>
      </c>
      <c r="AX319" s="57" t="str">
        <f t="shared" si="61"/>
        <v>Preplenn Fast Attack Platform (Field Catalogue)</v>
      </c>
    </row>
    <row r="320" spans="24:50">
      <c r="X320">
        <f t="shared" si="58"/>
        <v>4</v>
      </c>
      <c r="Y320">
        <f t="shared" si="59"/>
        <v>319</v>
      </c>
      <c r="Z320">
        <v>12</v>
      </c>
      <c r="AA320" t="s">
        <v>1842</v>
      </c>
      <c r="AB320" s="4">
        <v>49560000</v>
      </c>
      <c r="AC320">
        <v>60</v>
      </c>
      <c r="AD320">
        <f>IF($N$63="No",-20,1)</f>
        <v>1</v>
      </c>
      <c r="AG320">
        <f>IF($N$68="No",-20,1)</f>
        <v>1</v>
      </c>
      <c r="AT320">
        <f>IF($P$63=0,1,IF(AC320&lt;=$P$63,1,-20))</f>
        <v>1</v>
      </c>
      <c r="AV320">
        <f t="shared" si="57"/>
        <v>1</v>
      </c>
      <c r="AW320" s="57">
        <f t="shared" si="60"/>
        <v>319</v>
      </c>
      <c r="AX320" s="57" t="str">
        <f t="shared" si="61"/>
        <v>Pressurized Yacht</v>
      </c>
    </row>
    <row r="321" spans="24:50" ht="16">
      <c r="X321">
        <f t="shared" si="58"/>
        <v>3</v>
      </c>
      <c r="Y321">
        <f t="shared" si="59"/>
        <v>320</v>
      </c>
      <c r="Z321" s="459">
        <v>10</v>
      </c>
      <c r="AA321" s="459" t="s">
        <v>2405</v>
      </c>
      <c r="AB321" s="460">
        <v>337175000</v>
      </c>
      <c r="AC321" s="461">
        <v>1200</v>
      </c>
      <c r="AD321">
        <f>IF($N$65="No",-20,1)</f>
        <v>1</v>
      </c>
      <c r="AU321">
        <f>IF($P$65=0,1,IF(AC321&lt;=$P$65,1,-20))</f>
        <v>1</v>
      </c>
      <c r="AV321">
        <f t="shared" si="57"/>
        <v>1</v>
      </c>
      <c r="AW321" s="57">
        <f t="shared" si="60"/>
        <v>320</v>
      </c>
      <c r="AX321" s="57" t="str">
        <f t="shared" si="61"/>
        <v>Priest Vogel-Class Sword Worlds System Defense Boat (Traders and Gunboats)</v>
      </c>
    </row>
    <row r="322" spans="24:50">
      <c r="X322">
        <f t="shared" si="58"/>
        <v>4</v>
      </c>
      <c r="Y322">
        <f t="shared" si="59"/>
        <v>321</v>
      </c>
      <c r="Z322">
        <v>12</v>
      </c>
      <c r="AA322" t="s">
        <v>1790</v>
      </c>
      <c r="AB322" s="4">
        <v>270000</v>
      </c>
      <c r="AC322">
        <v>4</v>
      </c>
      <c r="AD322">
        <f>IF($N$62="No",-20,1)</f>
        <v>1</v>
      </c>
      <c r="AF322">
        <f>IF($N$67="No",-20,1)</f>
        <v>1</v>
      </c>
      <c r="AS322">
        <f>IF($P$62=0,1,IF(AC322&lt;=$P$62,1,-20))</f>
        <v>1</v>
      </c>
      <c r="AV322">
        <f t="shared" si="57"/>
        <v>1</v>
      </c>
      <c r="AW322" s="57">
        <f t="shared" si="60"/>
        <v>321</v>
      </c>
      <c r="AX322" s="57" t="str">
        <f t="shared" si="61"/>
        <v>Prospecting Buggy</v>
      </c>
    </row>
    <row r="323" spans="24:50">
      <c r="X323">
        <f t="shared" si="58"/>
        <v>4</v>
      </c>
      <c r="Y323">
        <f t="shared" si="59"/>
        <v>322</v>
      </c>
      <c r="Z323">
        <v>12</v>
      </c>
      <c r="AA323" t="s">
        <v>1841</v>
      </c>
      <c r="AB323" s="4">
        <v>33295000</v>
      </c>
      <c r="AC323">
        <v>50</v>
      </c>
      <c r="AD323">
        <f>IF($N$63="No",-20,1)</f>
        <v>1</v>
      </c>
      <c r="AG323">
        <f>IF($N$68="No",-20,1)</f>
        <v>1</v>
      </c>
      <c r="AT323">
        <f>IF($P$63=0,1,IF(AC323&lt;=$P$63,1,-20))</f>
        <v>1</v>
      </c>
      <c r="AV323">
        <f t="shared" ref="AV323:AV386" si="62">IF($N$61="Yes",1,IF(Z323&gt;TL,-20,1))</f>
        <v>1</v>
      </c>
      <c r="AW323" s="57">
        <f t="shared" si="60"/>
        <v>322</v>
      </c>
      <c r="AX323" s="57" t="str">
        <f t="shared" si="61"/>
        <v>Protective Shuttle</v>
      </c>
    </row>
    <row r="324" spans="24:50">
      <c r="X324">
        <f t="shared" ref="X324:X387" si="63">SUM(AD324:AV324)</f>
        <v>4</v>
      </c>
      <c r="Y324">
        <f t="shared" ref="Y324:Y387" si="64">IF(X324&gt;0,Y323+1,Y323)</f>
        <v>323</v>
      </c>
      <c r="Z324">
        <v>12</v>
      </c>
      <c r="AA324" t="s">
        <v>2270</v>
      </c>
      <c r="AB324" s="4">
        <v>44655000</v>
      </c>
      <c r="AC324" s="493">
        <v>75</v>
      </c>
      <c r="AD324">
        <f>IF($N$63="No",-20,1)</f>
        <v>1</v>
      </c>
      <c r="AR324">
        <f>IF($N$79="No",-20,1)</f>
        <v>1</v>
      </c>
      <c r="AT324">
        <f>IF($P$63=0,1,IF(AC324&lt;=$P$63,1,-20))</f>
        <v>1</v>
      </c>
      <c r="AV324">
        <f t="shared" si="62"/>
        <v>1</v>
      </c>
      <c r="AW324" s="57">
        <f t="shared" ref="AW324:AW387" si="65">AW323+1</f>
        <v>323</v>
      </c>
      <c r="AX324" s="57" t="str">
        <f t="shared" ref="AX324:AX387" si="66">IF(AW324&gt;$AW$1,"",INDEX($Y$2:$AA$482,MATCH(AW324,$Y$2:$Y$482,0),3))</f>
        <v>Psara Fast Transport Vessel (JTAS Vol. 9)</v>
      </c>
    </row>
    <row r="325" spans="24:50" ht="16">
      <c r="X325">
        <f t="shared" si="63"/>
        <v>3</v>
      </c>
      <c r="Y325">
        <f t="shared" si="64"/>
        <v>324</v>
      </c>
      <c r="Z325" s="459">
        <v>15</v>
      </c>
      <c r="AA325" s="459" t="s">
        <v>2398</v>
      </c>
      <c r="AB325" s="460">
        <v>65560000</v>
      </c>
      <c r="AC325" s="461">
        <v>100</v>
      </c>
      <c r="AD325">
        <f>IF($N$65="No",-20,1)</f>
        <v>1</v>
      </c>
      <c r="AU325">
        <f>IF($P$65=0,1,IF(AC325&lt;=$P$65,1,-20))</f>
        <v>1</v>
      </c>
      <c r="AV325">
        <f t="shared" si="62"/>
        <v>1</v>
      </c>
      <c r="AW325" s="57">
        <f t="shared" si="65"/>
        <v>324</v>
      </c>
      <c r="AX325" s="57" t="str">
        <f t="shared" si="66"/>
        <v>Quvar-Class Hiver Shuttle (Traders and Gunboats)</v>
      </c>
    </row>
    <row r="326" spans="24:50">
      <c r="X326">
        <f t="shared" si="63"/>
        <v>4</v>
      </c>
      <c r="Y326">
        <f t="shared" si="64"/>
        <v>325</v>
      </c>
      <c r="Z326">
        <v>13</v>
      </c>
      <c r="AA326" t="s">
        <v>2277</v>
      </c>
      <c r="AB326" s="4">
        <v>1686000</v>
      </c>
      <c r="AC326" s="493">
        <v>5</v>
      </c>
      <c r="AD326">
        <f>IF($N$62="No",-20,1)</f>
        <v>1</v>
      </c>
      <c r="AR326">
        <f>IF($N$79="No",-20,1)</f>
        <v>1</v>
      </c>
      <c r="AS326">
        <f>IF($P$62=0,1,IF(AC326&lt;=$P$62,1,-20))</f>
        <v>1</v>
      </c>
      <c r="AV326">
        <f t="shared" si="62"/>
        <v>1</v>
      </c>
      <c r="AW326" s="57">
        <f t="shared" si="65"/>
        <v>325</v>
      </c>
      <c r="AX326" s="57" t="str">
        <f t="shared" si="66"/>
        <v>Ragno Walker (JTAS Vol. 11)</v>
      </c>
    </row>
    <row r="327" spans="24:50" ht="16">
      <c r="X327">
        <f t="shared" si="63"/>
        <v>3</v>
      </c>
      <c r="Y327">
        <f t="shared" si="64"/>
        <v>326</v>
      </c>
      <c r="Z327" s="459">
        <v>8</v>
      </c>
      <c r="AA327" s="459" t="s">
        <v>2042</v>
      </c>
      <c r="AB327" s="460">
        <v>3075600</v>
      </c>
      <c r="AC327" s="461">
        <v>30</v>
      </c>
      <c r="AD327">
        <f>IF($N$63="No",-20,1)</f>
        <v>1</v>
      </c>
      <c r="AT327">
        <f>IF($P$63=0,1,IF(AC327&lt;=$P$63,1,-20))</f>
        <v>1</v>
      </c>
      <c r="AV327">
        <f t="shared" si="62"/>
        <v>1</v>
      </c>
      <c r="AW327" s="57">
        <f t="shared" si="65"/>
        <v>326</v>
      </c>
      <c r="AX327" s="57" t="str">
        <f t="shared" si="66"/>
        <v>Rammiakhiidru Shuttle (CA 2)</v>
      </c>
    </row>
    <row r="328" spans="24:50" ht="16">
      <c r="X328">
        <f t="shared" si="63"/>
        <v>3</v>
      </c>
      <c r="Y328">
        <f t="shared" si="64"/>
        <v>327</v>
      </c>
      <c r="Z328" s="459">
        <v>15</v>
      </c>
      <c r="AA328" s="459" t="s">
        <v>2227</v>
      </c>
      <c r="AB328" s="460">
        <v>18547750</v>
      </c>
      <c r="AC328" s="461">
        <v>10</v>
      </c>
      <c r="AD328">
        <f>IF($N$62="No",-20,1)</f>
        <v>1</v>
      </c>
      <c r="AS328">
        <f>IF($P$62=0,1,IF(AC328&lt;=$P$62,1,-20))</f>
        <v>1</v>
      </c>
      <c r="AV328">
        <f t="shared" si="62"/>
        <v>1</v>
      </c>
      <c r="AW328" s="57">
        <f t="shared" si="65"/>
        <v>327</v>
      </c>
      <c r="AX328" s="57" t="str">
        <f t="shared" si="66"/>
        <v>Rampart Atmosphere-Capable Fighter (JTAS Vol. 2)</v>
      </c>
    </row>
    <row r="329" spans="24:50" ht="16">
      <c r="X329">
        <f t="shared" si="63"/>
        <v>4</v>
      </c>
      <c r="Y329">
        <f t="shared" si="64"/>
        <v>328</v>
      </c>
      <c r="Z329" s="459">
        <v>15</v>
      </c>
      <c r="AA329" s="459" t="s">
        <v>2075</v>
      </c>
      <c r="AB329" s="460">
        <v>179950</v>
      </c>
      <c r="AC329" s="461">
        <v>8</v>
      </c>
      <c r="AD329">
        <f>IF($N$62="No",-20,1)</f>
        <v>1</v>
      </c>
      <c r="AQ329">
        <f>IF($N$78="No",-20,1)</f>
        <v>1</v>
      </c>
      <c r="AS329">
        <f>IF($P$62=0,1,IF(AC329&lt;=$P$62,1,-20))</f>
        <v>1</v>
      </c>
      <c r="AV329">
        <f t="shared" si="62"/>
        <v>1</v>
      </c>
      <c r="AW329" s="57">
        <f t="shared" si="65"/>
        <v>328</v>
      </c>
      <c r="AX329" s="57" t="str">
        <f t="shared" si="66"/>
        <v>Ranger (DR:CG)</v>
      </c>
    </row>
    <row r="330" spans="24:50" ht="16">
      <c r="X330">
        <f t="shared" si="63"/>
        <v>4</v>
      </c>
      <c r="Y330">
        <f t="shared" si="64"/>
        <v>329</v>
      </c>
      <c r="Z330" s="459">
        <v>8</v>
      </c>
      <c r="AA330" s="459" t="s">
        <v>2231</v>
      </c>
      <c r="AB330" s="460">
        <v>5600000</v>
      </c>
      <c r="AC330" s="461">
        <v>80</v>
      </c>
      <c r="AD330">
        <f>IF($N$62="No",-20,1)</f>
        <v>1</v>
      </c>
      <c r="AR330">
        <f>IF($N$79="No",-20,1)</f>
        <v>1</v>
      </c>
      <c r="AS330">
        <f>IF($P$62=0,1,IF(AC330&lt;=$P$62,1,-20))</f>
        <v>1</v>
      </c>
      <c r="AV330">
        <f t="shared" si="62"/>
        <v>1</v>
      </c>
      <c r="AW330" s="57">
        <f t="shared" si="65"/>
        <v>329</v>
      </c>
      <c r="AX330" s="57" t="str">
        <f t="shared" si="66"/>
        <v>Raven Heavy Strike Jet (JTAS Vol. 2)</v>
      </c>
    </row>
    <row r="331" spans="24:50" ht="16">
      <c r="X331">
        <f t="shared" si="63"/>
        <v>3</v>
      </c>
      <c r="Y331">
        <f t="shared" si="64"/>
        <v>330</v>
      </c>
      <c r="Z331" s="459">
        <v>12</v>
      </c>
      <c r="AA331" s="459" t="s">
        <v>2317</v>
      </c>
      <c r="AB331" s="460">
        <v>32250000</v>
      </c>
      <c r="AC331" s="461">
        <v>100</v>
      </c>
      <c r="AD331">
        <f>IF($N$62="No",-20,1)</f>
        <v>1</v>
      </c>
      <c r="AS331">
        <f>IF($P$62=0,1,IF(AC331&lt;=$P$62,1,-20))</f>
        <v>1</v>
      </c>
      <c r="AV331">
        <f t="shared" si="62"/>
        <v>1</v>
      </c>
      <c r="AW331" s="57">
        <f t="shared" si="65"/>
        <v>330</v>
      </c>
      <c r="AX331" s="57" t="str">
        <f t="shared" si="66"/>
        <v>Reiplau All-Terrain Vehicle (Mysteries of the Ancients)</v>
      </c>
    </row>
    <row r="332" spans="24:50">
      <c r="X332">
        <f t="shared" si="63"/>
        <v>4</v>
      </c>
      <c r="Y332">
        <f t="shared" si="64"/>
        <v>331</v>
      </c>
      <c r="Z332">
        <v>12</v>
      </c>
      <c r="AA332" t="s">
        <v>1811</v>
      </c>
      <c r="AB332" s="4">
        <v>22896500</v>
      </c>
      <c r="AC332">
        <v>30</v>
      </c>
      <c r="AD332">
        <f>IF($N$63="No",-20,1)</f>
        <v>1</v>
      </c>
      <c r="AG332">
        <f>IF($N$68="No",-20,1)</f>
        <v>1</v>
      </c>
      <c r="AT332">
        <f>IF($P$63=0,1,IF(AC332&lt;=$P$63,1,-20))</f>
        <v>1</v>
      </c>
      <c r="AV332">
        <f t="shared" si="62"/>
        <v>1</v>
      </c>
      <c r="AW332" s="57">
        <f t="shared" si="65"/>
        <v>331</v>
      </c>
      <c r="AX332" s="57" t="str">
        <f t="shared" si="66"/>
        <v>Rescue Boat</v>
      </c>
    </row>
    <row r="333" spans="24:50">
      <c r="X333">
        <f t="shared" si="63"/>
        <v>4</v>
      </c>
      <c r="Y333">
        <f t="shared" si="64"/>
        <v>332</v>
      </c>
      <c r="Z333">
        <v>12</v>
      </c>
      <c r="AA333" t="s">
        <v>1813</v>
      </c>
      <c r="AB333" s="4">
        <v>13510000</v>
      </c>
      <c r="AC333">
        <v>40</v>
      </c>
      <c r="AD333">
        <f>IF($N$63="No",-20,1)</f>
        <v>1</v>
      </c>
      <c r="AG333">
        <f>IF($N$68="No",-20,1)</f>
        <v>1</v>
      </c>
      <c r="AT333">
        <f>IF($P$63=0,1,IF(AC333&lt;=$P$63,1,-20))</f>
        <v>1</v>
      </c>
      <c r="AV333">
        <f t="shared" si="62"/>
        <v>1</v>
      </c>
      <c r="AW333" s="57">
        <f t="shared" si="65"/>
        <v>332</v>
      </c>
      <c r="AX333" s="57" t="str">
        <f t="shared" si="66"/>
        <v>Research Pinnace</v>
      </c>
    </row>
    <row r="334" spans="24:50" ht="16">
      <c r="X334">
        <f t="shared" si="63"/>
        <v>3</v>
      </c>
      <c r="Y334">
        <f t="shared" si="64"/>
        <v>333</v>
      </c>
      <c r="Z334" s="459">
        <v>12</v>
      </c>
      <c r="AA334" s="459" t="s">
        <v>2046</v>
      </c>
      <c r="AB334" s="460">
        <v>9480000</v>
      </c>
      <c r="AC334" s="461">
        <v>40</v>
      </c>
      <c r="AD334">
        <f>IF($N$63="No",-20,1)</f>
        <v>1</v>
      </c>
      <c r="AT334">
        <f>IF($P$63=0,1,IF(AC334&lt;=$P$63,1,-20))</f>
        <v>1</v>
      </c>
      <c r="AV334">
        <f t="shared" si="62"/>
        <v>1</v>
      </c>
      <c r="AW334" s="57">
        <f t="shared" si="65"/>
        <v>333</v>
      </c>
      <c r="AX334" s="57" t="str">
        <f t="shared" si="66"/>
        <v>Research Pinnace (DS)</v>
      </c>
    </row>
    <row r="335" spans="24:50">
      <c r="X335">
        <f t="shared" si="63"/>
        <v>4</v>
      </c>
      <c r="Y335">
        <f t="shared" si="64"/>
        <v>334</v>
      </c>
      <c r="Z335">
        <v>12</v>
      </c>
      <c r="AA335" t="s">
        <v>2294</v>
      </c>
      <c r="AB335" s="4">
        <v>62712500</v>
      </c>
      <c r="AC335" s="493">
        <v>100</v>
      </c>
      <c r="AD335">
        <f>IF($N$65="No",-20,1)</f>
        <v>1</v>
      </c>
      <c r="AR335">
        <f>IF($N$79="No",-20,1)</f>
        <v>1</v>
      </c>
      <c r="AU335">
        <f>IF($P$65=0,1,IF(AC335&lt;=$P$65,1,-20))</f>
        <v>1</v>
      </c>
      <c r="AV335">
        <f t="shared" si="62"/>
        <v>1</v>
      </c>
      <c r="AW335" s="57">
        <f t="shared" si="65"/>
        <v>334</v>
      </c>
      <c r="AX335" s="57" t="str">
        <f t="shared" si="66"/>
        <v>Research Scout (JTAS Vol. 15)</v>
      </c>
    </row>
    <row r="336" spans="24:50">
      <c r="X336">
        <f t="shared" si="63"/>
        <v>4</v>
      </c>
      <c r="Y336">
        <f t="shared" si="64"/>
        <v>335</v>
      </c>
      <c r="Z336">
        <v>12</v>
      </c>
      <c r="AA336" t="s">
        <v>1986</v>
      </c>
      <c r="AB336" s="4">
        <v>3920000</v>
      </c>
      <c r="AC336" s="453">
        <v>20</v>
      </c>
      <c r="AD336">
        <f>IF($N$63="No",-20,1)</f>
        <v>1</v>
      </c>
      <c r="AO336">
        <f>IF($N$76="No",-20,1)</f>
        <v>1</v>
      </c>
      <c r="AT336">
        <f>IF($P$63=0,1,IF(AC336&lt;=$P$63,1,-20))</f>
        <v>1</v>
      </c>
      <c r="AV336">
        <f t="shared" si="62"/>
        <v>1</v>
      </c>
      <c r="AW336" s="57">
        <f t="shared" si="65"/>
        <v>335</v>
      </c>
      <c r="AX336" s="57" t="str">
        <f t="shared" si="66"/>
        <v>Retrofit Launch</v>
      </c>
    </row>
    <row r="337" spans="24:50">
      <c r="X337">
        <f t="shared" si="63"/>
        <v>4</v>
      </c>
      <c r="Y337">
        <f t="shared" si="64"/>
        <v>336</v>
      </c>
      <c r="Z337">
        <v>12</v>
      </c>
      <c r="AA337" t="s">
        <v>1987</v>
      </c>
      <c r="AB337" s="4">
        <v>11880000</v>
      </c>
      <c r="AC337" s="453">
        <v>40</v>
      </c>
      <c r="AD337">
        <f>IF($N$63="No",-20,1)</f>
        <v>1</v>
      </c>
      <c r="AO337">
        <f>IF($N$76="No",-20,1)</f>
        <v>1</v>
      </c>
      <c r="AT337">
        <f>IF($P$63=0,1,IF(AC337&lt;=$P$63,1,-20))</f>
        <v>1</v>
      </c>
      <c r="AV337">
        <f t="shared" si="62"/>
        <v>1</v>
      </c>
      <c r="AW337" s="57">
        <f t="shared" si="65"/>
        <v>336</v>
      </c>
      <c r="AX337" s="57" t="str">
        <f t="shared" si="66"/>
        <v xml:space="preserve">Retrofit Pinnace </v>
      </c>
    </row>
    <row r="338" spans="24:50">
      <c r="X338">
        <f t="shared" si="63"/>
        <v>3</v>
      </c>
      <c r="Y338">
        <f t="shared" si="64"/>
        <v>337</v>
      </c>
      <c r="Z338">
        <v>15</v>
      </c>
      <c r="AA338" t="s">
        <v>2175</v>
      </c>
      <c r="AB338" s="4">
        <v>111637500</v>
      </c>
      <c r="AC338" s="493">
        <v>300</v>
      </c>
      <c r="AD338">
        <f>IF($N$65="No",-20,1)</f>
        <v>1</v>
      </c>
      <c r="AU338">
        <f>IF($P$65=0,1,IF(AC338&lt;=$P$65,1,-20))</f>
        <v>1</v>
      </c>
      <c r="AV338">
        <f t="shared" si="62"/>
        <v>1</v>
      </c>
      <c r="AW338" s="57">
        <f t="shared" si="65"/>
        <v>337</v>
      </c>
      <c r="AX338" s="57" t="str">
        <f t="shared" si="66"/>
        <v>Rock Twelve (Stealthed) Fuel Shuttle (Flashpoints)</v>
      </c>
    </row>
    <row r="339" spans="24:50">
      <c r="X339">
        <f t="shared" si="63"/>
        <v>4</v>
      </c>
      <c r="Y339">
        <f t="shared" si="64"/>
        <v>338</v>
      </c>
      <c r="Z339">
        <v>15</v>
      </c>
      <c r="AA339" t="s">
        <v>1840</v>
      </c>
      <c r="AB339" s="4">
        <v>9805000</v>
      </c>
      <c r="AC339">
        <v>15</v>
      </c>
      <c r="AD339">
        <f>IF($N$63="No",-20,1)</f>
        <v>1</v>
      </c>
      <c r="AG339">
        <f>IF($N$68="No",-20,1)</f>
        <v>1</v>
      </c>
      <c r="AT339">
        <f>IF($P$63=0,1,IF(AC339&lt;=$P$63,1,-20))</f>
        <v>1</v>
      </c>
      <c r="AV339">
        <f t="shared" si="62"/>
        <v>1</v>
      </c>
      <c r="AW339" s="57">
        <f t="shared" si="65"/>
        <v>338</v>
      </c>
      <c r="AX339" s="57" t="str">
        <f t="shared" si="66"/>
        <v>Runabout</v>
      </c>
    </row>
    <row r="340" spans="24:50">
      <c r="X340">
        <f t="shared" si="63"/>
        <v>3</v>
      </c>
      <c r="Y340">
        <f t="shared" si="64"/>
        <v>339</v>
      </c>
      <c r="Z340">
        <v>12</v>
      </c>
      <c r="AA340" t="s">
        <v>2173</v>
      </c>
      <c r="AB340" s="4">
        <v>12299000</v>
      </c>
      <c r="AC340" s="493">
        <v>20</v>
      </c>
      <c r="AD340">
        <f>IF($N$62="No",-20,1)</f>
        <v>1</v>
      </c>
      <c r="AS340">
        <f>IF($P$62=0,1,IF(AC340&lt;=$P$62,1,-20))</f>
        <v>1</v>
      </c>
      <c r="AV340">
        <f t="shared" si="62"/>
        <v>1</v>
      </c>
      <c r="AW340" s="57">
        <f t="shared" si="65"/>
        <v>339</v>
      </c>
      <c r="AX340" s="57" t="str">
        <f t="shared" si="66"/>
        <v>Saita Grav Tank (Field Catalogue)</v>
      </c>
    </row>
    <row r="341" spans="24:50">
      <c r="X341">
        <f t="shared" si="63"/>
        <v>4</v>
      </c>
      <c r="Y341">
        <f t="shared" si="64"/>
        <v>340</v>
      </c>
      <c r="Z341">
        <v>12</v>
      </c>
      <c r="AA341" t="s">
        <v>2023</v>
      </c>
      <c r="AB341" s="4">
        <v>240237000</v>
      </c>
      <c r="AC341" s="453">
        <v>600</v>
      </c>
      <c r="AD341">
        <f>IF($N$65="No",-20,1)</f>
        <v>1</v>
      </c>
      <c r="AP341">
        <f>IF($N$77="No",-20,1)</f>
        <v>1</v>
      </c>
      <c r="AU341">
        <f>IF($P$65=0,1,IF(AC341&lt;=$P$65,1,-20))</f>
        <v>1</v>
      </c>
      <c r="AV341">
        <f t="shared" si="62"/>
        <v>1</v>
      </c>
      <c r="AW341" s="57">
        <f t="shared" si="65"/>
        <v>340</v>
      </c>
      <c r="AX341" s="57" t="str">
        <f t="shared" si="66"/>
        <v>SBC-12 Strike Boat</v>
      </c>
    </row>
    <row r="342" spans="24:50" ht="16">
      <c r="X342">
        <f t="shared" si="63"/>
        <v>3</v>
      </c>
      <c r="Y342">
        <f t="shared" si="64"/>
        <v>341</v>
      </c>
      <c r="Z342" s="459">
        <v>12</v>
      </c>
      <c r="AA342" s="459" t="s">
        <v>2408</v>
      </c>
      <c r="AB342" s="460">
        <v>245457000</v>
      </c>
      <c r="AC342" s="461">
        <v>600</v>
      </c>
      <c r="AD342">
        <f>IF($N$65="No",-20,1)</f>
        <v>1</v>
      </c>
      <c r="AU342">
        <f>IF($P$65=0,1,IF(AC342&lt;=$P$65,1,-20))</f>
        <v>1</v>
      </c>
      <c r="AV342">
        <f t="shared" si="62"/>
        <v>1</v>
      </c>
      <c r="AW342" s="57">
        <f t="shared" si="65"/>
        <v>341</v>
      </c>
      <c r="AX342" s="57" t="str">
        <f t="shared" si="66"/>
        <v>SBC-12 Strike Boat (War Fleets of the Fifth Frontier War)</v>
      </c>
    </row>
    <row r="343" spans="24:50" ht="16">
      <c r="X343">
        <f t="shared" si="63"/>
        <v>3</v>
      </c>
      <c r="Y343">
        <f t="shared" si="64"/>
        <v>342</v>
      </c>
      <c r="Z343" s="459">
        <v>15</v>
      </c>
      <c r="AA343" s="459" t="s">
        <v>2112</v>
      </c>
      <c r="AB343" s="460">
        <v>3575200000</v>
      </c>
      <c r="AC343" s="461">
        <v>2600</v>
      </c>
      <c r="AD343">
        <f>IF($N$65="No",-20,1)</f>
        <v>1</v>
      </c>
      <c r="AU343">
        <f>IF($P$65=0,1,IF(AC343&lt;=$P$65,1,-20))</f>
        <v>1</v>
      </c>
      <c r="AV343">
        <f t="shared" si="62"/>
        <v>1</v>
      </c>
      <c r="AW343" s="57">
        <f t="shared" si="65"/>
        <v>342</v>
      </c>
      <c r="AX343" s="57" t="str">
        <f t="shared" si="66"/>
        <v>Scientific Pod (DRCG)</v>
      </c>
    </row>
    <row r="344" spans="24:50">
      <c r="X344">
        <f t="shared" si="63"/>
        <v>4</v>
      </c>
      <c r="Y344">
        <f t="shared" si="64"/>
        <v>343</v>
      </c>
      <c r="Z344">
        <v>3</v>
      </c>
      <c r="AA344" t="s">
        <v>2289</v>
      </c>
      <c r="AB344" s="4">
        <v>100</v>
      </c>
      <c r="AC344" s="493">
        <v>0.5</v>
      </c>
      <c r="AD344">
        <f>IF($N$62="No",-20,1)</f>
        <v>1</v>
      </c>
      <c r="AR344">
        <f>IF($N$79="No",-20,1)</f>
        <v>1</v>
      </c>
      <c r="AS344">
        <f>IF($P$62=0,1,IF(AC344&lt;=$P$62,1,-20))</f>
        <v>1</v>
      </c>
      <c r="AV344">
        <f t="shared" si="62"/>
        <v>1</v>
      </c>
      <c r="AW344" s="57">
        <f t="shared" si="65"/>
        <v>343</v>
      </c>
      <c r="AX344" s="57" t="str">
        <f t="shared" si="66"/>
        <v>Scooter (JTAS Vol. 14)</v>
      </c>
    </row>
    <row r="345" spans="24:50" ht="16">
      <c r="X345">
        <f t="shared" si="63"/>
        <v>4</v>
      </c>
      <c r="Y345">
        <f t="shared" si="64"/>
        <v>344</v>
      </c>
      <c r="Z345" s="459">
        <v>14</v>
      </c>
      <c r="AA345" s="459" t="s">
        <v>2391</v>
      </c>
      <c r="AB345" s="460">
        <v>68005000</v>
      </c>
      <c r="AC345" s="461">
        <v>75</v>
      </c>
      <c r="AD345">
        <f>IF($N$63="No",-20,1)</f>
        <v>1</v>
      </c>
      <c r="AE345">
        <f>IF($N$64="No",-20,1)</f>
        <v>1</v>
      </c>
      <c r="AT345">
        <f>IF($P$63=0,1,IF(AC345&lt;=$P$63,1,-20))</f>
        <v>1</v>
      </c>
      <c r="AV345">
        <f t="shared" si="62"/>
        <v>1</v>
      </c>
      <c r="AW345" s="57">
        <f t="shared" si="65"/>
        <v>344</v>
      </c>
      <c r="AX345" s="57" t="str">
        <f t="shared" si="66"/>
        <v>Scorpion-Class Strike Boat (Solomani Front)</v>
      </c>
    </row>
    <row r="346" spans="24:50" ht="16">
      <c r="X346">
        <f t="shared" si="63"/>
        <v>3</v>
      </c>
      <c r="Y346">
        <f t="shared" si="64"/>
        <v>345</v>
      </c>
      <c r="Z346" s="459">
        <v>8</v>
      </c>
      <c r="AA346" s="459" t="s">
        <v>2368</v>
      </c>
      <c r="AB346" s="460">
        <v>271000</v>
      </c>
      <c r="AC346" s="461">
        <v>4</v>
      </c>
      <c r="AD346">
        <f>IF($N$62="No",-20,1)</f>
        <v>1</v>
      </c>
      <c r="AS346">
        <f>IF($P$62=0,1,IF(AC346&lt;=$P$62,1,-20))</f>
        <v>1</v>
      </c>
      <c r="AV346">
        <f t="shared" si="62"/>
        <v>1</v>
      </c>
      <c r="AW346" s="57">
        <f t="shared" si="65"/>
        <v>345</v>
      </c>
      <c r="AX346" s="57" t="str">
        <f t="shared" si="66"/>
        <v>Sealed Air/Raft (Reach Adventure 2)</v>
      </c>
    </row>
    <row r="347" spans="24:50" ht="16">
      <c r="X347">
        <f t="shared" si="63"/>
        <v>3</v>
      </c>
      <c r="Y347">
        <f t="shared" si="64"/>
        <v>346</v>
      </c>
      <c r="Z347" s="459">
        <v>8</v>
      </c>
      <c r="AA347" s="459" t="s">
        <v>2041</v>
      </c>
      <c r="AB347" s="460">
        <v>415500</v>
      </c>
      <c r="AC347" s="461">
        <v>2</v>
      </c>
      <c r="AD347">
        <f>IF($N$62="No",-20,1)</f>
        <v>1</v>
      </c>
      <c r="AS347">
        <f>IF($P$62=0,1,IF(AC347&lt;=$P$62,1,-20))</f>
        <v>1</v>
      </c>
      <c r="AV347">
        <f t="shared" si="62"/>
        <v>1</v>
      </c>
      <c r="AW347" s="57">
        <f t="shared" si="65"/>
        <v>346</v>
      </c>
      <c r="AX347" s="57" t="str">
        <f t="shared" si="66"/>
        <v>Seaskimmer (CA 2)</v>
      </c>
    </row>
    <row r="348" spans="24:50">
      <c r="X348">
        <f t="shared" si="63"/>
        <v>5</v>
      </c>
      <c r="Y348">
        <f t="shared" si="64"/>
        <v>347</v>
      </c>
      <c r="Z348">
        <v>10</v>
      </c>
      <c r="AA348" t="s">
        <v>1822</v>
      </c>
      <c r="AB348" s="4">
        <v>10095000</v>
      </c>
      <c r="AC348">
        <v>10</v>
      </c>
      <c r="AD348">
        <f>IF($N$63="No",-20,1)</f>
        <v>1</v>
      </c>
      <c r="AE348">
        <f>IF($N$64="No",-20,1)</f>
        <v>1</v>
      </c>
      <c r="AG348">
        <f>IF($N$68="No",-20,1)</f>
        <v>1</v>
      </c>
      <c r="AT348">
        <f>IF($P$63=0,1,IF(AC348&lt;=$P$63,1,-20))</f>
        <v>1</v>
      </c>
      <c r="AV348">
        <f t="shared" si="62"/>
        <v>1</v>
      </c>
      <c r="AW348" s="57">
        <f t="shared" si="65"/>
        <v>347</v>
      </c>
      <c r="AX348" s="57" t="str">
        <f t="shared" si="66"/>
        <v>Sentinel Escort Fighter</v>
      </c>
    </row>
    <row r="349" spans="24:50">
      <c r="X349">
        <f t="shared" si="63"/>
        <v>4</v>
      </c>
      <c r="Y349">
        <f t="shared" si="64"/>
        <v>348</v>
      </c>
      <c r="Z349">
        <v>15</v>
      </c>
      <c r="AA349" t="s">
        <v>1834</v>
      </c>
      <c r="AB349" s="4">
        <v>114775000</v>
      </c>
      <c r="AC349">
        <v>40</v>
      </c>
      <c r="AD349">
        <f>IF($N$63="No",-20,1)</f>
        <v>1</v>
      </c>
      <c r="AG349">
        <f>IF($N$68="No",-20,1)</f>
        <v>1</v>
      </c>
      <c r="AT349">
        <f>IF($P$63=0,1,IF(AC349&lt;=$P$63,1,-20))</f>
        <v>1</v>
      </c>
      <c r="AV349">
        <f t="shared" si="62"/>
        <v>1</v>
      </c>
      <c r="AW349" s="57">
        <f t="shared" si="65"/>
        <v>348</v>
      </c>
      <c r="AX349" s="57" t="str">
        <f t="shared" si="66"/>
        <v>SEW Boat</v>
      </c>
    </row>
    <row r="350" spans="24:50" ht="16">
      <c r="X350">
        <f t="shared" si="63"/>
        <v>4</v>
      </c>
      <c r="Y350">
        <f t="shared" si="64"/>
        <v>349</v>
      </c>
      <c r="Z350" s="459">
        <v>12</v>
      </c>
      <c r="AA350" s="459" t="s">
        <v>2237</v>
      </c>
      <c r="AB350" s="460">
        <v>38500000</v>
      </c>
      <c r="AC350" s="461">
        <v>100</v>
      </c>
      <c r="AD350">
        <f>IF($N$65="No",-20,1)</f>
        <v>1</v>
      </c>
      <c r="AR350">
        <f>IF($N$79="No",-20,1)</f>
        <v>1</v>
      </c>
      <c r="AU350">
        <f>IF($P$65=0,1,IF(AC350&lt;=$P$65,1,-20))</f>
        <v>1</v>
      </c>
      <c r="AV350">
        <f t="shared" si="62"/>
        <v>1</v>
      </c>
      <c r="AW350" s="57">
        <f t="shared" si="65"/>
        <v>349</v>
      </c>
      <c r="AX350" s="57" t="str">
        <f t="shared" si="66"/>
        <v>Shepherd Picket Boat (JTAS Vol. 5)</v>
      </c>
    </row>
    <row r="351" spans="24:50">
      <c r="X351">
        <f t="shared" si="63"/>
        <v>4</v>
      </c>
      <c r="Y351">
        <f t="shared" si="64"/>
        <v>350</v>
      </c>
      <c r="Z351">
        <v>12</v>
      </c>
      <c r="AA351" t="s">
        <v>2283</v>
      </c>
      <c r="AB351" s="4">
        <v>705000</v>
      </c>
      <c r="AC351" s="493">
        <v>7</v>
      </c>
      <c r="AD351">
        <f>IF($N$62="No",-20,1)</f>
        <v>1</v>
      </c>
      <c r="AR351">
        <f>IF($N$79="No",-20,1)</f>
        <v>1</v>
      </c>
      <c r="AS351">
        <f>IF($P$62=0,1,IF(AC351&lt;=$P$62,1,-20))</f>
        <v>1</v>
      </c>
      <c r="AV351">
        <f t="shared" si="62"/>
        <v>1</v>
      </c>
      <c r="AW351" s="57">
        <f t="shared" si="65"/>
        <v>350</v>
      </c>
      <c r="AX351" s="57" t="str">
        <f t="shared" si="66"/>
        <v>Shimmerlight Luxury Sealed Air/Raft (JTAS Vol. 9)</v>
      </c>
    </row>
    <row r="352" spans="24:50">
      <c r="X352">
        <f t="shared" si="63"/>
        <v>4</v>
      </c>
      <c r="Y352">
        <f t="shared" si="64"/>
        <v>351</v>
      </c>
      <c r="Z352">
        <v>3</v>
      </c>
      <c r="AA352" t="s">
        <v>2290</v>
      </c>
      <c r="AB352" s="4">
        <v>100</v>
      </c>
      <c r="AC352" s="493">
        <v>0.5</v>
      </c>
      <c r="AD352">
        <f>IF($N$62="No",-20,1)</f>
        <v>1</v>
      </c>
      <c r="AR352">
        <f>IF($N$79="No",-20,1)</f>
        <v>1</v>
      </c>
      <c r="AS352">
        <f>IF($P$62=0,1,IF(AC352&lt;=$P$62,1,-20))</f>
        <v>1</v>
      </c>
      <c r="AV352">
        <f t="shared" si="62"/>
        <v>1</v>
      </c>
      <c r="AW352" s="57">
        <f t="shared" si="65"/>
        <v>351</v>
      </c>
      <c r="AX352" s="57" t="str">
        <f t="shared" si="66"/>
        <v>Ship's Bike (JTAS Vol. 14)</v>
      </c>
    </row>
    <row r="353" spans="24:50">
      <c r="X353">
        <f t="shared" si="63"/>
        <v>4</v>
      </c>
      <c r="Y353">
        <f t="shared" si="64"/>
        <v>352</v>
      </c>
      <c r="Z353">
        <v>12</v>
      </c>
      <c r="AA353" t="s">
        <v>1749</v>
      </c>
      <c r="AB353" s="4">
        <v>7092000</v>
      </c>
      <c r="AC353">
        <v>30</v>
      </c>
      <c r="AD353">
        <f>IF($N$63="No",-20,1)</f>
        <v>1</v>
      </c>
      <c r="AI353">
        <f>IF($N$70="No",-20,1)</f>
        <v>1</v>
      </c>
      <c r="AT353">
        <f>IF($P$63=0,1,IF(AC353&lt;=$P$63,1,-20))</f>
        <v>1</v>
      </c>
      <c r="AV353">
        <f t="shared" si="62"/>
        <v>1</v>
      </c>
      <c r="AW353" s="57">
        <f t="shared" si="65"/>
        <v>352</v>
      </c>
      <c r="AX353" s="57" t="str">
        <f t="shared" si="66"/>
        <v>Ship's Boat (Core'22)</v>
      </c>
    </row>
    <row r="354" spans="24:50">
      <c r="X354">
        <f t="shared" si="63"/>
        <v>4</v>
      </c>
      <c r="Y354">
        <f t="shared" si="64"/>
        <v>353</v>
      </c>
      <c r="Z354">
        <v>12</v>
      </c>
      <c r="AA354" t="s">
        <v>2076</v>
      </c>
      <c r="AB354" s="4">
        <v>7580000</v>
      </c>
      <c r="AC354" s="453">
        <v>30</v>
      </c>
      <c r="AD354">
        <f>IF($N$63="No",-20,1)</f>
        <v>1</v>
      </c>
      <c r="AF354">
        <f>IF($N$67="No",-20,1)</f>
        <v>1</v>
      </c>
      <c r="AT354">
        <f>IF($P$63=0,1,IF(AC354&lt;=$P$63,1,-20))</f>
        <v>1</v>
      </c>
      <c r="AV354">
        <f t="shared" si="62"/>
        <v>1</v>
      </c>
      <c r="AW354" s="57">
        <f t="shared" si="65"/>
        <v>353</v>
      </c>
      <c r="AX354" s="57" t="str">
        <f t="shared" si="66"/>
        <v>Ship's Boat (HG'22)</v>
      </c>
    </row>
    <row r="355" spans="24:50">
      <c r="X355">
        <f t="shared" si="63"/>
        <v>4</v>
      </c>
      <c r="Y355">
        <f t="shared" si="64"/>
        <v>354</v>
      </c>
      <c r="Z355">
        <v>5</v>
      </c>
      <c r="AA355" t="s">
        <v>2288</v>
      </c>
      <c r="AB355" s="4">
        <v>3900</v>
      </c>
      <c r="AC355" s="493">
        <v>2</v>
      </c>
      <c r="AD355">
        <f>IF($N$62="No",-20,1)</f>
        <v>1</v>
      </c>
      <c r="AR355">
        <f>IF($N$79="No",-20,1)</f>
        <v>1</v>
      </c>
      <c r="AS355">
        <f>IF($P$62=0,1,IF(AC355&lt;=$P$62,1,-20))</f>
        <v>1</v>
      </c>
      <c r="AV355">
        <f t="shared" si="62"/>
        <v>1</v>
      </c>
      <c r="AW355" s="57">
        <f t="shared" si="65"/>
        <v>354</v>
      </c>
      <c r="AX355" s="57" t="str">
        <f t="shared" si="66"/>
        <v>Ship's Cart (JTAS Vol. 14)</v>
      </c>
    </row>
    <row r="356" spans="24:50">
      <c r="X356">
        <f t="shared" si="63"/>
        <v>4</v>
      </c>
      <c r="Y356">
        <f t="shared" si="64"/>
        <v>355</v>
      </c>
      <c r="Z356">
        <v>10</v>
      </c>
      <c r="AA356" t="s">
        <v>1816</v>
      </c>
      <c r="AB356" s="4">
        <v>8033000</v>
      </c>
      <c r="AC356">
        <v>50</v>
      </c>
      <c r="AD356">
        <f>IF($N$63="No",-20,1)</f>
        <v>1</v>
      </c>
      <c r="AG356">
        <f>IF($N$68="No",-20,1)</f>
        <v>1</v>
      </c>
      <c r="AT356">
        <f>IF($P$63=0,1,IF(AC356&lt;=$P$63,1,-20))</f>
        <v>1</v>
      </c>
      <c r="AV356">
        <f t="shared" si="62"/>
        <v>1</v>
      </c>
      <c r="AW356" s="57">
        <f t="shared" si="65"/>
        <v>355</v>
      </c>
      <c r="AX356" s="57" t="str">
        <f t="shared" si="66"/>
        <v>Ship-To-Ship Shuttle</v>
      </c>
    </row>
    <row r="357" spans="24:50">
      <c r="X357">
        <f t="shared" si="63"/>
        <v>4</v>
      </c>
      <c r="Y357">
        <f t="shared" si="64"/>
        <v>356</v>
      </c>
      <c r="Z357">
        <v>9</v>
      </c>
      <c r="AA357" t="s">
        <v>1798</v>
      </c>
      <c r="AB357" s="4">
        <v>8560000</v>
      </c>
      <c r="AC357">
        <v>60</v>
      </c>
      <c r="AD357">
        <f>IF($N$63="No",-20,1)</f>
        <v>1</v>
      </c>
      <c r="AG357">
        <f>IF($N$68="No",-20,1)</f>
        <v>1</v>
      </c>
      <c r="AT357">
        <f>IF($P$63=0,1,IF(AC357&lt;=$P$63,1,-20))</f>
        <v>1</v>
      </c>
      <c r="AV357">
        <f t="shared" si="62"/>
        <v>1</v>
      </c>
      <c r="AW357" s="57">
        <f t="shared" si="65"/>
        <v>356</v>
      </c>
      <c r="AX357" s="57" t="str">
        <f t="shared" si="66"/>
        <v>Short Shuttle</v>
      </c>
    </row>
    <row r="358" spans="24:50">
      <c r="X358">
        <f t="shared" si="63"/>
        <v>4</v>
      </c>
      <c r="Y358">
        <f t="shared" si="64"/>
        <v>357</v>
      </c>
      <c r="Z358">
        <v>12</v>
      </c>
      <c r="AA358" t="s">
        <v>1752</v>
      </c>
      <c r="AB358" s="4">
        <v>15147000</v>
      </c>
      <c r="AC358">
        <v>95</v>
      </c>
      <c r="AD358">
        <f>IF($N$63="No",-20,1)</f>
        <v>1</v>
      </c>
      <c r="AI358">
        <f>IF($N$70="No",-20,1)</f>
        <v>1</v>
      </c>
      <c r="AT358">
        <f>IF($P$63=0,1,IF(AC358&lt;=$P$63,1,-20))</f>
        <v>1</v>
      </c>
      <c r="AV358">
        <f t="shared" si="62"/>
        <v>1</v>
      </c>
      <c r="AW358" s="57">
        <f t="shared" si="65"/>
        <v>357</v>
      </c>
      <c r="AX358" s="57" t="str">
        <f t="shared" si="66"/>
        <v>Shuttle (Core'22)</v>
      </c>
    </row>
    <row r="359" spans="24:50" ht="16">
      <c r="X359">
        <f t="shared" si="63"/>
        <v>3</v>
      </c>
      <c r="Y359">
        <f t="shared" si="64"/>
        <v>358</v>
      </c>
      <c r="Z359" s="459">
        <v>12</v>
      </c>
      <c r="AA359" s="459" t="s">
        <v>2375</v>
      </c>
      <c r="AB359" s="460">
        <v>87000</v>
      </c>
      <c r="AC359" s="461">
        <v>5</v>
      </c>
      <c r="AD359">
        <f>IF($N$62="No",-20,1)</f>
        <v>1</v>
      </c>
      <c r="AS359">
        <f>IF($P$62=0,1,IF(AC359&lt;=$P$62,1,-20))</f>
        <v>1</v>
      </c>
      <c r="AV359">
        <f t="shared" si="62"/>
        <v>1</v>
      </c>
      <c r="AW359" s="57">
        <f t="shared" si="65"/>
        <v>358</v>
      </c>
      <c r="AX359" s="57" t="str">
        <f t="shared" si="66"/>
        <v>Sir Willard's Pickup (Reach Adventure 7)</v>
      </c>
    </row>
    <row r="360" spans="24:50" ht="16">
      <c r="X360">
        <f t="shared" si="63"/>
        <v>3</v>
      </c>
      <c r="Y360">
        <f t="shared" si="64"/>
        <v>359</v>
      </c>
      <c r="Z360" s="459">
        <v>12</v>
      </c>
      <c r="AA360" s="459" t="s">
        <v>2374</v>
      </c>
      <c r="AB360" s="460">
        <v>100000</v>
      </c>
      <c r="AC360" s="461">
        <v>5</v>
      </c>
      <c r="AD360">
        <f>IF($N$62="No",-20,1)</f>
        <v>1</v>
      </c>
      <c r="AS360">
        <f>IF($P$62=0,1,IF(AC360&lt;=$P$62,1,-20))</f>
        <v>1</v>
      </c>
      <c r="AV360">
        <f t="shared" si="62"/>
        <v>1</v>
      </c>
      <c r="AW360" s="57">
        <f t="shared" si="65"/>
        <v>359</v>
      </c>
      <c r="AX360" s="57" t="str">
        <f t="shared" si="66"/>
        <v>Sir Willard's SUV (Reach Adventure 7)</v>
      </c>
    </row>
    <row r="361" spans="24:50" ht="16">
      <c r="X361">
        <f t="shared" si="63"/>
        <v>3</v>
      </c>
      <c r="Y361">
        <f t="shared" si="64"/>
        <v>360</v>
      </c>
      <c r="Z361" s="459">
        <v>10</v>
      </c>
      <c r="AA361" s="459" t="s">
        <v>2387</v>
      </c>
      <c r="AB361" s="460">
        <v>36000</v>
      </c>
      <c r="AC361" s="461">
        <v>6</v>
      </c>
      <c r="AD361">
        <f>IF($N$62="No",-20,1)</f>
        <v>1</v>
      </c>
      <c r="AS361">
        <f>IF($P$62=0,1,IF(AC361&lt;=$P$62,1,-20))</f>
        <v>1</v>
      </c>
      <c r="AV361">
        <f t="shared" si="62"/>
        <v>1</v>
      </c>
      <c r="AW361" s="57">
        <f t="shared" si="65"/>
        <v>360</v>
      </c>
      <c r="AX361" s="57" t="str">
        <f t="shared" si="66"/>
        <v>Skander SUV and Pickup (Skandervic)</v>
      </c>
    </row>
    <row r="362" spans="24:50" ht="16">
      <c r="X362">
        <f t="shared" si="63"/>
        <v>4</v>
      </c>
      <c r="Y362">
        <f t="shared" si="64"/>
        <v>361</v>
      </c>
      <c r="Z362" s="459">
        <v>15</v>
      </c>
      <c r="AA362" s="459" t="s">
        <v>2047</v>
      </c>
      <c r="AB362" s="460">
        <v>160800</v>
      </c>
      <c r="AC362" s="461">
        <v>4</v>
      </c>
      <c r="AD362">
        <f>IF($N$62="No",-20,1)</f>
        <v>1</v>
      </c>
      <c r="AQ362">
        <f>IF($N$78="No",-20,1)</f>
        <v>1</v>
      </c>
      <c r="AS362">
        <f>IF($P$62=0,1,IF(AC362&lt;=$P$62,1,-20))</f>
        <v>1</v>
      </c>
      <c r="AV362">
        <f t="shared" si="62"/>
        <v>1</v>
      </c>
      <c r="AW362" s="57">
        <f t="shared" si="65"/>
        <v>361</v>
      </c>
      <c r="AX362" s="57" t="str">
        <f t="shared" si="66"/>
        <v>Skerrier (DR:CG)</v>
      </c>
    </row>
    <row r="363" spans="24:50">
      <c r="X363">
        <f t="shared" si="63"/>
        <v>4</v>
      </c>
      <c r="Y363">
        <f t="shared" si="64"/>
        <v>362</v>
      </c>
      <c r="Z363">
        <v>12</v>
      </c>
      <c r="AA363" t="s">
        <v>1750</v>
      </c>
      <c r="AB363" s="4">
        <v>4842000</v>
      </c>
      <c r="AC363">
        <v>30</v>
      </c>
      <c r="AD363">
        <f>IF($N$63="No",-20,1)</f>
        <v>1</v>
      </c>
      <c r="AI363">
        <f>IF($N$70="No",-20,1)</f>
        <v>1</v>
      </c>
      <c r="AT363">
        <f>IF($P$63=0,1,IF(AC363&lt;=$P$63,1,-20))</f>
        <v>1</v>
      </c>
      <c r="AV363">
        <f t="shared" si="62"/>
        <v>1</v>
      </c>
      <c r="AW363" s="57">
        <f t="shared" si="65"/>
        <v>362</v>
      </c>
      <c r="AX363" s="57" t="str">
        <f t="shared" si="66"/>
        <v>Slow Boat (Core'22)</v>
      </c>
    </row>
    <row r="364" spans="24:50">
      <c r="X364">
        <f t="shared" si="63"/>
        <v>4</v>
      </c>
      <c r="Y364">
        <f t="shared" si="64"/>
        <v>363</v>
      </c>
      <c r="Z364">
        <v>12</v>
      </c>
      <c r="AA364" t="s">
        <v>2077</v>
      </c>
      <c r="AB364" s="4">
        <v>5580000</v>
      </c>
      <c r="AC364" s="453">
        <v>30</v>
      </c>
      <c r="AD364">
        <f>IF($N$63="No",-20,1)</f>
        <v>1</v>
      </c>
      <c r="AF364">
        <f>IF($N$67="No",-20,1)</f>
        <v>1</v>
      </c>
      <c r="AT364">
        <f>IF($P$63=0,1,IF(AC364&lt;=$P$63,1,-20))</f>
        <v>1</v>
      </c>
      <c r="AV364">
        <f t="shared" si="62"/>
        <v>1</v>
      </c>
      <c r="AW364" s="57">
        <f t="shared" si="65"/>
        <v>363</v>
      </c>
      <c r="AX364" s="57" t="str">
        <f t="shared" si="66"/>
        <v>Slow Boat (HG'22)</v>
      </c>
    </row>
    <row r="365" spans="24:50">
      <c r="X365">
        <f t="shared" si="63"/>
        <v>4</v>
      </c>
      <c r="Y365">
        <f t="shared" si="64"/>
        <v>364</v>
      </c>
      <c r="Z365">
        <v>12</v>
      </c>
      <c r="AA365" t="s">
        <v>1797</v>
      </c>
      <c r="AB365" s="4">
        <v>5787000</v>
      </c>
      <c r="AC365">
        <v>40</v>
      </c>
      <c r="AD365">
        <f>IF($N$63="No",-20,1)</f>
        <v>1</v>
      </c>
      <c r="AI365">
        <f>IF($N$70="No",-20,1)</f>
        <v>1</v>
      </c>
      <c r="AT365">
        <f>IF($P$63=0,1,IF(AC365&lt;=$P$63,1,-20))</f>
        <v>1</v>
      </c>
      <c r="AV365">
        <f t="shared" si="62"/>
        <v>1</v>
      </c>
      <c r="AW365" s="57">
        <f t="shared" si="65"/>
        <v>364</v>
      </c>
      <c r="AX365" s="57" t="str">
        <f t="shared" si="66"/>
        <v>Slow Pinnace (Core'22)</v>
      </c>
    </row>
    <row r="366" spans="24:50" ht="16">
      <c r="X366">
        <f t="shared" si="63"/>
        <v>3</v>
      </c>
      <c r="Y366">
        <f t="shared" si="64"/>
        <v>365</v>
      </c>
      <c r="Z366" s="459">
        <v>12</v>
      </c>
      <c r="AA366" s="459" t="s">
        <v>2216</v>
      </c>
      <c r="AB366" s="460">
        <v>37560000</v>
      </c>
      <c r="AC366" s="461">
        <v>200</v>
      </c>
      <c r="AD366">
        <f>IF($N$65="No",-20,1)</f>
        <v>1</v>
      </c>
      <c r="AU366">
        <f>IF($P$65=0,1,IF(AC366&lt;=$P$65,1,-20))</f>
        <v>1</v>
      </c>
      <c r="AV366">
        <f t="shared" si="62"/>
        <v>1</v>
      </c>
      <c r="AW366" s="57">
        <f t="shared" si="65"/>
        <v>365</v>
      </c>
      <c r="AX366" s="57" t="str">
        <f t="shared" si="66"/>
        <v>Smallhauler (Great Rift Adventure 3)</v>
      </c>
    </row>
    <row r="367" spans="24:50">
      <c r="X367">
        <f t="shared" si="63"/>
        <v>4</v>
      </c>
      <c r="Y367">
        <f t="shared" si="64"/>
        <v>366</v>
      </c>
      <c r="Z367">
        <v>12</v>
      </c>
      <c r="AA367" t="s">
        <v>1795</v>
      </c>
      <c r="AB367" s="4">
        <v>10400000</v>
      </c>
      <c r="AC367">
        <v>40</v>
      </c>
      <c r="AD367">
        <f>IF($N$63="No",-20,1)</f>
        <v>1</v>
      </c>
      <c r="AG367">
        <f>IF($N$68="No",-20,1)</f>
        <v>1</v>
      </c>
      <c r="AT367">
        <f>IF($P$63=0,1,IF(AC367&lt;=$P$63,1,-20))</f>
        <v>1</v>
      </c>
      <c r="AV367">
        <f t="shared" si="62"/>
        <v>1</v>
      </c>
      <c r="AW367" s="57">
        <f t="shared" si="65"/>
        <v>366</v>
      </c>
      <c r="AX367" s="57" t="str">
        <f t="shared" si="66"/>
        <v>Smuggler's Pinnace</v>
      </c>
    </row>
    <row r="368" spans="24:50" ht="16">
      <c r="X368">
        <f t="shared" si="63"/>
        <v>4</v>
      </c>
      <c r="Y368">
        <f t="shared" si="64"/>
        <v>367</v>
      </c>
      <c r="Z368" s="459">
        <v>12</v>
      </c>
      <c r="AA368" s="459" t="s">
        <v>2060</v>
      </c>
      <c r="AB368" s="460">
        <v>2241900</v>
      </c>
      <c r="AC368" s="461">
        <v>15</v>
      </c>
      <c r="AD368">
        <f>IF($N$62="No",-20,1)</f>
        <v>1</v>
      </c>
      <c r="AQ368">
        <f>IF($N$78="No",-20,1)</f>
        <v>1</v>
      </c>
      <c r="AS368">
        <f>IF($P$62=0,1,IF(AC368&lt;=$P$62,1,-20))</f>
        <v>1</v>
      </c>
      <c r="AV368">
        <f t="shared" si="62"/>
        <v>1</v>
      </c>
      <c r="AW368" s="57">
        <f t="shared" si="65"/>
        <v>367</v>
      </c>
      <c r="AX368" s="57" t="str">
        <f t="shared" si="66"/>
        <v>Solomani FAMAT-12 ATV (DR:V)</v>
      </c>
    </row>
    <row r="369" spans="24:50" ht="16">
      <c r="X369">
        <f t="shared" si="63"/>
        <v>3</v>
      </c>
      <c r="Y369">
        <f t="shared" si="64"/>
        <v>368</v>
      </c>
      <c r="Z369" s="459">
        <v>14</v>
      </c>
      <c r="AA369" s="459" t="s">
        <v>2402</v>
      </c>
      <c r="AB369" s="460">
        <v>7335000</v>
      </c>
      <c r="AC369" s="461">
        <v>20</v>
      </c>
      <c r="AD369">
        <f>IF($N$63="No",-20,1)</f>
        <v>1</v>
      </c>
      <c r="AT369">
        <f>IF($P$63=0,1,IF(AC369&lt;=$P$63,1,-20))</f>
        <v>1</v>
      </c>
      <c r="AV369">
        <f t="shared" si="62"/>
        <v>1</v>
      </c>
      <c r="AW369" s="57">
        <f t="shared" si="65"/>
        <v>368</v>
      </c>
      <c r="AX369" s="57" t="str">
        <f t="shared" si="66"/>
        <v>Solomani Gig (Traders and Gunboats)</v>
      </c>
    </row>
    <row r="370" spans="24:50" ht="16">
      <c r="X370">
        <f t="shared" si="63"/>
        <v>4</v>
      </c>
      <c r="Y370">
        <f t="shared" si="64"/>
        <v>369</v>
      </c>
      <c r="Z370" s="459">
        <v>12</v>
      </c>
      <c r="AA370" s="459" t="s">
        <v>2061</v>
      </c>
      <c r="AB370" s="460">
        <v>631750</v>
      </c>
      <c r="AC370" s="461">
        <v>3</v>
      </c>
      <c r="AD370">
        <f>IF($N$62="No",-20,1)</f>
        <v>1</v>
      </c>
      <c r="AQ370">
        <f>IF($N$78="No",-20,1)</f>
        <v>1</v>
      </c>
      <c r="AS370">
        <f>IF($P$62=0,1,IF(AC370&lt;=$P$62,1,-20))</f>
        <v>1</v>
      </c>
      <c r="AV370">
        <f t="shared" si="62"/>
        <v>1</v>
      </c>
      <c r="AW370" s="57">
        <f t="shared" si="65"/>
        <v>369</v>
      </c>
      <c r="AX370" s="57" t="str">
        <f t="shared" si="66"/>
        <v>Solomani Outrider Grav Platform (DR:V)</v>
      </c>
    </row>
    <row r="371" spans="24:50">
      <c r="X371">
        <f t="shared" si="63"/>
        <v>4</v>
      </c>
      <c r="Y371">
        <f t="shared" si="64"/>
        <v>370</v>
      </c>
      <c r="Z371">
        <v>12</v>
      </c>
      <c r="AA371" t="s">
        <v>1911</v>
      </c>
      <c r="AB371" s="4">
        <v>344490000</v>
      </c>
      <c r="AC371" s="453">
        <v>600</v>
      </c>
      <c r="AD371">
        <f>IF($N$65="No",-20,1)</f>
        <v>1</v>
      </c>
      <c r="AK371">
        <f>IF($N$72="No",-20,1)</f>
        <v>1</v>
      </c>
      <c r="AU371">
        <f>IF($P$65=0,1,IF(AC371&lt;=$P$65,1,-20))</f>
        <v>1</v>
      </c>
      <c r="AV371">
        <f t="shared" si="62"/>
        <v>1</v>
      </c>
      <c r="AW371" s="57">
        <f t="shared" si="65"/>
        <v>370</v>
      </c>
      <c r="AX371" s="57" t="str">
        <f t="shared" si="66"/>
        <v>Solomani Saxby-Class System Defense Boat</v>
      </c>
    </row>
    <row r="372" spans="24:50">
      <c r="X372">
        <f t="shared" si="63"/>
        <v>4</v>
      </c>
      <c r="Y372">
        <f t="shared" si="64"/>
        <v>371</v>
      </c>
      <c r="Z372">
        <v>14</v>
      </c>
      <c r="AA372" t="s">
        <v>1908</v>
      </c>
      <c r="AB372" s="4">
        <v>9790000</v>
      </c>
      <c r="AC372" s="453">
        <v>25</v>
      </c>
      <c r="AD372">
        <f>IF($N$63="No",-20,1)</f>
        <v>1</v>
      </c>
      <c r="AK372">
        <f>IF($N$72="No",-20,1)</f>
        <v>1</v>
      </c>
      <c r="AT372">
        <f>IF($P$63=0,1,IF(AC372&lt;=$P$63,1,-20))</f>
        <v>1</v>
      </c>
      <c r="AV372">
        <f t="shared" si="62"/>
        <v>1</v>
      </c>
      <c r="AW372" s="57">
        <f t="shared" si="65"/>
        <v>371</v>
      </c>
      <c r="AX372" s="57" t="str">
        <f t="shared" si="66"/>
        <v xml:space="preserve">Solomani UB-25-Class Small Utility Boat </v>
      </c>
    </row>
    <row r="373" spans="24:50">
      <c r="X373">
        <f t="shared" si="63"/>
        <v>4</v>
      </c>
      <c r="Y373">
        <f t="shared" si="64"/>
        <v>372</v>
      </c>
      <c r="Z373">
        <v>14</v>
      </c>
      <c r="AA373" t="s">
        <v>1909</v>
      </c>
      <c r="AB373" s="4">
        <v>20380000</v>
      </c>
      <c r="AC373" s="453">
        <v>75</v>
      </c>
      <c r="AD373">
        <f>IF($N$63="No",-20,1)</f>
        <v>1</v>
      </c>
      <c r="AK373">
        <f>IF($N$72="No",-20,1)</f>
        <v>1</v>
      </c>
      <c r="AT373">
        <f>IF($P$63=0,1,IF(AC373&lt;=$P$63,1,-20))</f>
        <v>1</v>
      </c>
      <c r="AV373">
        <f t="shared" si="62"/>
        <v>1</v>
      </c>
      <c r="AW373" s="57">
        <f t="shared" si="65"/>
        <v>372</v>
      </c>
      <c r="AX373" s="57" t="str">
        <f t="shared" si="66"/>
        <v>Solomani UB-75-Class Large Utility Boat</v>
      </c>
    </row>
    <row r="374" spans="24:50">
      <c r="X374">
        <f t="shared" si="63"/>
        <v>4</v>
      </c>
      <c r="Y374">
        <f t="shared" si="64"/>
        <v>373</v>
      </c>
      <c r="Z374">
        <v>12</v>
      </c>
      <c r="AA374" t="s">
        <v>1910</v>
      </c>
      <c r="AB374" s="4">
        <v>51575000</v>
      </c>
      <c r="AC374" s="453">
        <v>100</v>
      </c>
      <c r="AD374">
        <f>IF($N$65="No",-20,1)</f>
        <v>1</v>
      </c>
      <c r="AK374">
        <f>IF($N$72="No",-20,1)</f>
        <v>1</v>
      </c>
      <c r="AU374">
        <f>IF($P$65=0,1,IF(AC374&lt;=$P$65,1,-20))</f>
        <v>1</v>
      </c>
      <c r="AV374">
        <f t="shared" si="62"/>
        <v>1</v>
      </c>
      <c r="AW374" s="57">
        <f t="shared" si="65"/>
        <v>373</v>
      </c>
      <c r="AX374" s="57" t="str">
        <f t="shared" si="66"/>
        <v xml:space="preserve">Solomani USC-3A-Class Small Packet Boat </v>
      </c>
    </row>
    <row r="375" spans="24:50">
      <c r="X375">
        <f t="shared" si="63"/>
        <v>4</v>
      </c>
      <c r="Y375">
        <f t="shared" si="64"/>
        <v>374</v>
      </c>
      <c r="Z375">
        <v>12</v>
      </c>
      <c r="AA375" t="s">
        <v>1829</v>
      </c>
      <c r="AB375" s="4">
        <v>15355000</v>
      </c>
      <c r="AC375">
        <v>10</v>
      </c>
      <c r="AD375">
        <f>IF($N$63="No",-20,1)</f>
        <v>1</v>
      </c>
      <c r="AG375">
        <f>IF($N$68="No",-20,1)</f>
        <v>1</v>
      </c>
      <c r="AT375">
        <f>IF($P$63=0,1,IF(AC375&lt;=$P$63,1,-20))</f>
        <v>1</v>
      </c>
      <c r="AV375">
        <f t="shared" si="62"/>
        <v>1</v>
      </c>
      <c r="AW375" s="57">
        <f t="shared" si="65"/>
        <v>374</v>
      </c>
      <c r="AX375" s="57" t="str">
        <f t="shared" si="66"/>
        <v>Space Surveillance Boat</v>
      </c>
    </row>
    <row r="376" spans="24:50">
      <c r="X376">
        <f t="shared" si="63"/>
        <v>4</v>
      </c>
      <c r="Y376">
        <f t="shared" si="64"/>
        <v>375</v>
      </c>
      <c r="Z376">
        <v>10</v>
      </c>
      <c r="AA376" t="s">
        <v>2300</v>
      </c>
      <c r="AB376" s="4">
        <v>599350</v>
      </c>
      <c r="AC376" s="493">
        <v>2.5</v>
      </c>
      <c r="AD376">
        <f>IF($N$62="No",-20,1)</f>
        <v>1</v>
      </c>
      <c r="AR376">
        <f>IF($N$79="No",-20,1)</f>
        <v>1</v>
      </c>
      <c r="AS376">
        <f>IF($P$62=0,1,IF(AC376&lt;=$P$62,1,-20))</f>
        <v>1</v>
      </c>
      <c r="AV376">
        <f t="shared" si="62"/>
        <v>1</v>
      </c>
      <c r="AW376" s="57">
        <f t="shared" si="65"/>
        <v>375</v>
      </c>
      <c r="AX376" s="57" t="str">
        <f t="shared" si="66"/>
        <v>Speeder w/Fusion+ (JTAS Vol. 15)</v>
      </c>
    </row>
    <row r="377" spans="24:50" ht="16">
      <c r="X377">
        <f t="shared" si="63"/>
        <v>3</v>
      </c>
      <c r="Y377">
        <f t="shared" si="64"/>
        <v>376</v>
      </c>
      <c r="Z377" s="459">
        <v>7</v>
      </c>
      <c r="AA377" s="459" t="s">
        <v>2110</v>
      </c>
      <c r="AB377" s="460">
        <v>200000</v>
      </c>
      <c r="AC377" s="461">
        <v>7</v>
      </c>
      <c r="AD377">
        <f>IF($N$63="No",-20,1)</f>
        <v>1</v>
      </c>
      <c r="AT377">
        <f>IF($P$63=0,1,IF(AC377&lt;=$P$63,1,-20))</f>
        <v>1</v>
      </c>
      <c r="AV377">
        <f t="shared" si="62"/>
        <v>1</v>
      </c>
      <c r="AW377" s="57">
        <f t="shared" si="65"/>
        <v>376</v>
      </c>
      <c r="AX377" s="57" t="str">
        <f t="shared" si="66"/>
        <v>Sperle Searcher (DC)</v>
      </c>
    </row>
    <row r="378" spans="24:50" ht="16">
      <c r="X378">
        <f t="shared" si="63"/>
        <v>4</v>
      </c>
      <c r="Y378">
        <f t="shared" si="64"/>
        <v>377</v>
      </c>
      <c r="Z378" s="459">
        <v>10</v>
      </c>
      <c r="AA378" s="459" t="s">
        <v>2235</v>
      </c>
      <c r="AB378" s="460">
        <v>169000</v>
      </c>
      <c r="AC378" s="461">
        <v>6</v>
      </c>
      <c r="AD378">
        <f>IF($N$62="No",-20,1)</f>
        <v>1</v>
      </c>
      <c r="AR378">
        <f>IF($N$79="No",-20,1)</f>
        <v>1</v>
      </c>
      <c r="AS378">
        <f>IF($P$62=0,1,IF(AC378&lt;=$P$62,1,-20))</f>
        <v>1</v>
      </c>
      <c r="AV378">
        <f t="shared" si="62"/>
        <v>1</v>
      </c>
      <c r="AW378" s="57">
        <f t="shared" si="65"/>
        <v>377</v>
      </c>
      <c r="AX378" s="57" t="str">
        <f t="shared" si="66"/>
        <v>Splorabug (JTAS Vol. 4)</v>
      </c>
    </row>
    <row r="379" spans="24:50">
      <c r="X379">
        <f t="shared" si="63"/>
        <v>3</v>
      </c>
      <c r="Y379">
        <f t="shared" si="64"/>
        <v>378</v>
      </c>
      <c r="Z379">
        <v>9</v>
      </c>
      <c r="AA379" t="s">
        <v>2174</v>
      </c>
      <c r="AB379" s="4">
        <v>5421000</v>
      </c>
      <c r="AC379" s="493">
        <v>30</v>
      </c>
      <c r="AD379">
        <f>IF($N$62="No",-20,1)</f>
        <v>1</v>
      </c>
      <c r="AS379">
        <f>IF($P$62=0,1,IF(AC379&lt;=$P$62,1,-20))</f>
        <v>1</v>
      </c>
      <c r="AV379">
        <f t="shared" si="62"/>
        <v>1</v>
      </c>
      <c r="AW379" s="57">
        <f t="shared" si="65"/>
        <v>378</v>
      </c>
      <c r="AX379" s="57" t="str">
        <f t="shared" si="66"/>
        <v>S-Series Grav Transport (Field Catalogue)</v>
      </c>
    </row>
    <row r="380" spans="24:50" ht="16">
      <c r="X380">
        <f t="shared" si="63"/>
        <v>4</v>
      </c>
      <c r="Y380">
        <f t="shared" si="64"/>
        <v>379</v>
      </c>
      <c r="Z380" s="459">
        <v>12</v>
      </c>
      <c r="AA380" s="459" t="s">
        <v>2318</v>
      </c>
      <c r="AB380" s="460">
        <v>155000</v>
      </c>
      <c r="AC380" s="461">
        <v>10</v>
      </c>
      <c r="AD380">
        <f>IF($N$62="No",-20,1)</f>
        <v>1</v>
      </c>
      <c r="AR380">
        <f>IF($N$79="No",-20,1)</f>
        <v>1</v>
      </c>
      <c r="AS380">
        <f>IF($P$62=0,1,IF(AC380&lt;=$P$62,1,-20))</f>
        <v>1</v>
      </c>
      <c r="AV380">
        <f t="shared" si="62"/>
        <v>1</v>
      </c>
      <c r="AW380" s="57">
        <f t="shared" si="65"/>
        <v>379</v>
      </c>
      <c r="AX380" s="57" t="str">
        <f t="shared" si="66"/>
        <v>Standard Eight-Wheel ATV (JTAS Vol. 1)</v>
      </c>
    </row>
    <row r="381" spans="24:50">
      <c r="X381">
        <f t="shared" si="63"/>
        <v>4</v>
      </c>
      <c r="Y381">
        <f t="shared" si="64"/>
        <v>380</v>
      </c>
      <c r="Z381">
        <v>12</v>
      </c>
      <c r="AA381" t="s">
        <v>2284</v>
      </c>
      <c r="AB381" s="4">
        <v>24480000</v>
      </c>
      <c r="AC381" s="493">
        <v>40</v>
      </c>
      <c r="AD381">
        <f>IF($N$63="No",-20,1)</f>
        <v>1</v>
      </c>
      <c r="AR381">
        <f>IF($N$79="No",-20,1)</f>
        <v>1</v>
      </c>
      <c r="AT381">
        <f>IF($P$63=0,1,IF(AC381&lt;=$P$63,1,-20))</f>
        <v>1</v>
      </c>
      <c r="AV381">
        <f t="shared" si="62"/>
        <v>1</v>
      </c>
      <c r="AW381" s="57">
        <f t="shared" si="65"/>
        <v>380</v>
      </c>
      <c r="AX381" s="57" t="str">
        <f t="shared" si="66"/>
        <v>Star Angel Ambulance Pinnace (JTAS Vol. 13)</v>
      </c>
    </row>
    <row r="382" spans="24:50">
      <c r="X382">
        <f t="shared" si="63"/>
        <v>4</v>
      </c>
      <c r="Y382">
        <f t="shared" si="64"/>
        <v>381</v>
      </c>
      <c r="Z382">
        <v>11</v>
      </c>
      <c r="AA382" t="s">
        <v>1979</v>
      </c>
      <c r="AB382" s="4">
        <v>122700</v>
      </c>
      <c r="AC382" s="453">
        <v>1</v>
      </c>
      <c r="AD382">
        <f>IF($N$62="No",-20,1)</f>
        <v>1</v>
      </c>
      <c r="AO382">
        <f>IF($N$76="No",-20,1)</f>
        <v>1</v>
      </c>
      <c r="AS382">
        <f>IF($P$62=0,1,IF(AC382&lt;=$P$62,1,-20))</f>
        <v>1</v>
      </c>
      <c r="AV382">
        <f t="shared" si="62"/>
        <v>1</v>
      </c>
      <c r="AW382" s="57">
        <f t="shared" si="65"/>
        <v>381</v>
      </c>
      <c r="AX382" s="57" t="str">
        <f t="shared" si="66"/>
        <v>Stealth G/Bike</v>
      </c>
    </row>
    <row r="383" spans="24:50" ht="16">
      <c r="X383">
        <f t="shared" si="63"/>
        <v>4</v>
      </c>
      <c r="Y383">
        <f t="shared" si="64"/>
        <v>382</v>
      </c>
      <c r="Z383" s="459">
        <v>15</v>
      </c>
      <c r="AA383" s="459" t="s">
        <v>2248</v>
      </c>
      <c r="AB383" s="460">
        <v>683850000</v>
      </c>
      <c r="AC383" s="461">
        <v>500</v>
      </c>
      <c r="AD383">
        <f>IF($N$65="No",-20,1)</f>
        <v>1</v>
      </c>
      <c r="AR383">
        <f>IF($N$79="No",-20,1)</f>
        <v>1</v>
      </c>
      <c r="AU383">
        <f>IF($P$65=0,1,IF(AC383&lt;=$P$65,1,-20))</f>
        <v>1</v>
      </c>
      <c r="AV383">
        <f t="shared" si="62"/>
        <v>1</v>
      </c>
      <c r="AW383" s="57">
        <f t="shared" si="65"/>
        <v>382</v>
      </c>
      <c r="AX383" s="57" t="str">
        <f t="shared" si="66"/>
        <v>Steppehauler-Class Carrier Module (JTAS Vol. 6)</v>
      </c>
    </row>
    <row r="384" spans="24:50" ht="16">
      <c r="X384">
        <f t="shared" si="63"/>
        <v>4</v>
      </c>
      <c r="Y384">
        <f t="shared" si="64"/>
        <v>383</v>
      </c>
      <c r="Z384" s="459">
        <v>7</v>
      </c>
      <c r="AA384" s="459" t="s">
        <v>2245</v>
      </c>
      <c r="AB384" s="460">
        <v>25000000</v>
      </c>
      <c r="AC384" s="461">
        <v>500</v>
      </c>
      <c r="AD384">
        <f>IF($N$65="No",-20,1)</f>
        <v>1</v>
      </c>
      <c r="AR384">
        <f>IF($N$79="No",-20,1)</f>
        <v>1</v>
      </c>
      <c r="AU384">
        <f>IF($P$65=0,1,IF(AC384&lt;=$P$65,1,-20))</f>
        <v>1</v>
      </c>
      <c r="AV384">
        <f t="shared" si="62"/>
        <v>1</v>
      </c>
      <c r="AW384" s="57">
        <f t="shared" si="65"/>
        <v>383</v>
      </c>
      <c r="AX384" s="57" t="str">
        <f t="shared" si="66"/>
        <v>Steppehauler-Class Default Module (JTAS Vol. 6)</v>
      </c>
    </row>
    <row r="385" spans="24:50" ht="16">
      <c r="X385">
        <f t="shared" si="63"/>
        <v>4</v>
      </c>
      <c r="Y385">
        <f t="shared" si="64"/>
        <v>384</v>
      </c>
      <c r="Z385" s="459">
        <v>13</v>
      </c>
      <c r="AA385" s="459" t="s">
        <v>2246</v>
      </c>
      <c r="AB385" s="460">
        <v>261900000</v>
      </c>
      <c r="AC385" s="461">
        <v>500</v>
      </c>
      <c r="AD385">
        <f>IF($N$65="No",-20,1)</f>
        <v>1</v>
      </c>
      <c r="AR385">
        <f>IF($N$79="No",-20,1)</f>
        <v>1</v>
      </c>
      <c r="AU385">
        <f>IF($P$65=0,1,IF(AC385&lt;=$P$65,1,-20))</f>
        <v>1</v>
      </c>
      <c r="AV385">
        <f t="shared" si="62"/>
        <v>1</v>
      </c>
      <c r="AW385" s="57">
        <f t="shared" si="65"/>
        <v>384</v>
      </c>
      <c r="AX385" s="57" t="str">
        <f t="shared" si="66"/>
        <v>Steppehauler-Class Downport Module (JTAS Vol. 6)</v>
      </c>
    </row>
    <row r="386" spans="24:50" ht="16">
      <c r="X386">
        <f t="shared" si="63"/>
        <v>4</v>
      </c>
      <c r="Y386">
        <f t="shared" si="64"/>
        <v>385</v>
      </c>
      <c r="Z386" s="459">
        <v>15</v>
      </c>
      <c r="AA386" s="459" t="s">
        <v>2247</v>
      </c>
      <c r="AB386" s="460">
        <v>84400000</v>
      </c>
      <c r="AC386" s="461">
        <v>500</v>
      </c>
      <c r="AD386">
        <f>IF($N$65="No",-20,1)</f>
        <v>1</v>
      </c>
      <c r="AR386">
        <f>IF($N$79="No",-20,1)</f>
        <v>1</v>
      </c>
      <c r="AU386">
        <f>IF($P$65=0,1,IF(AC386&lt;=$P$65,1,-20))</f>
        <v>1</v>
      </c>
      <c r="AV386">
        <f t="shared" si="62"/>
        <v>1</v>
      </c>
      <c r="AW386" s="57">
        <f t="shared" si="65"/>
        <v>385</v>
      </c>
      <c r="AX386" s="57" t="str">
        <f t="shared" si="66"/>
        <v>Steppehauler-Class Low Berth Module (JTAS Vol. 6)</v>
      </c>
    </row>
    <row r="387" spans="24:50" ht="16">
      <c r="X387">
        <f t="shared" si="63"/>
        <v>4</v>
      </c>
      <c r="Y387">
        <f t="shared" si="64"/>
        <v>386</v>
      </c>
      <c r="Z387" s="459">
        <v>14</v>
      </c>
      <c r="AA387" s="459" t="s">
        <v>2249</v>
      </c>
      <c r="AB387" s="460">
        <v>120000000</v>
      </c>
      <c r="AC387" s="461">
        <v>500</v>
      </c>
      <c r="AD387">
        <f>IF($N$65="No",-20,1)</f>
        <v>1</v>
      </c>
      <c r="AR387">
        <f>IF($N$79="No",-20,1)</f>
        <v>1</v>
      </c>
      <c r="AU387">
        <f>IF($P$65=0,1,IF(AC387&lt;=$P$65,1,-20))</f>
        <v>1</v>
      </c>
      <c r="AV387">
        <f t="shared" ref="AV387:AV450" si="67">IF($N$61="Yes",1,IF(Z387&gt;TL,-20,1))</f>
        <v>1</v>
      </c>
      <c r="AW387" s="57">
        <f t="shared" si="65"/>
        <v>386</v>
      </c>
      <c r="AX387" s="57" t="str">
        <f t="shared" si="66"/>
        <v>Steppehauler-Class Torpedo Module (JTAS Vol. 6)</v>
      </c>
    </row>
    <row r="388" spans="24:50">
      <c r="X388">
        <f t="shared" ref="X388:X427" si="68">SUM(AD388:AV388)</f>
        <v>4</v>
      </c>
      <c r="Y388">
        <f t="shared" ref="Y388:Y427" si="69">IF(X388&gt;0,Y387+1,Y387)</f>
        <v>387</v>
      </c>
      <c r="Z388">
        <v>15</v>
      </c>
      <c r="AA388" t="s">
        <v>1835</v>
      </c>
      <c r="AB388" s="4">
        <v>51175000</v>
      </c>
      <c r="AC388">
        <v>40</v>
      </c>
      <c r="AD388">
        <f>IF($N$63="No",-20,1)</f>
        <v>1</v>
      </c>
      <c r="AG388">
        <f>IF($N$68="No",-20,1)</f>
        <v>1</v>
      </c>
      <c r="AT388">
        <f>IF($P$63=0,1,IF(AC388&lt;=$P$63,1,-20))</f>
        <v>1</v>
      </c>
      <c r="AV388">
        <f t="shared" si="67"/>
        <v>1</v>
      </c>
      <c r="AW388" s="57">
        <f t="shared" ref="AW388:AW451" si="70">AW387+1</f>
        <v>387</v>
      </c>
      <c r="AX388" s="57" t="str">
        <f t="shared" ref="AX388:AX451" si="71">IF(AW388&gt;$AW$1,"",INDEX($Y$2:$AA$482,MATCH(AW388,$Y$2:$Y$482,0),3))</f>
        <v>Strike Boat</v>
      </c>
    </row>
    <row r="389" spans="24:50">
      <c r="X389">
        <f t="shared" si="68"/>
        <v>5</v>
      </c>
      <c r="Y389">
        <f t="shared" si="69"/>
        <v>388</v>
      </c>
      <c r="Z389">
        <v>10</v>
      </c>
      <c r="AA389" t="s">
        <v>2027</v>
      </c>
      <c r="AB389" s="4">
        <v>13600000</v>
      </c>
      <c r="AC389" s="453">
        <v>35</v>
      </c>
      <c r="AD389">
        <f>IF($N$63="No",-20,1)</f>
        <v>1</v>
      </c>
      <c r="AE389">
        <f>IF($N$64="No",-20,1)</f>
        <v>1</v>
      </c>
      <c r="AP389">
        <f>IF($N$77="No",-20,1)</f>
        <v>1</v>
      </c>
      <c r="AT389">
        <f>IF($P$63=0,1,IF(AC389&lt;=$P$63,1,-20))</f>
        <v>1</v>
      </c>
      <c r="AV389">
        <f t="shared" si="67"/>
        <v>1</v>
      </c>
      <c r="AW389" s="57">
        <f t="shared" si="70"/>
        <v>388</v>
      </c>
      <c r="AX389" s="57" t="str">
        <f t="shared" si="71"/>
        <v>Sua Kai Heavy Fighter</v>
      </c>
    </row>
    <row r="390" spans="24:50">
      <c r="X390">
        <f t="shared" si="68"/>
        <v>4</v>
      </c>
      <c r="Y390">
        <f t="shared" si="69"/>
        <v>389</v>
      </c>
      <c r="Z390">
        <v>12</v>
      </c>
      <c r="AA390" t="s">
        <v>1980</v>
      </c>
      <c r="AB390" s="4">
        <v>1620000</v>
      </c>
      <c r="AC390" s="453">
        <v>7.5</v>
      </c>
      <c r="AD390">
        <f>IF($N$62="No",-20,1)</f>
        <v>1</v>
      </c>
      <c r="AO390">
        <f>IF($N$76="No",-20,1)</f>
        <v>1</v>
      </c>
      <c r="AS390">
        <f>IF($P$62=0,1,IF(AC390&lt;=$P$62,1,-20))</f>
        <v>1</v>
      </c>
      <c r="AV390">
        <f t="shared" si="67"/>
        <v>1</v>
      </c>
      <c r="AW390" s="57">
        <f t="shared" si="70"/>
        <v>389</v>
      </c>
      <c r="AX390" s="57" t="str">
        <f t="shared" si="71"/>
        <v>Submersible Command Hub</v>
      </c>
    </row>
    <row r="391" spans="24:50">
      <c r="X391">
        <f t="shared" si="68"/>
        <v>4</v>
      </c>
      <c r="Y391">
        <f t="shared" si="69"/>
        <v>390</v>
      </c>
      <c r="Z391">
        <v>13</v>
      </c>
      <c r="AA391" t="s">
        <v>1946</v>
      </c>
      <c r="AB391" s="4">
        <v>59175000</v>
      </c>
      <c r="AC391" s="453">
        <v>100</v>
      </c>
      <c r="AD391">
        <f>IF($N$65="No",-20,1)</f>
        <v>1</v>
      </c>
      <c r="AM391">
        <f>IF($N$74="No",-20,1)</f>
        <v>1</v>
      </c>
      <c r="AU391">
        <f>IF($P$65=0,1,IF(AC391&lt;=$P$65,1,-20))</f>
        <v>1</v>
      </c>
      <c r="AV391">
        <f t="shared" si="67"/>
        <v>1</v>
      </c>
      <c r="AW391" s="57">
        <f t="shared" si="70"/>
        <v>390</v>
      </c>
      <c r="AX391" s="57" t="str">
        <f t="shared" si="71"/>
        <v>Suerrat RCPO Courier</v>
      </c>
    </row>
    <row r="392" spans="24:50" ht="16">
      <c r="X392">
        <f t="shared" si="68"/>
        <v>3</v>
      </c>
      <c r="Y392">
        <f t="shared" si="69"/>
        <v>391</v>
      </c>
      <c r="Z392" s="459">
        <v>12</v>
      </c>
      <c r="AA392" s="459" t="s">
        <v>2362</v>
      </c>
      <c r="AB392" s="460">
        <v>142920000</v>
      </c>
      <c r="AC392" s="461">
        <v>100</v>
      </c>
      <c r="AD392">
        <f>IF($N$65="No",-20,1)</f>
        <v>1</v>
      </c>
      <c r="AU392">
        <f>IF($P$65=0,1,IF(AC392&lt;=$P$65,1,-20))</f>
        <v>1</v>
      </c>
      <c r="AV392">
        <f t="shared" si="67"/>
        <v>1</v>
      </c>
      <c r="AW392" s="57">
        <f t="shared" si="70"/>
        <v>391</v>
      </c>
      <c r="AX392" s="57" t="str">
        <f t="shared" si="71"/>
        <v>SuSag Stealth Courier (Naval Adventure 4)</v>
      </c>
    </row>
    <row r="393" spans="24:50" ht="16">
      <c r="X393">
        <f t="shared" si="68"/>
        <v>3</v>
      </c>
      <c r="Y393">
        <f t="shared" si="69"/>
        <v>392</v>
      </c>
      <c r="Z393" s="459">
        <v>10</v>
      </c>
      <c r="AA393" s="459" t="s">
        <v>2312</v>
      </c>
      <c r="AB393" s="460">
        <v>2300000</v>
      </c>
      <c r="AC393" s="461">
        <v>15</v>
      </c>
      <c r="AD393">
        <f>IF($N$62="No",-20,1)</f>
        <v>1</v>
      </c>
      <c r="AS393">
        <f>IF($P$62=0,1,IF(AC393&lt;=$P$62,1,-20))</f>
        <v>1</v>
      </c>
      <c r="AV393">
        <f t="shared" si="67"/>
        <v>1</v>
      </c>
      <c r="AW393" s="57">
        <f t="shared" si="70"/>
        <v>392</v>
      </c>
      <c r="AX393" s="57" t="str">
        <f t="shared" si="71"/>
        <v>Sword Worlds ATV (Marches Adventure 2)</v>
      </c>
    </row>
    <row r="394" spans="24:50">
      <c r="X394">
        <f t="shared" si="68"/>
        <v>5</v>
      </c>
      <c r="Y394">
        <f t="shared" si="69"/>
        <v>393</v>
      </c>
      <c r="Z394">
        <v>9</v>
      </c>
      <c r="AA394" t="s">
        <v>1994</v>
      </c>
      <c r="AB394" s="4">
        <v>7641000</v>
      </c>
      <c r="AC394" s="453">
        <v>40</v>
      </c>
      <c r="AD394">
        <f>IF($N$63="No",-20,1)</f>
        <v>1</v>
      </c>
      <c r="AE394">
        <f>IF($N$64="No",-20,1)</f>
        <v>1</v>
      </c>
      <c r="AG394">
        <f>IF($N$68="No",-20,1)</f>
        <v>1</v>
      </c>
      <c r="AT394">
        <f>IF($P$63=0,1,IF(AC394&lt;=$P$63,1,-20))</f>
        <v>1</v>
      </c>
      <c r="AV394">
        <f t="shared" si="67"/>
        <v>1</v>
      </c>
      <c r="AW394" s="57">
        <f t="shared" si="70"/>
        <v>393</v>
      </c>
      <c r="AX394" s="57" t="str">
        <f t="shared" si="71"/>
        <v>Sword Worlds Baldr Attack Fighter</v>
      </c>
    </row>
    <row r="395" spans="24:50">
      <c r="X395">
        <f t="shared" si="68"/>
        <v>4</v>
      </c>
      <c r="Y395">
        <f t="shared" si="69"/>
        <v>394</v>
      </c>
      <c r="Z395">
        <v>12</v>
      </c>
      <c r="AA395" t="s">
        <v>1993</v>
      </c>
      <c r="AB395" s="4">
        <v>9010000</v>
      </c>
      <c r="AC395" s="453">
        <v>30</v>
      </c>
      <c r="AD395">
        <f>IF($N$63="No",-20,1)</f>
        <v>1</v>
      </c>
      <c r="AG395">
        <f>IF($N$68="No",-20,1)</f>
        <v>1</v>
      </c>
      <c r="AT395">
        <f>IF($P$63=0,1,IF(AC395&lt;=$P$63,1,-20))</f>
        <v>1</v>
      </c>
      <c r="AV395">
        <f t="shared" si="67"/>
        <v>1</v>
      </c>
      <c r="AW395" s="57">
        <f t="shared" si="70"/>
        <v>394</v>
      </c>
      <c r="AX395" s="57" t="str">
        <f t="shared" si="71"/>
        <v>Sword Worlds Ship's Boat</v>
      </c>
    </row>
    <row r="396" spans="24:50">
      <c r="X396">
        <f t="shared" si="68"/>
        <v>4</v>
      </c>
      <c r="Y396">
        <f t="shared" si="69"/>
        <v>395</v>
      </c>
      <c r="Z396">
        <v>12</v>
      </c>
      <c r="AA396" t="s">
        <v>2032</v>
      </c>
      <c r="AB396" s="4">
        <v>13975000</v>
      </c>
      <c r="AC396" s="453">
        <v>20</v>
      </c>
      <c r="AD396">
        <f>IF($N$63="No",-20,1)</f>
        <v>1</v>
      </c>
      <c r="AE396">
        <f>IF($N$64="No",-20,1)</f>
        <v>1</v>
      </c>
      <c r="AT396">
        <f>IF($P$63=0,1,IF(AC396&lt;=$P$63,1,-20))</f>
        <v>1</v>
      </c>
      <c r="AV396">
        <f t="shared" si="67"/>
        <v>1</v>
      </c>
      <c r="AW396" s="57">
        <f t="shared" si="70"/>
        <v>395</v>
      </c>
      <c r="AX396" s="57" t="str">
        <f t="shared" si="71"/>
        <v>Sword Worlds Turunmaa Fighter</v>
      </c>
    </row>
    <row r="397" spans="24:50">
      <c r="X397">
        <f t="shared" si="68"/>
        <v>5</v>
      </c>
      <c r="Y397">
        <f t="shared" si="69"/>
        <v>396</v>
      </c>
      <c r="Z397">
        <v>12</v>
      </c>
      <c r="AA397" t="s">
        <v>1995</v>
      </c>
      <c r="AB397" s="4">
        <v>44510000</v>
      </c>
      <c r="AC397" s="453">
        <v>70</v>
      </c>
      <c r="AD397">
        <f>IF($N$63="No",-20,1)</f>
        <v>1</v>
      </c>
      <c r="AE397">
        <f>IF($N$64="No",-20,1)</f>
        <v>1</v>
      </c>
      <c r="AG397">
        <f>IF($N$68="No",-20,1)</f>
        <v>1</v>
      </c>
      <c r="AT397">
        <f>IF($P$63=0,1,IF(AC397&lt;=$P$63,1,-20))</f>
        <v>1</v>
      </c>
      <c r="AV397">
        <f t="shared" si="67"/>
        <v>1</v>
      </c>
      <c r="AW397" s="57">
        <f t="shared" si="70"/>
        <v>396</v>
      </c>
      <c r="AX397" s="57" t="str">
        <f t="shared" si="71"/>
        <v>Sword Worlds Vanguard Fusion Boat</v>
      </c>
    </row>
    <row r="398" spans="24:50">
      <c r="X398">
        <f t="shared" si="68"/>
        <v>5</v>
      </c>
      <c r="Y398">
        <f t="shared" si="69"/>
        <v>397</v>
      </c>
      <c r="Z398">
        <v>12</v>
      </c>
      <c r="AA398" t="s">
        <v>1996</v>
      </c>
      <c r="AB398" s="4">
        <v>37390000</v>
      </c>
      <c r="AC398" s="453">
        <v>70</v>
      </c>
      <c r="AD398">
        <f>IF($N$63="No",-20,1)</f>
        <v>1</v>
      </c>
      <c r="AE398">
        <f>IF($N$64="No",-20,1)</f>
        <v>1</v>
      </c>
      <c r="AG398">
        <f>IF($N$68="No",-20,1)</f>
        <v>1</v>
      </c>
      <c r="AT398">
        <f>IF($P$63=0,1,IF(AC398&lt;=$P$63,1,-20))</f>
        <v>1</v>
      </c>
      <c r="AV398">
        <f t="shared" si="67"/>
        <v>1</v>
      </c>
      <c r="AW398" s="57">
        <f t="shared" si="70"/>
        <v>397</v>
      </c>
      <c r="AX398" s="57" t="str">
        <f t="shared" si="71"/>
        <v>Sword Worlds Vanguard-M Missile Boat</v>
      </c>
    </row>
    <row r="399" spans="24:50">
      <c r="X399">
        <f t="shared" si="68"/>
        <v>4</v>
      </c>
      <c r="Y399">
        <f t="shared" si="69"/>
        <v>398</v>
      </c>
      <c r="Z399">
        <v>15</v>
      </c>
      <c r="AA399" t="s">
        <v>1745</v>
      </c>
      <c r="AB399" s="4">
        <v>134217000</v>
      </c>
      <c r="AC399">
        <v>200</v>
      </c>
      <c r="AD399">
        <f>IF($N$65="No",-20,1)</f>
        <v>1</v>
      </c>
      <c r="AI399">
        <f>IF($N$70="No",-20,1)</f>
        <v>1</v>
      </c>
      <c r="AU399">
        <f>IF($P$65=0,1,IF(AC399&lt;=$P$65,1,-20))</f>
        <v>1</v>
      </c>
      <c r="AV399">
        <f t="shared" si="67"/>
        <v>1</v>
      </c>
      <c r="AW399" s="57">
        <f t="shared" si="70"/>
        <v>398</v>
      </c>
      <c r="AX399" s="57" t="str">
        <f t="shared" si="71"/>
        <v>System Defence Boat (Core'22)</v>
      </c>
    </row>
    <row r="400" spans="24:50">
      <c r="X400">
        <f t="shared" si="68"/>
        <v>4</v>
      </c>
      <c r="Y400">
        <f t="shared" si="69"/>
        <v>399</v>
      </c>
      <c r="Z400">
        <v>15</v>
      </c>
      <c r="AA400" t="s">
        <v>1839</v>
      </c>
      <c r="AB400" s="4">
        <v>113015000</v>
      </c>
      <c r="AC400">
        <v>95</v>
      </c>
      <c r="AD400">
        <f>IF($N$63="No",-20,1)</f>
        <v>1</v>
      </c>
      <c r="AG400">
        <f>IF($N$68="No",-20,1)</f>
        <v>1</v>
      </c>
      <c r="AT400">
        <f>IF($P$63=0,1,IF(AC400&lt;=$P$63,1,-20))</f>
        <v>1</v>
      </c>
      <c r="AV400">
        <f t="shared" si="67"/>
        <v>1</v>
      </c>
      <c r="AW400" s="57">
        <f t="shared" si="70"/>
        <v>399</v>
      </c>
      <c r="AX400" s="57" t="str">
        <f t="shared" si="71"/>
        <v>System Defence Craft</v>
      </c>
    </row>
    <row r="401" spans="24:50">
      <c r="X401">
        <f t="shared" si="68"/>
        <v>3</v>
      </c>
      <c r="Y401">
        <f t="shared" si="69"/>
        <v>400</v>
      </c>
      <c r="Z401">
        <v>8</v>
      </c>
      <c r="AA401" t="s">
        <v>2170</v>
      </c>
      <c r="AB401" s="4">
        <v>256900</v>
      </c>
      <c r="AC401" s="493">
        <v>6</v>
      </c>
      <c r="AD401">
        <f>IF($N$62="No",-20,1)</f>
        <v>1</v>
      </c>
      <c r="AS401">
        <f>IF($P$62=0,1,IF(AC401&lt;=$P$62,1,-20))</f>
        <v>1</v>
      </c>
      <c r="AV401">
        <f t="shared" si="67"/>
        <v>1</v>
      </c>
      <c r="AW401" s="57">
        <f t="shared" si="70"/>
        <v>400</v>
      </c>
      <c r="AX401" s="57" t="str">
        <f t="shared" si="71"/>
        <v>Taisben Military Grav Platform (Field Catalogue)</v>
      </c>
    </row>
    <row r="402" spans="24:50" ht="16">
      <c r="X402">
        <f t="shared" si="68"/>
        <v>4</v>
      </c>
      <c r="Y402">
        <f t="shared" si="69"/>
        <v>401</v>
      </c>
      <c r="Z402" s="459">
        <v>12</v>
      </c>
      <c r="AA402" s="459" t="s">
        <v>2236</v>
      </c>
      <c r="AB402" s="460">
        <v>316000</v>
      </c>
      <c r="AC402" s="461">
        <v>5</v>
      </c>
      <c r="AD402">
        <f>IF($N$62="No",-20,1)</f>
        <v>1</v>
      </c>
      <c r="AR402">
        <f>IF($N$79="No",-20,1)</f>
        <v>1</v>
      </c>
      <c r="AS402">
        <f>IF($P$62=0,1,IF(AC402&lt;=$P$62,1,-20))</f>
        <v>1</v>
      </c>
      <c r="AV402">
        <f t="shared" si="67"/>
        <v>1</v>
      </c>
      <c r="AW402" s="57">
        <f t="shared" si="70"/>
        <v>401</v>
      </c>
      <c r="AX402" s="57" t="str">
        <f t="shared" si="71"/>
        <v>Talson Automotive ‘Challenger’ Ground Car (JTAS Vol. 4)</v>
      </c>
    </row>
    <row r="403" spans="24:50">
      <c r="X403">
        <f t="shared" si="68"/>
        <v>4</v>
      </c>
      <c r="Y403">
        <f t="shared" si="69"/>
        <v>402</v>
      </c>
      <c r="Z403">
        <v>12</v>
      </c>
      <c r="AA403" t="s">
        <v>2269</v>
      </c>
      <c r="AB403" s="4">
        <v>23875000</v>
      </c>
      <c r="AC403" s="493">
        <v>50</v>
      </c>
      <c r="AD403">
        <f>IF($N$63="No",-20,1)</f>
        <v>1</v>
      </c>
      <c r="AR403">
        <f>IF($N$79="No",-20,1)</f>
        <v>1</v>
      </c>
      <c r="AT403">
        <f>IF($P$63=0,1,IF(AC403&lt;=$P$63,1,-20))</f>
        <v>1</v>
      </c>
      <c r="AV403">
        <f t="shared" si="67"/>
        <v>1</v>
      </c>
      <c r="AW403" s="57">
        <f t="shared" si="70"/>
        <v>402</v>
      </c>
      <c r="AX403" s="57" t="str">
        <f t="shared" si="71"/>
        <v>Telchine Mining Craft (JTAS Vol. 9)</v>
      </c>
    </row>
    <row r="404" spans="24:50">
      <c r="X404">
        <f t="shared" si="68"/>
        <v>5</v>
      </c>
      <c r="Y404">
        <f t="shared" si="69"/>
        <v>403</v>
      </c>
      <c r="Z404">
        <v>12</v>
      </c>
      <c r="AA404" t="s">
        <v>1960</v>
      </c>
      <c r="AB404" s="4">
        <v>54572500</v>
      </c>
      <c r="AC404" s="453">
        <v>35</v>
      </c>
      <c r="AD404">
        <f>IF($N$63="No",-20,1)</f>
        <v>1</v>
      </c>
      <c r="AE404">
        <f>IF($N$64="No",-20,1)</f>
        <v>1</v>
      </c>
      <c r="AM404">
        <f t="shared" ref="AM404:AM412" si="72">IF($N$74="No",-20,1)</f>
        <v>1</v>
      </c>
      <c r="AT404">
        <f>IF($P$63=0,1,IF(AC404&lt;=$P$63,1,-20))</f>
        <v>1</v>
      </c>
      <c r="AV404">
        <f t="shared" si="67"/>
        <v>1</v>
      </c>
      <c r="AW404" s="57">
        <f t="shared" si="70"/>
        <v>403</v>
      </c>
      <c r="AX404" s="57" t="str">
        <f t="shared" si="71"/>
        <v xml:space="preserve">Tezcat Asjrou-Class Stealth Fighter </v>
      </c>
    </row>
    <row r="405" spans="24:50">
      <c r="X405">
        <f t="shared" si="68"/>
        <v>5</v>
      </c>
      <c r="Y405">
        <f t="shared" si="69"/>
        <v>404</v>
      </c>
      <c r="Z405">
        <v>12</v>
      </c>
      <c r="AA405" t="s">
        <v>1963</v>
      </c>
      <c r="AB405" s="4">
        <v>56645000</v>
      </c>
      <c r="AC405" s="453">
        <v>100</v>
      </c>
      <c r="AD405">
        <f>IF($N$65="No",-20,1)</f>
        <v>1</v>
      </c>
      <c r="AE405">
        <f>IF($N$64="No",-20,1)</f>
        <v>1</v>
      </c>
      <c r="AM405">
        <f t="shared" si="72"/>
        <v>1</v>
      </c>
      <c r="AU405">
        <f>IF($P$65=0,1,IF(AC405&lt;=$P$65,1,-20))</f>
        <v>1</v>
      </c>
      <c r="AV405">
        <f t="shared" si="67"/>
        <v>1</v>
      </c>
      <c r="AW405" s="57">
        <f t="shared" si="70"/>
        <v>404</v>
      </c>
      <c r="AX405" s="57" t="str">
        <f t="shared" si="71"/>
        <v xml:space="preserve">Tezcat Grathriss-Class Gunboat </v>
      </c>
    </row>
    <row r="406" spans="24:50">
      <c r="X406">
        <f t="shared" si="68"/>
        <v>4</v>
      </c>
      <c r="Y406">
        <f t="shared" si="69"/>
        <v>405</v>
      </c>
      <c r="Z406">
        <v>12</v>
      </c>
      <c r="AA406" t="s">
        <v>1958</v>
      </c>
      <c r="AB406" s="4">
        <v>6830000</v>
      </c>
      <c r="AC406" s="453">
        <v>20</v>
      </c>
      <c r="AD406">
        <f>IF($N$63="No",-20,1)</f>
        <v>1</v>
      </c>
      <c r="AM406">
        <f t="shared" si="72"/>
        <v>1</v>
      </c>
      <c r="AT406">
        <f>IF($P$63=0,1,IF(AC406&lt;=$P$63,1,-20))</f>
        <v>1</v>
      </c>
      <c r="AV406">
        <f t="shared" si="67"/>
        <v>1</v>
      </c>
      <c r="AW406" s="57">
        <f t="shared" si="70"/>
        <v>405</v>
      </c>
      <c r="AX406" s="57" t="str">
        <f t="shared" si="71"/>
        <v>Tezcat Gshahk-Class Gig</v>
      </c>
    </row>
    <row r="407" spans="24:50">
      <c r="X407">
        <f t="shared" si="68"/>
        <v>5</v>
      </c>
      <c r="Y407">
        <f t="shared" si="69"/>
        <v>406</v>
      </c>
      <c r="Z407">
        <v>12</v>
      </c>
      <c r="AA407" t="s">
        <v>1957</v>
      </c>
      <c r="AB407" s="4">
        <v>31945000</v>
      </c>
      <c r="AC407" s="453">
        <v>9</v>
      </c>
      <c r="AD407">
        <f>IF($N$63="No",-20,1)</f>
        <v>1</v>
      </c>
      <c r="AE407">
        <f>IF($N$64="No",-20,1)</f>
        <v>1</v>
      </c>
      <c r="AM407">
        <f t="shared" si="72"/>
        <v>1</v>
      </c>
      <c r="AT407">
        <f>IF($P$63=0,1,IF(AC407&lt;=$P$63,1,-20))</f>
        <v>1</v>
      </c>
      <c r="AV407">
        <f t="shared" si="67"/>
        <v>1</v>
      </c>
      <c r="AW407" s="57">
        <f t="shared" si="70"/>
        <v>406</v>
      </c>
      <c r="AX407" s="57" t="str">
        <f t="shared" si="71"/>
        <v>Tezcat Hrisshtou-Class Light Fighter</v>
      </c>
    </row>
    <row r="408" spans="24:50">
      <c r="X408">
        <f t="shared" si="68"/>
        <v>5</v>
      </c>
      <c r="Y408">
        <f t="shared" si="69"/>
        <v>407</v>
      </c>
      <c r="Z408">
        <v>12</v>
      </c>
      <c r="AA408" t="s">
        <v>1959</v>
      </c>
      <c r="AB408" s="4">
        <v>33422500</v>
      </c>
      <c r="AC408" s="453">
        <v>35</v>
      </c>
      <c r="AD408">
        <f>IF($N$63="No",-20,1)</f>
        <v>1</v>
      </c>
      <c r="AE408">
        <f>IF($N$64="No",-20,1)</f>
        <v>1</v>
      </c>
      <c r="AM408">
        <f t="shared" si="72"/>
        <v>1</v>
      </c>
      <c r="AT408">
        <f>IF($P$63=0,1,IF(AC408&lt;=$P$63,1,-20))</f>
        <v>1</v>
      </c>
      <c r="AV408">
        <f t="shared" si="67"/>
        <v>1</v>
      </c>
      <c r="AW408" s="57">
        <f t="shared" si="70"/>
        <v>407</v>
      </c>
      <c r="AX408" s="57" t="str">
        <f t="shared" si="71"/>
        <v>Tezcat Kalahk-Class Medium Fighter</v>
      </c>
    </row>
    <row r="409" spans="24:50">
      <c r="X409">
        <f t="shared" si="68"/>
        <v>4</v>
      </c>
      <c r="Y409">
        <f t="shared" si="69"/>
        <v>408</v>
      </c>
      <c r="Z409">
        <v>12</v>
      </c>
      <c r="AA409" t="s">
        <v>1965</v>
      </c>
      <c r="AB409" s="4">
        <v>116030000</v>
      </c>
      <c r="AC409" s="453">
        <v>1000</v>
      </c>
      <c r="AD409">
        <f>IF($N$65="No",-20,1)</f>
        <v>1</v>
      </c>
      <c r="AM409">
        <f t="shared" si="72"/>
        <v>1</v>
      </c>
      <c r="AU409">
        <f>IF($P$65=0,1,IF(AC409&lt;=$P$65,1,-20))</f>
        <v>1</v>
      </c>
      <c r="AV409">
        <f t="shared" si="67"/>
        <v>1</v>
      </c>
      <c r="AW409" s="57">
        <f t="shared" si="70"/>
        <v>408</v>
      </c>
      <c r="AX409" s="57" t="str">
        <f t="shared" si="71"/>
        <v>Tezcat Kilrashta-Class Refuelling Shuttle</v>
      </c>
    </row>
    <row r="410" spans="24:50">
      <c r="X410">
        <f t="shared" si="68"/>
        <v>5</v>
      </c>
      <c r="Y410">
        <f t="shared" si="69"/>
        <v>409</v>
      </c>
      <c r="Z410">
        <v>12</v>
      </c>
      <c r="AA410" t="s">
        <v>1961</v>
      </c>
      <c r="AB410" s="4">
        <v>29150000</v>
      </c>
      <c r="AC410" s="453">
        <v>50</v>
      </c>
      <c r="AD410">
        <f>IF($N$63="No",-20,1)</f>
        <v>1</v>
      </c>
      <c r="AE410">
        <f>IF($N$64="No",-20,1)</f>
        <v>1</v>
      </c>
      <c r="AM410">
        <f t="shared" si="72"/>
        <v>1</v>
      </c>
      <c r="AT410">
        <f>IF($P$63=0,1,IF(AC410&lt;=$P$63,1,-20))</f>
        <v>1</v>
      </c>
      <c r="AV410">
        <f t="shared" si="67"/>
        <v>1</v>
      </c>
      <c r="AW410" s="57">
        <f t="shared" si="70"/>
        <v>409</v>
      </c>
      <c r="AX410" s="57" t="str">
        <f t="shared" si="71"/>
        <v xml:space="preserve">Tezcat Rashkaaht-Class Boarding Skiff </v>
      </c>
    </row>
    <row r="411" spans="24:50">
      <c r="X411">
        <f t="shared" si="68"/>
        <v>5</v>
      </c>
      <c r="Y411">
        <f t="shared" si="69"/>
        <v>410</v>
      </c>
      <c r="Z411">
        <v>12</v>
      </c>
      <c r="AA411" t="s">
        <v>1964</v>
      </c>
      <c r="AB411" s="4">
        <v>48625000</v>
      </c>
      <c r="AC411" s="453">
        <v>100</v>
      </c>
      <c r="AD411">
        <f>IF($N$65="No",-20,1)</f>
        <v>1</v>
      </c>
      <c r="AE411">
        <f>IF($N$64="No",-20,1)</f>
        <v>1</v>
      </c>
      <c r="AM411">
        <f t="shared" si="72"/>
        <v>1</v>
      </c>
      <c r="AU411">
        <f>IF($P$65=0,1,IF(AC411&lt;=$P$65,1,-20))</f>
        <v>1</v>
      </c>
      <c r="AV411">
        <f t="shared" si="67"/>
        <v>1</v>
      </c>
      <c r="AW411" s="57">
        <f t="shared" si="70"/>
        <v>410</v>
      </c>
      <c r="AX411" s="57" t="str">
        <f t="shared" si="71"/>
        <v>Tezcat Vatha-Class Torpedo Boat</v>
      </c>
    </row>
    <row r="412" spans="24:50">
      <c r="X412">
        <f t="shared" si="68"/>
        <v>5</v>
      </c>
      <c r="Y412">
        <f t="shared" si="69"/>
        <v>411</v>
      </c>
      <c r="Z412">
        <v>12</v>
      </c>
      <c r="AA412" t="s">
        <v>1962</v>
      </c>
      <c r="AB412" s="4">
        <v>45064000</v>
      </c>
      <c r="AC412" s="453">
        <v>70</v>
      </c>
      <c r="AD412">
        <f>IF($N$63="No",-20,1)</f>
        <v>1</v>
      </c>
      <c r="AE412">
        <f>IF($N$64="No",-20,1)</f>
        <v>1</v>
      </c>
      <c r="AM412">
        <f t="shared" si="72"/>
        <v>1</v>
      </c>
      <c r="AT412">
        <f>IF($P$63=0,1,IF(AC412&lt;=$P$63,1,-20))</f>
        <v>1</v>
      </c>
      <c r="AV412">
        <f t="shared" si="67"/>
        <v>1</v>
      </c>
      <c r="AW412" s="57">
        <f t="shared" si="70"/>
        <v>411</v>
      </c>
      <c r="AX412" s="57" t="str">
        <f t="shared" si="71"/>
        <v>Tezcat Yarlasth-Class Heavy Fighter</v>
      </c>
    </row>
    <row r="413" spans="24:50" ht="16">
      <c r="X413">
        <f t="shared" si="68"/>
        <v>3</v>
      </c>
      <c r="Y413">
        <f t="shared" si="69"/>
        <v>412</v>
      </c>
      <c r="Z413" s="459">
        <v>15</v>
      </c>
      <c r="AA413" s="459" t="s">
        <v>2383</v>
      </c>
      <c r="AB413" s="460">
        <v>681832000</v>
      </c>
      <c r="AC413" s="461">
        <v>1000</v>
      </c>
      <c r="AD413">
        <f>IF($N$65="No",-20,1)</f>
        <v>1</v>
      </c>
      <c r="AU413">
        <f>IF($P$65=0,1,IF(AC413&lt;=$P$65,1,-20))</f>
        <v>1</v>
      </c>
      <c r="AV413">
        <f t="shared" si="67"/>
        <v>1</v>
      </c>
      <c r="AW413" s="57">
        <f t="shared" si="70"/>
        <v>412</v>
      </c>
      <c r="AX413" s="57" t="str">
        <f t="shared" si="71"/>
        <v>The Alahir (Heavy Scout) (Secrets of the Ancients)</v>
      </c>
    </row>
    <row r="414" spans="24:50" ht="16">
      <c r="X414">
        <f t="shared" si="68"/>
        <v>3</v>
      </c>
      <c r="Y414">
        <f t="shared" si="69"/>
        <v>413</v>
      </c>
      <c r="Z414" s="459">
        <v>25</v>
      </c>
      <c r="AA414" s="459" t="s">
        <v>2385</v>
      </c>
      <c r="AB414" s="460" t="s">
        <v>2386</v>
      </c>
      <c r="AC414" s="461">
        <v>100</v>
      </c>
      <c r="AD414">
        <f>IF($N$65="No",-20,1)</f>
        <v>1</v>
      </c>
      <c r="AU414">
        <f>IF($P$65=0,1,IF(AC414&lt;=$P$65,1,-20))</f>
        <v>1</v>
      </c>
      <c r="AV414">
        <f t="shared" si="67"/>
        <v>1</v>
      </c>
      <c r="AW414" s="57">
        <f t="shared" si="70"/>
        <v>413</v>
      </c>
      <c r="AX414" s="57" t="str">
        <f t="shared" si="71"/>
        <v>The Dart (Ancients Scout Ship) (Secrets of the Ancients)</v>
      </c>
    </row>
    <row r="415" spans="24:50" ht="16">
      <c r="X415">
        <f t="shared" si="68"/>
        <v>3</v>
      </c>
      <c r="Y415">
        <f t="shared" si="69"/>
        <v>414</v>
      </c>
      <c r="Z415" s="459">
        <v>25</v>
      </c>
      <c r="AA415" s="459" t="s">
        <v>2410</v>
      </c>
      <c r="AB415" s="460">
        <v>0</v>
      </c>
      <c r="AC415" s="461">
        <v>400</v>
      </c>
      <c r="AD415">
        <f>IF($N$65="No",-20,1)</f>
        <v>1</v>
      </c>
      <c r="AU415">
        <f>IF($P$65=0,1,IF(AC415&lt;=$P$65,1,-20))</f>
        <v>1</v>
      </c>
      <c r="AV415">
        <f t="shared" si="67"/>
        <v>1</v>
      </c>
      <c r="AW415" s="57">
        <f t="shared" si="70"/>
        <v>414</v>
      </c>
      <c r="AX415" s="57" t="str">
        <f t="shared" si="71"/>
        <v>The Nameless Ship (Wrath of the Ancients)</v>
      </c>
    </row>
    <row r="416" spans="24:50">
      <c r="X416">
        <f t="shared" si="68"/>
        <v>4</v>
      </c>
      <c r="Y416">
        <f t="shared" si="69"/>
        <v>415</v>
      </c>
      <c r="Z416">
        <v>12</v>
      </c>
      <c r="AA416" t="s">
        <v>1976</v>
      </c>
      <c r="AB416" s="4">
        <v>158850000</v>
      </c>
      <c r="AC416" s="453">
        <v>1150</v>
      </c>
      <c r="AD416">
        <f>IF($N$65="No",-20,1)</f>
        <v>1</v>
      </c>
      <c r="AN416">
        <f>IF($N$75="No",-20,1)</f>
        <v>1</v>
      </c>
      <c r="AU416">
        <f>IF($P$65=0,1,IF(AC416&lt;=$P$65,1,-20))</f>
        <v>1</v>
      </c>
      <c r="AV416">
        <f t="shared" si="67"/>
        <v>1</v>
      </c>
      <c r="AW416" s="57">
        <f t="shared" si="70"/>
        <v>415</v>
      </c>
      <c r="AX416" s="57" t="str">
        <f t="shared" si="71"/>
        <v>Thousand-Class (In System) Freighter</v>
      </c>
    </row>
    <row r="417" spans="24:50" ht="16">
      <c r="X417">
        <f t="shared" si="68"/>
        <v>3</v>
      </c>
      <c r="Y417">
        <f t="shared" si="69"/>
        <v>416</v>
      </c>
      <c r="Z417" s="459">
        <v>8</v>
      </c>
      <c r="AA417" s="459" t="s">
        <v>2045</v>
      </c>
      <c r="AB417" s="460">
        <v>4710000</v>
      </c>
      <c r="AC417" s="461">
        <v>75</v>
      </c>
      <c r="AD417">
        <f>IF($N$62="No",-20,1)</f>
        <v>1</v>
      </c>
      <c r="AS417">
        <f>IF($P$62=0,1,IF(AC417&lt;=$P$62,1,-20))</f>
        <v>1</v>
      </c>
      <c r="AV417">
        <f t="shared" si="67"/>
        <v>1</v>
      </c>
      <c r="AW417" s="57">
        <f t="shared" si="70"/>
        <v>416</v>
      </c>
      <c r="AX417" s="57" t="str">
        <f t="shared" si="71"/>
        <v>Tilt-Rotor Cargo Plane (Scirocco) (CA 3)</v>
      </c>
    </row>
    <row r="418" spans="24:50">
      <c r="X418">
        <f t="shared" si="68"/>
        <v>5</v>
      </c>
      <c r="Y418">
        <f t="shared" si="69"/>
        <v>417</v>
      </c>
      <c r="Z418">
        <v>12</v>
      </c>
      <c r="AA418" t="s">
        <v>1789</v>
      </c>
      <c r="AB418" s="4">
        <v>46008000</v>
      </c>
      <c r="AC418">
        <v>70</v>
      </c>
      <c r="AD418">
        <f>IF($N$63="No",-20,1)</f>
        <v>1</v>
      </c>
      <c r="AE418">
        <f>IF($N$64="No",-20,1)</f>
        <v>1</v>
      </c>
      <c r="AF418">
        <f>IF($N$67="No",-20,1)</f>
        <v>1</v>
      </c>
      <c r="AT418">
        <f>IF($P$63=0,1,IF(AC418&lt;=$P$63,1,-20))</f>
        <v>1</v>
      </c>
      <c r="AV418">
        <f t="shared" si="67"/>
        <v>1</v>
      </c>
      <c r="AW418" s="57">
        <f t="shared" si="70"/>
        <v>417</v>
      </c>
      <c r="AX418" s="57" t="str">
        <f t="shared" si="71"/>
        <v>Torpedo Boat</v>
      </c>
    </row>
    <row r="419" spans="24:50" ht="16">
      <c r="X419">
        <f t="shared" si="68"/>
        <v>3</v>
      </c>
      <c r="Y419">
        <f t="shared" si="69"/>
        <v>418</v>
      </c>
      <c r="Z419" s="459">
        <v>15</v>
      </c>
      <c r="AA419" s="459" t="s">
        <v>2118</v>
      </c>
      <c r="AB419" s="460">
        <v>815500000</v>
      </c>
      <c r="AC419" s="461">
        <v>2600</v>
      </c>
      <c r="AD419">
        <f>IF($N$65="No",-20,1)</f>
        <v>1</v>
      </c>
      <c r="AU419">
        <f>IF($P$65=0,1,IF(AC419&lt;=$P$65,1,-20))</f>
        <v>1</v>
      </c>
      <c r="AV419">
        <f t="shared" si="67"/>
        <v>1</v>
      </c>
      <c r="AW419" s="57">
        <f t="shared" si="70"/>
        <v>418</v>
      </c>
      <c r="AX419" s="57" t="str">
        <f t="shared" si="71"/>
        <v>Torpedo Pod (ECC)</v>
      </c>
    </row>
    <row r="420" spans="24:50" ht="16">
      <c r="X420">
        <f t="shared" si="68"/>
        <v>4</v>
      </c>
      <c r="Y420">
        <f t="shared" si="69"/>
        <v>419</v>
      </c>
      <c r="Z420" s="459">
        <v>10</v>
      </c>
      <c r="AA420" s="459" t="s">
        <v>2238</v>
      </c>
      <c r="AB420" s="460">
        <v>3530000</v>
      </c>
      <c r="AC420" s="461">
        <v>10</v>
      </c>
      <c r="AD420">
        <f>IF($N$63="No",-20,1)</f>
        <v>1</v>
      </c>
      <c r="AR420">
        <f>IF($N$79="No",-20,1)</f>
        <v>1</v>
      </c>
      <c r="AT420">
        <f>IF($P$63=0,1,IF(AC420&lt;=$P$63,1,-20))</f>
        <v>1</v>
      </c>
      <c r="AV420">
        <f t="shared" si="67"/>
        <v>1</v>
      </c>
      <c r="AW420" s="57">
        <f t="shared" si="70"/>
        <v>419</v>
      </c>
      <c r="AX420" s="57" t="str">
        <f t="shared" si="71"/>
        <v>Towing Pod (JTAS Vol. 5)</v>
      </c>
    </row>
    <row r="421" spans="24:50">
      <c r="X421">
        <f t="shared" si="68"/>
        <v>4</v>
      </c>
      <c r="Y421">
        <f t="shared" si="69"/>
        <v>420</v>
      </c>
      <c r="Z421">
        <v>8</v>
      </c>
      <c r="AA421" t="s">
        <v>1800</v>
      </c>
      <c r="AB421" s="4">
        <v>22480000</v>
      </c>
      <c r="AC421">
        <v>90</v>
      </c>
      <c r="AD421">
        <f>IF($N$63="No",-20,1)</f>
        <v>1</v>
      </c>
      <c r="AG421">
        <f>IF($N$68="No",-20,1)</f>
        <v>1</v>
      </c>
      <c r="AT421">
        <f>IF($P$63=0,1,IF(AC421&lt;=$P$63,1,-20))</f>
        <v>1</v>
      </c>
      <c r="AV421">
        <f t="shared" si="67"/>
        <v>1</v>
      </c>
      <c r="AW421" s="57">
        <f t="shared" si="70"/>
        <v>420</v>
      </c>
      <c r="AX421" s="57" t="str">
        <f t="shared" si="71"/>
        <v>Trade Shuttle</v>
      </c>
    </row>
    <row r="422" spans="24:50">
      <c r="X422">
        <f t="shared" si="68"/>
        <v>4</v>
      </c>
      <c r="Y422">
        <f t="shared" si="69"/>
        <v>421</v>
      </c>
      <c r="Z422">
        <v>9</v>
      </c>
      <c r="AA422" t="s">
        <v>1806</v>
      </c>
      <c r="AB422" s="4">
        <v>4355000</v>
      </c>
      <c r="AC422">
        <v>15</v>
      </c>
      <c r="AD422">
        <f>IF($N$63="No",-20,1)</f>
        <v>1</v>
      </c>
      <c r="AG422">
        <f>IF($N$68="No",-20,1)</f>
        <v>1</v>
      </c>
      <c r="AT422">
        <f>IF($P$63=0,1,IF(AC422&lt;=$P$63,1,-20))</f>
        <v>1</v>
      </c>
      <c r="AV422">
        <f t="shared" si="67"/>
        <v>1</v>
      </c>
      <c r="AW422" s="57">
        <f t="shared" si="70"/>
        <v>421</v>
      </c>
      <c r="AX422" s="57" t="str">
        <f t="shared" si="71"/>
        <v>Tradesman's Gig</v>
      </c>
    </row>
    <row r="423" spans="24:50">
      <c r="X423">
        <f t="shared" si="68"/>
        <v>4</v>
      </c>
      <c r="Y423">
        <f t="shared" si="69"/>
        <v>422</v>
      </c>
      <c r="Z423">
        <v>13</v>
      </c>
      <c r="AA423" t="s">
        <v>1817</v>
      </c>
      <c r="AB423" s="4">
        <v>41210000</v>
      </c>
      <c r="AC423">
        <v>50</v>
      </c>
      <c r="AD423">
        <f>IF($N$63="No",-20,1)</f>
        <v>1</v>
      </c>
      <c r="AG423">
        <f>IF($N$68="No",-20,1)</f>
        <v>1</v>
      </c>
      <c r="AT423">
        <f>IF($P$63=0,1,IF(AC423&lt;=$P$63,1,-20))</f>
        <v>1</v>
      </c>
      <c r="AV423">
        <f t="shared" si="67"/>
        <v>1</v>
      </c>
      <c r="AW423" s="57">
        <f t="shared" si="70"/>
        <v>422</v>
      </c>
      <c r="AX423" s="57" t="str">
        <f t="shared" si="71"/>
        <v>Traffic Control Router</v>
      </c>
    </row>
    <row r="424" spans="24:50">
      <c r="X424">
        <f t="shared" si="68"/>
        <v>4</v>
      </c>
      <c r="Y424">
        <f t="shared" si="69"/>
        <v>423</v>
      </c>
      <c r="Z424">
        <v>10</v>
      </c>
      <c r="AA424" t="s">
        <v>1981</v>
      </c>
      <c r="AB424" s="4">
        <v>283000</v>
      </c>
      <c r="AC424" s="453">
        <v>10</v>
      </c>
      <c r="AD424">
        <f>IF($N$62="No",-20,1)</f>
        <v>1</v>
      </c>
      <c r="AO424">
        <f>IF($N$76="No",-20,1)</f>
        <v>1</v>
      </c>
      <c r="AS424">
        <f>IF($P$62=0,1,IF(AC424&lt;=$P$62,1,-20))</f>
        <v>1</v>
      </c>
      <c r="AV424">
        <f t="shared" si="67"/>
        <v>1</v>
      </c>
      <c r="AW424" s="57">
        <f t="shared" si="70"/>
        <v>423</v>
      </c>
      <c r="AX424" s="57" t="str">
        <f t="shared" si="71"/>
        <v>Transport Bus</v>
      </c>
    </row>
    <row r="425" spans="24:50">
      <c r="X425">
        <f t="shared" si="68"/>
        <v>4</v>
      </c>
      <c r="Y425">
        <f t="shared" si="69"/>
        <v>424</v>
      </c>
      <c r="Z425">
        <v>9</v>
      </c>
      <c r="AA425" t="s">
        <v>1804</v>
      </c>
      <c r="AB425" s="4">
        <v>4315500</v>
      </c>
      <c r="AC425">
        <v>10</v>
      </c>
      <c r="AD425">
        <f>IF($N$63="No",-20,1)</f>
        <v>1</v>
      </c>
      <c r="AG425">
        <f>IF($N$68="No",-20,1)</f>
        <v>1</v>
      </c>
      <c r="AT425">
        <f>IF($P$63=0,1,IF(AC425&lt;=$P$63,1,-20))</f>
        <v>1</v>
      </c>
      <c r="AV425">
        <f t="shared" si="67"/>
        <v>1</v>
      </c>
      <c r="AW425" s="57">
        <f t="shared" si="70"/>
        <v>424</v>
      </c>
      <c r="AX425" s="57" t="str">
        <f t="shared" si="71"/>
        <v>Transporter</v>
      </c>
    </row>
    <row r="426" spans="24:50">
      <c r="X426">
        <f t="shared" si="68"/>
        <v>3</v>
      </c>
      <c r="Y426">
        <f t="shared" si="69"/>
        <v>425</v>
      </c>
      <c r="Z426">
        <v>15</v>
      </c>
      <c r="AA426" t="s">
        <v>2015</v>
      </c>
      <c r="AB426" s="4">
        <v>31640000</v>
      </c>
      <c r="AC426" s="453">
        <v>24</v>
      </c>
      <c r="AD426">
        <f>IF($N$62="No",-20,1)</f>
        <v>1</v>
      </c>
      <c r="AS426">
        <f>IF($P$62=0,1,IF(AC426&lt;=$P$62,1,-20))</f>
        <v>1</v>
      </c>
      <c r="AV426">
        <f t="shared" si="67"/>
        <v>1</v>
      </c>
      <c r="AW426" s="57">
        <f t="shared" si="70"/>
        <v>425</v>
      </c>
      <c r="AX426" s="57" t="str">
        <f t="shared" si="71"/>
        <v>Trepida Grav Tank</v>
      </c>
    </row>
    <row r="427" spans="24:50">
      <c r="X427">
        <f t="shared" si="68"/>
        <v>4</v>
      </c>
      <c r="Y427">
        <f t="shared" si="69"/>
        <v>426</v>
      </c>
      <c r="Z427">
        <v>15</v>
      </c>
      <c r="AA427" t="s">
        <v>1788</v>
      </c>
      <c r="AB427" s="4">
        <v>50500000</v>
      </c>
      <c r="AC427">
        <v>50</v>
      </c>
      <c r="AD427">
        <f>IF($N$63="No",-20,1)</f>
        <v>1</v>
      </c>
      <c r="AF427">
        <f>IF($N$67="No",-20,1)</f>
        <v>1</v>
      </c>
      <c r="AT427">
        <f>IF($P$63=0,1,IF(AC427&lt;=$P$63,1,-20))</f>
        <v>1</v>
      </c>
      <c r="AV427">
        <f t="shared" si="67"/>
        <v>1</v>
      </c>
      <c r="AW427" s="57">
        <f t="shared" si="70"/>
        <v>426</v>
      </c>
      <c r="AX427" s="57" t="str">
        <f t="shared" si="71"/>
        <v>Troop Transport</v>
      </c>
    </row>
    <row r="428" spans="24:50" ht="16">
      <c r="X428">
        <f t="shared" ref="X428:X433" si="73">SUM(AD428:AV428)</f>
        <v>4</v>
      </c>
      <c r="Y428">
        <f t="shared" ref="Y428:Y433" si="74">IF(X428&gt;0,Y427+1,Y427)</f>
        <v>427</v>
      </c>
      <c r="Z428" s="459">
        <v>12</v>
      </c>
      <c r="AA428" s="459" t="s">
        <v>2363</v>
      </c>
      <c r="AB428" s="460">
        <v>13975000</v>
      </c>
      <c r="AC428" s="461">
        <v>20</v>
      </c>
      <c r="AD428">
        <f>IF($N$63="No",-20,1)</f>
        <v>1</v>
      </c>
      <c r="AE428">
        <f>IF($N$64="No",-20,1)</f>
        <v>1</v>
      </c>
      <c r="AT428">
        <f>IF($P$63=0,1,IF(AC428&lt;=$P$63,1,-20))</f>
        <v>1</v>
      </c>
      <c r="AV428">
        <f t="shared" si="67"/>
        <v>1</v>
      </c>
      <c r="AW428" s="57">
        <f t="shared" si="70"/>
        <v>427</v>
      </c>
      <c r="AX428" s="57" t="str">
        <f t="shared" si="71"/>
        <v>Turunmaa Fighter (Opening Moves)</v>
      </c>
    </row>
    <row r="429" spans="24:50">
      <c r="X429">
        <f t="shared" si="73"/>
        <v>4</v>
      </c>
      <c r="Y429">
        <f t="shared" si="74"/>
        <v>428</v>
      </c>
      <c r="Z429">
        <v>12</v>
      </c>
      <c r="AA429" t="s">
        <v>1743</v>
      </c>
      <c r="AB429" s="4">
        <v>41045000</v>
      </c>
      <c r="AC429">
        <v>100</v>
      </c>
      <c r="AD429">
        <f>IF($N$65="No",-20,1)</f>
        <v>1</v>
      </c>
      <c r="AI429">
        <f>IF($N$70="No",-20,1)</f>
        <v>1</v>
      </c>
      <c r="AU429">
        <f>IF($P$65=0,1,IF(AC429&lt;=$P$65,1,-20))</f>
        <v>1</v>
      </c>
      <c r="AV429">
        <f t="shared" si="67"/>
        <v>1</v>
      </c>
      <c r="AW429" s="57">
        <f t="shared" si="70"/>
        <v>428</v>
      </c>
      <c r="AX429" s="57" t="str">
        <f t="shared" si="71"/>
        <v>Type: S</v>
      </c>
    </row>
    <row r="430" spans="24:50" ht="16">
      <c r="X430">
        <f t="shared" si="73"/>
        <v>3</v>
      </c>
      <c r="Y430">
        <f t="shared" si="74"/>
        <v>429</v>
      </c>
      <c r="Z430" s="459">
        <v>14</v>
      </c>
      <c r="AA430" s="459" t="s">
        <v>2377</v>
      </c>
      <c r="AB430" s="460">
        <v>10910000</v>
      </c>
      <c r="AC430" s="461">
        <v>25</v>
      </c>
      <c r="AD430">
        <f>IF($N$63="No",-20,1)</f>
        <v>1</v>
      </c>
      <c r="AT430">
        <f>IF($P$63=0,1,IF(AC430&lt;=$P$63,1,-20))</f>
        <v>1</v>
      </c>
      <c r="AV430">
        <f t="shared" si="67"/>
        <v>1</v>
      </c>
      <c r="AW430" s="57">
        <f t="shared" si="70"/>
        <v>429</v>
      </c>
      <c r="AX430" s="57" t="str">
        <f t="shared" si="71"/>
        <v>UB-25EV Utility Boat, Exploration Variant (Rim Expeditions)</v>
      </c>
    </row>
    <row r="431" spans="24:50" ht="16">
      <c r="X431">
        <f t="shared" si="73"/>
        <v>3</v>
      </c>
      <c r="Y431">
        <f t="shared" si="74"/>
        <v>430</v>
      </c>
      <c r="Z431" s="459">
        <v>14</v>
      </c>
      <c r="AA431" s="459" t="s">
        <v>2378</v>
      </c>
      <c r="AB431" s="460">
        <v>25110000</v>
      </c>
      <c r="AC431" s="461">
        <v>75</v>
      </c>
      <c r="AD431">
        <f>IF($N$63="No",-20,1)</f>
        <v>1</v>
      </c>
      <c r="AT431">
        <f>IF($P$63=0,1,IF(AC431&lt;=$P$63,1,-20))</f>
        <v>1</v>
      </c>
      <c r="AV431">
        <f t="shared" si="67"/>
        <v>1</v>
      </c>
      <c r="AW431" s="57">
        <f t="shared" si="70"/>
        <v>430</v>
      </c>
      <c r="AX431" s="57" t="str">
        <f t="shared" si="71"/>
        <v>UB-75EV Large Utility Boat, Exploration Variant (Rim Expeditions)</v>
      </c>
    </row>
    <row r="432" spans="24:50">
      <c r="X432">
        <f t="shared" si="73"/>
        <v>5</v>
      </c>
      <c r="Y432">
        <f t="shared" si="74"/>
        <v>431</v>
      </c>
      <c r="Z432">
        <v>12</v>
      </c>
      <c r="AA432" t="s">
        <v>1784</v>
      </c>
      <c r="AB432" s="4">
        <v>7036000</v>
      </c>
      <c r="AC432">
        <v>6</v>
      </c>
      <c r="AD432">
        <f>IF($N$63="No",-20,1)</f>
        <v>1</v>
      </c>
      <c r="AE432">
        <f>IF($N$64="No",-20,1)</f>
        <v>1</v>
      </c>
      <c r="AF432">
        <f>IF($N$67="No",-20,1)</f>
        <v>1</v>
      </c>
      <c r="AT432">
        <f>IF($P$63=0,1,IF(AC432&lt;=$P$63,1,-20))</f>
        <v>1</v>
      </c>
      <c r="AV432">
        <f t="shared" si="67"/>
        <v>1</v>
      </c>
      <c r="AW432" s="57">
        <f t="shared" si="70"/>
        <v>431</v>
      </c>
      <c r="AX432" s="57" t="str">
        <f t="shared" si="71"/>
        <v>Ultralight Fighter</v>
      </c>
    </row>
    <row r="433" spans="24:50" ht="16">
      <c r="X433">
        <f t="shared" si="73"/>
        <v>3</v>
      </c>
      <c r="Y433">
        <f t="shared" si="74"/>
        <v>432</v>
      </c>
      <c r="Z433" s="459">
        <v>9</v>
      </c>
      <c r="AA433" s="459" t="s">
        <v>2396</v>
      </c>
      <c r="AB433" s="460">
        <v>792500</v>
      </c>
      <c r="AC433" s="461">
        <v>12</v>
      </c>
      <c r="AD433">
        <f>IF($N$62="No",-20,1)</f>
        <v>1</v>
      </c>
      <c r="AS433">
        <f>IF($P$62=0,1,IF(AC433&lt;=$P$62,1,-20))</f>
        <v>1</v>
      </c>
      <c r="AV433">
        <f t="shared" si="67"/>
        <v>1</v>
      </c>
      <c r="AW433" s="57">
        <f t="shared" si="70"/>
        <v>432</v>
      </c>
      <c r="AX433" s="57" t="str">
        <f t="shared" si="71"/>
        <v>Umphathi-Class Security Sled, Military Variant (Specialist Forces)</v>
      </c>
    </row>
    <row r="434" spans="24:50">
      <c r="X434">
        <f t="shared" ref="X434:X482" si="75">SUM(AD434:AV434)</f>
        <v>4</v>
      </c>
      <c r="Y434">
        <f t="shared" ref="Y434:Y482" si="76">IF(X434&gt;0,Y433+1,Y433)</f>
        <v>433</v>
      </c>
      <c r="Z434">
        <v>9</v>
      </c>
      <c r="AA434" t="s">
        <v>2273</v>
      </c>
      <c r="AB434" s="4">
        <v>79450</v>
      </c>
      <c r="AC434" s="493">
        <v>1.5</v>
      </c>
      <c r="AD434">
        <f>IF($N$62="No",-20,1)</f>
        <v>1</v>
      </c>
      <c r="AR434">
        <f>IF($N$79="No",-20,1)</f>
        <v>1</v>
      </c>
      <c r="AS434">
        <f>IF($P$62=0,1,IF(AC434&lt;=$P$62,1,-20))</f>
        <v>1</v>
      </c>
      <c r="AV434">
        <f t="shared" si="67"/>
        <v>1</v>
      </c>
      <c r="AW434" s="57">
        <f t="shared" si="70"/>
        <v>433</v>
      </c>
      <c r="AX434" s="57" t="str">
        <f t="shared" si="71"/>
        <v>Unicycle of Mass Destruction (JTAS Vol. 10)</v>
      </c>
    </row>
    <row r="435" spans="24:50">
      <c r="X435">
        <f t="shared" si="75"/>
        <v>4</v>
      </c>
      <c r="Y435">
        <f t="shared" si="76"/>
        <v>434</v>
      </c>
      <c r="Z435">
        <v>7</v>
      </c>
      <c r="AA435" t="s">
        <v>2292</v>
      </c>
      <c r="AB435" s="4">
        <v>5400</v>
      </c>
      <c r="AC435" s="493">
        <v>1.5</v>
      </c>
      <c r="AD435">
        <f>IF($N$62="No",-20,1)</f>
        <v>1</v>
      </c>
      <c r="AR435">
        <f>IF($N$79="No",-20,1)</f>
        <v>1</v>
      </c>
      <c r="AS435">
        <f>IF($P$62=0,1,IF(AC435&lt;=$P$62,1,-20))</f>
        <v>1</v>
      </c>
      <c r="AV435">
        <f t="shared" si="67"/>
        <v>1</v>
      </c>
      <c r="AW435" s="57">
        <f t="shared" si="70"/>
        <v>434</v>
      </c>
      <c r="AX435" s="57" t="str">
        <f t="shared" si="71"/>
        <v>Unpressurized Rover (JTAS Vol. 15)</v>
      </c>
    </row>
    <row r="436" spans="24:50">
      <c r="X436">
        <f t="shared" si="75"/>
        <v>4</v>
      </c>
      <c r="Y436">
        <f t="shared" si="76"/>
        <v>435</v>
      </c>
      <c r="Z436">
        <v>12</v>
      </c>
      <c r="AA436" t="s">
        <v>1805</v>
      </c>
      <c r="AB436" s="4">
        <v>4105500</v>
      </c>
      <c r="AC436">
        <v>10</v>
      </c>
      <c r="AD436">
        <f>IF($N$63="No",-20,1)</f>
        <v>1</v>
      </c>
      <c r="AG436">
        <f>IF($N$68="No",-20,1)</f>
        <v>1</v>
      </c>
      <c r="AT436">
        <f>IF($P$63=0,1,IF(AC436&lt;=$P$63,1,-20))</f>
        <v>1</v>
      </c>
      <c r="AV436">
        <f t="shared" si="67"/>
        <v>1</v>
      </c>
      <c r="AW436" s="57">
        <f t="shared" si="70"/>
        <v>435</v>
      </c>
      <c r="AX436" s="57" t="str">
        <f t="shared" si="71"/>
        <v>Utility Pod</v>
      </c>
    </row>
    <row r="437" spans="24:50">
      <c r="X437">
        <f t="shared" si="75"/>
        <v>5</v>
      </c>
      <c r="Y437">
        <f t="shared" si="76"/>
        <v>436</v>
      </c>
      <c r="Z437">
        <v>12</v>
      </c>
      <c r="AA437" t="s">
        <v>1828</v>
      </c>
      <c r="AB437" s="4">
        <v>31250000</v>
      </c>
      <c r="AC437">
        <v>40</v>
      </c>
      <c r="AD437">
        <f>IF($N$63="No",-20,1)</f>
        <v>1</v>
      </c>
      <c r="AE437">
        <f>IF($N$64="No",-20,1)</f>
        <v>1</v>
      </c>
      <c r="AG437">
        <f>IF($N$68="No",-20,1)</f>
        <v>1</v>
      </c>
      <c r="AT437">
        <f>IF($P$63=0,1,IF(AC437&lt;=$P$63,1,-20))</f>
        <v>1</v>
      </c>
      <c r="AV437">
        <f t="shared" si="67"/>
        <v>1</v>
      </c>
      <c r="AW437" s="57">
        <f t="shared" si="70"/>
        <v>436</v>
      </c>
      <c r="AX437" s="57" t="str">
        <f t="shared" si="71"/>
        <v>Vanguard Assault Fighter</v>
      </c>
    </row>
    <row r="438" spans="24:50">
      <c r="X438">
        <f t="shared" si="75"/>
        <v>4</v>
      </c>
      <c r="Y438">
        <f t="shared" si="76"/>
        <v>437</v>
      </c>
      <c r="Z438">
        <v>7</v>
      </c>
      <c r="AA438" t="s">
        <v>1897</v>
      </c>
      <c r="AB438" s="4">
        <v>900000</v>
      </c>
      <c r="AC438" s="453">
        <v>20</v>
      </c>
      <c r="AD438">
        <f>IF($N$62="No",-20,1)</f>
        <v>1</v>
      </c>
      <c r="AJ438">
        <f>IF($N$71="No",-20,1)</f>
        <v>1</v>
      </c>
      <c r="AS438">
        <f>IF($P$62=0,1,IF(AC438&lt;=$P$62,1,-20))</f>
        <v>1</v>
      </c>
      <c r="AV438">
        <f t="shared" si="67"/>
        <v>1</v>
      </c>
      <c r="AW438" s="57">
        <f t="shared" si="70"/>
        <v>437</v>
      </c>
      <c r="AX438" s="57" t="str">
        <f t="shared" si="71"/>
        <v>Varge Loper Ground Carrier</v>
      </c>
    </row>
    <row r="439" spans="24:50" ht="16">
      <c r="X439">
        <f t="shared" si="75"/>
        <v>4</v>
      </c>
      <c r="Y439">
        <f t="shared" si="76"/>
        <v>438</v>
      </c>
      <c r="Z439" s="459">
        <v>14</v>
      </c>
      <c r="AA439" s="459" t="s">
        <v>2384</v>
      </c>
      <c r="AB439" s="460">
        <v>40606000</v>
      </c>
      <c r="AC439" s="461">
        <v>40</v>
      </c>
      <c r="AD439">
        <f>IF($N$63="No",-20,1)</f>
        <v>1</v>
      </c>
      <c r="AE439">
        <f>IF($N$64="No",-20,1)</f>
        <v>1</v>
      </c>
      <c r="AT439">
        <f>IF($P$63=0,1,IF(AC439&lt;=$P$63,1,-20))</f>
        <v>1</v>
      </c>
      <c r="AV439">
        <f t="shared" si="67"/>
        <v>1</v>
      </c>
      <c r="AW439" s="57">
        <f t="shared" si="70"/>
        <v>438</v>
      </c>
      <c r="AX439" s="57" t="str">
        <f t="shared" si="71"/>
        <v>Vargr Aakum Heavy Fighter (Secrets of the Ancients)</v>
      </c>
    </row>
    <row r="440" spans="24:50">
      <c r="X440">
        <f t="shared" si="75"/>
        <v>5</v>
      </c>
      <c r="Y440">
        <f t="shared" si="76"/>
        <v>439</v>
      </c>
      <c r="Z440">
        <v>14</v>
      </c>
      <c r="AA440" t="s">
        <v>1898</v>
      </c>
      <c r="AB440" s="4">
        <v>40806000</v>
      </c>
      <c r="AC440" s="453">
        <v>40</v>
      </c>
      <c r="AD440">
        <f>IF($N$63="No",-20,1)</f>
        <v>1</v>
      </c>
      <c r="AE440">
        <f>IF($N$64="No",-20,1)</f>
        <v>1</v>
      </c>
      <c r="AJ440">
        <f>IF($N$71="No",-20,1)</f>
        <v>1</v>
      </c>
      <c r="AT440">
        <f>IF($P$63=0,1,IF(AC440&lt;=$P$63,1,-20))</f>
        <v>1</v>
      </c>
      <c r="AV440">
        <f t="shared" si="67"/>
        <v>1</v>
      </c>
      <c r="AW440" s="57">
        <f t="shared" si="70"/>
        <v>439</v>
      </c>
      <c r="AX440" s="57" t="str">
        <f t="shared" si="71"/>
        <v xml:space="preserve">Vargr Aakum-Class Heavy Fighter </v>
      </c>
    </row>
    <row r="441" spans="24:50">
      <c r="X441">
        <f t="shared" si="75"/>
        <v>4</v>
      </c>
      <c r="Y441">
        <f t="shared" si="76"/>
        <v>440</v>
      </c>
      <c r="Z441">
        <v>10</v>
      </c>
      <c r="AA441" t="s">
        <v>1899</v>
      </c>
      <c r="AB441" s="4">
        <v>40110000</v>
      </c>
      <c r="AC441" s="453">
        <v>100</v>
      </c>
      <c r="AD441">
        <f>IF($N$65="No",-20,1)</f>
        <v>1</v>
      </c>
      <c r="AJ441">
        <f>IF($N$71="No",-20,1)</f>
        <v>1</v>
      </c>
      <c r="AU441">
        <f>IF($P$65=0,1,IF(AC441&lt;=$P$65,1,-20))</f>
        <v>1</v>
      </c>
      <c r="AV441">
        <f t="shared" si="67"/>
        <v>1</v>
      </c>
      <c r="AW441" s="57">
        <f t="shared" si="70"/>
        <v>440</v>
      </c>
      <c r="AX441" s="57" t="str">
        <f t="shared" si="71"/>
        <v>Vargr Aetin-Class Scout</v>
      </c>
    </row>
    <row r="442" spans="24:50">
      <c r="X442">
        <f t="shared" si="75"/>
        <v>4</v>
      </c>
      <c r="Y442">
        <f t="shared" si="76"/>
        <v>441</v>
      </c>
      <c r="Z442">
        <v>12</v>
      </c>
      <c r="AA442" t="s">
        <v>1997</v>
      </c>
      <c r="AB442" s="4">
        <v>71000000</v>
      </c>
      <c r="AC442" s="453">
        <v>6</v>
      </c>
      <c r="AD442">
        <f>IF($N$63="No",-20,1)</f>
        <v>1</v>
      </c>
      <c r="AG442">
        <f>IF($N$68="No",-20,1)</f>
        <v>1</v>
      </c>
      <c r="AT442">
        <f>IF($P$63=0,1,IF(AC442&lt;=$P$63,1,-20))</f>
        <v>1</v>
      </c>
      <c r="AV442">
        <f t="shared" si="67"/>
        <v>1</v>
      </c>
      <c r="AW442" s="57">
        <f t="shared" si="70"/>
        <v>441</v>
      </c>
      <c r="AX442" s="57" t="str">
        <f t="shared" si="71"/>
        <v>Vargr Belt Racer</v>
      </c>
    </row>
    <row r="443" spans="24:50">
      <c r="X443">
        <f t="shared" si="75"/>
        <v>4</v>
      </c>
      <c r="Y443">
        <f t="shared" si="76"/>
        <v>442</v>
      </c>
      <c r="Z443">
        <v>12</v>
      </c>
      <c r="AA443" t="s">
        <v>1896</v>
      </c>
      <c r="AB443" s="4">
        <v>33300000</v>
      </c>
      <c r="AC443" s="453">
        <v>60</v>
      </c>
      <c r="AD443">
        <f>IF($N$62="No",-20,1)</f>
        <v>1</v>
      </c>
      <c r="AJ443">
        <f>IF($N$71="No",-20,1)</f>
        <v>1</v>
      </c>
      <c r="AS443">
        <f>IF($P$62=0,1,IF(AC443&lt;=$P$62,1,-20))</f>
        <v>1</v>
      </c>
      <c r="AV443">
        <f t="shared" si="67"/>
        <v>1</v>
      </c>
      <c r="AW443" s="57">
        <f t="shared" si="70"/>
        <v>442</v>
      </c>
      <c r="AX443" s="57" t="str">
        <f t="shared" si="71"/>
        <v>Vargr Clawtip Plasma Tank</v>
      </c>
    </row>
    <row r="444" spans="24:50">
      <c r="X444">
        <f t="shared" si="75"/>
        <v>4</v>
      </c>
      <c r="Y444">
        <f t="shared" si="76"/>
        <v>443</v>
      </c>
      <c r="Z444">
        <v>12</v>
      </c>
      <c r="AA444" t="s">
        <v>2000</v>
      </c>
      <c r="AB444" s="4">
        <v>21870000</v>
      </c>
      <c r="AC444" s="453">
        <v>40</v>
      </c>
      <c r="AD444">
        <f>IF($N$63="No",-20,1)</f>
        <v>1</v>
      </c>
      <c r="AG444">
        <f>IF($N$68="No",-20,1)</f>
        <v>1</v>
      </c>
      <c r="AT444">
        <f>IF($P$63=0,1,IF(AC444&lt;=$P$63,1,-20))</f>
        <v>1</v>
      </c>
      <c r="AV444">
        <f t="shared" si="67"/>
        <v>1</v>
      </c>
      <c r="AW444" s="57">
        <f t="shared" si="70"/>
        <v>443</v>
      </c>
      <c r="AX444" s="57" t="str">
        <f t="shared" si="71"/>
        <v>Vargr Corsair Pinnace</v>
      </c>
    </row>
    <row r="445" spans="24:50">
      <c r="X445">
        <f t="shared" si="75"/>
        <v>4</v>
      </c>
      <c r="Y445">
        <f t="shared" si="76"/>
        <v>444</v>
      </c>
      <c r="Z445">
        <v>10</v>
      </c>
      <c r="AA445" t="s">
        <v>1966</v>
      </c>
      <c r="AB445" s="4">
        <v>11010000</v>
      </c>
      <c r="AC445" s="453">
        <v>15</v>
      </c>
      <c r="AD445">
        <f>IF($N$62="No",-20,1)</f>
        <v>1</v>
      </c>
      <c r="AN445">
        <f>IF($N$75="No",-20,1)</f>
        <v>1</v>
      </c>
      <c r="AS445">
        <f>IF($P$62=0,1,IF(AC445&lt;=$P$62,1,-20))</f>
        <v>1</v>
      </c>
      <c r="AV445">
        <f t="shared" si="67"/>
        <v>1</v>
      </c>
      <c r="AW445" s="57">
        <f t="shared" si="70"/>
        <v>444</v>
      </c>
      <c r="AX445" s="57" t="str">
        <f t="shared" si="71"/>
        <v xml:space="preserve">Vargr Ghoerruegh G/Carrier </v>
      </c>
    </row>
    <row r="446" spans="24:50">
      <c r="X446">
        <f t="shared" si="75"/>
        <v>5</v>
      </c>
      <c r="Y446">
        <f t="shared" si="76"/>
        <v>445</v>
      </c>
      <c r="Z446">
        <v>12</v>
      </c>
      <c r="AA446" t="s">
        <v>1998</v>
      </c>
      <c r="AB446" s="4">
        <v>24625000</v>
      </c>
      <c r="AC446" s="453">
        <v>20</v>
      </c>
      <c r="AD446">
        <f>IF($N$63="No",-20,1)</f>
        <v>1</v>
      </c>
      <c r="AE446">
        <f>IF($N$64="No",-20,1)</f>
        <v>1</v>
      </c>
      <c r="AG446">
        <f>IF($N$68="No",-20,1)</f>
        <v>1</v>
      </c>
      <c r="AT446">
        <f>IF($P$63=0,1,IF(AC446&lt;=$P$63,1,-20))</f>
        <v>1</v>
      </c>
      <c r="AV446">
        <f t="shared" si="67"/>
        <v>1</v>
      </c>
      <c r="AW446" s="57">
        <f t="shared" si="70"/>
        <v>445</v>
      </c>
      <c r="AX446" s="57" t="str">
        <f t="shared" si="71"/>
        <v>Vargr Gothta Ambush Fighter</v>
      </c>
    </row>
    <row r="447" spans="24:50">
      <c r="X447">
        <f t="shared" si="75"/>
        <v>4</v>
      </c>
      <c r="Y447">
        <f t="shared" si="76"/>
        <v>446</v>
      </c>
      <c r="Z447">
        <v>10</v>
      </c>
      <c r="AA447" t="s">
        <v>1893</v>
      </c>
      <c r="AB447" s="4">
        <v>658000</v>
      </c>
      <c r="AC447" s="453">
        <v>1.5</v>
      </c>
      <c r="AD447">
        <f>IF($N$62="No",-20,1)</f>
        <v>1</v>
      </c>
      <c r="AJ447">
        <f>IF($N$71="No",-20,1)</f>
        <v>1</v>
      </c>
      <c r="AS447">
        <f>IF($P$62=0,1,IF(AC447&lt;=$P$62,1,-20))</f>
        <v>1</v>
      </c>
      <c r="AV447">
        <f t="shared" si="67"/>
        <v>1</v>
      </c>
      <c r="AW447" s="57">
        <f t="shared" si="70"/>
        <v>446</v>
      </c>
      <c r="AX447" s="57" t="str">
        <f t="shared" si="71"/>
        <v xml:space="preserve">Vargr Gravitic Racer </v>
      </c>
    </row>
    <row r="448" spans="24:50">
      <c r="X448">
        <f t="shared" si="75"/>
        <v>4</v>
      </c>
      <c r="Y448">
        <f t="shared" si="76"/>
        <v>447</v>
      </c>
      <c r="Z448">
        <v>10</v>
      </c>
      <c r="AA448" t="s">
        <v>1894</v>
      </c>
      <c r="AB448" s="4">
        <v>400000</v>
      </c>
      <c r="AC448" s="453">
        <v>3</v>
      </c>
      <c r="AD448">
        <f>IF($N$62="No",-20,1)</f>
        <v>1</v>
      </c>
      <c r="AJ448">
        <f>IF($N$71="No",-20,1)</f>
        <v>1</v>
      </c>
      <c r="AS448">
        <f>IF($P$62=0,1,IF(AC448&lt;=$P$62,1,-20))</f>
        <v>1</v>
      </c>
      <c r="AV448">
        <f t="shared" si="67"/>
        <v>1</v>
      </c>
      <c r="AW448" s="57">
        <f t="shared" si="70"/>
        <v>447</v>
      </c>
      <c r="AX448" s="57" t="str">
        <f t="shared" si="71"/>
        <v>Vargr Gravitic Speeder</v>
      </c>
    </row>
    <row r="449" spans="24:50">
      <c r="X449">
        <f t="shared" si="75"/>
        <v>5</v>
      </c>
      <c r="Y449">
        <f t="shared" si="76"/>
        <v>448</v>
      </c>
      <c r="Z449">
        <v>12</v>
      </c>
      <c r="AA449" t="s">
        <v>1999</v>
      </c>
      <c r="AB449" s="4">
        <v>14180000</v>
      </c>
      <c r="AC449" s="453">
        <v>20</v>
      </c>
      <c r="AD449">
        <f>IF($N$63="No",-20,1)</f>
        <v>1</v>
      </c>
      <c r="AE449">
        <f>IF($N$64="No",-20,1)</f>
        <v>1</v>
      </c>
      <c r="AG449">
        <f>IF($N$68="No",-20,1)</f>
        <v>1</v>
      </c>
      <c r="AT449">
        <f>IF($P$63=0,1,IF(AC449&lt;=$P$63,1,-20))</f>
        <v>1</v>
      </c>
      <c r="AV449">
        <f t="shared" si="67"/>
        <v>1</v>
      </c>
      <c r="AW449" s="57">
        <f t="shared" si="70"/>
        <v>448</v>
      </c>
      <c r="AX449" s="57" t="str">
        <f t="shared" si="71"/>
        <v>Vargr Nolrrgarrai Strike Fighter</v>
      </c>
    </row>
    <row r="450" spans="24:50">
      <c r="X450">
        <f t="shared" si="75"/>
        <v>4</v>
      </c>
      <c r="Y450">
        <f t="shared" si="76"/>
        <v>449</v>
      </c>
      <c r="Z450">
        <v>12</v>
      </c>
      <c r="AA450" t="s">
        <v>1895</v>
      </c>
      <c r="AB450" s="4">
        <v>19900000</v>
      </c>
      <c r="AC450" s="453">
        <v>60</v>
      </c>
      <c r="AD450">
        <f t="shared" ref="AD450:AD458" si="77">IF($N$62="No",-20,1)</f>
        <v>1</v>
      </c>
      <c r="AJ450">
        <f>IF($N$71="No",-20,1)</f>
        <v>1</v>
      </c>
      <c r="AS450">
        <f t="shared" ref="AS450:AS458" si="78">IF($P$62=0,1,IF(AC450&lt;=$P$62,1,-20))</f>
        <v>1</v>
      </c>
      <c r="AV450">
        <f t="shared" si="67"/>
        <v>1</v>
      </c>
      <c r="AW450" s="57">
        <f t="shared" si="70"/>
        <v>449</v>
      </c>
      <c r="AX450" s="57" t="str">
        <f t="shared" si="71"/>
        <v xml:space="preserve">Vargr Wulfenite G/Carrier </v>
      </c>
    </row>
    <row r="451" spans="24:50" ht="16">
      <c r="X451">
        <f t="shared" si="75"/>
        <v>4</v>
      </c>
      <c r="Y451">
        <f t="shared" si="76"/>
        <v>450</v>
      </c>
      <c r="Z451" s="459">
        <v>15</v>
      </c>
      <c r="AA451" s="459" t="s">
        <v>2049</v>
      </c>
      <c r="AB451" s="460">
        <v>560000</v>
      </c>
      <c r="AC451" s="461">
        <v>12</v>
      </c>
      <c r="AD451">
        <f t="shared" si="77"/>
        <v>1</v>
      </c>
      <c r="AQ451">
        <f>IF($N$78="No",-20,1)</f>
        <v>1</v>
      </c>
      <c r="AS451">
        <f t="shared" si="78"/>
        <v>1</v>
      </c>
      <c r="AV451">
        <f t="shared" ref="AV451:AV482" si="79">IF($N$61="Yes",1,IF(Z451&gt;TL,-20,1))</f>
        <v>1</v>
      </c>
      <c r="AW451" s="57">
        <f t="shared" si="70"/>
        <v>450</v>
      </c>
      <c r="AX451" s="57" t="str">
        <f t="shared" si="71"/>
        <v>Vendara (DR:CG)</v>
      </c>
    </row>
    <row r="452" spans="24:50">
      <c r="X452">
        <f t="shared" si="75"/>
        <v>4</v>
      </c>
      <c r="Y452">
        <f t="shared" si="76"/>
        <v>451</v>
      </c>
      <c r="Z452">
        <v>10</v>
      </c>
      <c r="AA452" t="s">
        <v>2272</v>
      </c>
      <c r="AB452" s="4">
        <v>1305700</v>
      </c>
      <c r="AC452" s="493">
        <v>12.5</v>
      </c>
      <c r="AD452">
        <f t="shared" si="77"/>
        <v>1</v>
      </c>
      <c r="AR452">
        <f>IF($N$79="No",-20,1)</f>
        <v>1</v>
      </c>
      <c r="AS452">
        <f t="shared" si="78"/>
        <v>1</v>
      </c>
      <c r="AV452">
        <f t="shared" si="79"/>
        <v>1</v>
      </c>
      <c r="AW452" s="57">
        <f t="shared" ref="AW452:AW482" si="80">AW451+1</f>
        <v>451</v>
      </c>
      <c r="AX452" s="57" t="str">
        <f t="shared" ref="AX452:AX482" si="81">IF(AW452&gt;$AW$1,"",INDEX($Y$2:$AA$482,MATCH(AW452,$Y$2:$Y$482,0),3))</f>
        <v>Vindictor Logging Heavy Walker (JTAS Vol. 9)</v>
      </c>
    </row>
    <row r="453" spans="24:50" ht="16">
      <c r="X453">
        <f t="shared" si="75"/>
        <v>3</v>
      </c>
      <c r="Y453">
        <f t="shared" si="76"/>
        <v>452</v>
      </c>
      <c r="Z453" s="459">
        <v>8</v>
      </c>
      <c r="AA453" s="459" t="s">
        <v>2395</v>
      </c>
      <c r="AB453" s="460">
        <v>1326000</v>
      </c>
      <c r="AC453" s="461">
        <v>15</v>
      </c>
      <c r="AD453">
        <f t="shared" si="77"/>
        <v>1</v>
      </c>
      <c r="AS453">
        <f t="shared" si="78"/>
        <v>1</v>
      </c>
      <c r="AV453">
        <f t="shared" si="79"/>
        <v>1</v>
      </c>
      <c r="AW453" s="57">
        <f t="shared" si="80"/>
        <v>452</v>
      </c>
      <c r="AX453" s="57" t="str">
        <f t="shared" si="81"/>
        <v>Vixen-ADV Aerospace Defense Vessel (Specialist Forces)</v>
      </c>
    </row>
    <row r="454" spans="24:50">
      <c r="X454">
        <f t="shared" si="75"/>
        <v>4</v>
      </c>
      <c r="Y454">
        <f t="shared" si="76"/>
        <v>453</v>
      </c>
      <c r="Z454">
        <v>15</v>
      </c>
      <c r="AA454" t="s">
        <v>1783</v>
      </c>
      <c r="AB454" s="4">
        <v>3800000</v>
      </c>
      <c r="AC454">
        <v>20</v>
      </c>
      <c r="AD454">
        <f t="shared" si="77"/>
        <v>1</v>
      </c>
      <c r="AH454">
        <f>IF($N$69="No",-20,1)</f>
        <v>1</v>
      </c>
      <c r="AS454">
        <f t="shared" si="78"/>
        <v>1</v>
      </c>
      <c r="AV454">
        <f t="shared" si="79"/>
        <v>1</v>
      </c>
      <c r="AW454" s="57">
        <f t="shared" si="80"/>
        <v>453</v>
      </c>
      <c r="AX454" s="57" t="str">
        <f t="shared" si="81"/>
        <v>Walkure G/Assault Vehicle</v>
      </c>
    </row>
    <row r="455" spans="24:50" ht="16">
      <c r="X455">
        <f t="shared" si="75"/>
        <v>3</v>
      </c>
      <c r="Y455">
        <f t="shared" si="76"/>
        <v>454</v>
      </c>
      <c r="Z455" s="459">
        <v>7</v>
      </c>
      <c r="AA455" s="459" t="s">
        <v>2371</v>
      </c>
      <c r="AB455" s="460">
        <v>1520000</v>
      </c>
      <c r="AC455" s="461">
        <v>6</v>
      </c>
      <c r="AD455">
        <f t="shared" si="77"/>
        <v>1</v>
      </c>
      <c r="AS455">
        <f t="shared" si="78"/>
        <v>1</v>
      </c>
      <c r="AV455">
        <f t="shared" si="79"/>
        <v>1</v>
      </c>
      <c r="AW455" s="57">
        <f t="shared" si="80"/>
        <v>454</v>
      </c>
      <c r="AX455" s="57" t="str">
        <f t="shared" si="81"/>
        <v>Work Submarine (Reach Adventure 3)</v>
      </c>
    </row>
    <row r="456" spans="24:50">
      <c r="X456">
        <f t="shared" si="75"/>
        <v>4</v>
      </c>
      <c r="Y456">
        <f t="shared" si="76"/>
        <v>455</v>
      </c>
      <c r="Z456">
        <v>14</v>
      </c>
      <c r="AA456" t="s">
        <v>1947</v>
      </c>
      <c r="AB456" s="4">
        <v>921200</v>
      </c>
      <c r="AC456" s="453">
        <v>4</v>
      </c>
      <c r="AD456">
        <f t="shared" si="77"/>
        <v>1</v>
      </c>
      <c r="AM456">
        <f t="shared" ref="AM456:AM464" si="82">IF($N$74="No",-20,1)</f>
        <v>1</v>
      </c>
      <c r="AS456">
        <f t="shared" si="78"/>
        <v>1</v>
      </c>
      <c r="AV456">
        <f t="shared" si="79"/>
        <v>1</v>
      </c>
      <c r="AW456" s="57">
        <f t="shared" si="80"/>
        <v>455</v>
      </c>
      <c r="AX456" s="57" t="str">
        <f t="shared" si="81"/>
        <v xml:space="preserve">Za'tachk Antha Recon Drone </v>
      </c>
    </row>
    <row r="457" spans="24:50">
      <c r="X457">
        <f t="shared" si="75"/>
        <v>4</v>
      </c>
      <c r="Y457">
        <f t="shared" si="76"/>
        <v>456</v>
      </c>
      <c r="Z457">
        <v>14</v>
      </c>
      <c r="AA457" t="s">
        <v>1948</v>
      </c>
      <c r="AB457" s="4">
        <v>1900000</v>
      </c>
      <c r="AC457" s="453">
        <v>10</v>
      </c>
      <c r="AD457">
        <f t="shared" si="77"/>
        <v>1</v>
      </c>
      <c r="AM457">
        <f t="shared" si="82"/>
        <v>1</v>
      </c>
      <c r="AS457">
        <f t="shared" si="78"/>
        <v>1</v>
      </c>
      <c r="AV457">
        <f t="shared" si="79"/>
        <v>1</v>
      </c>
      <c r="AW457" s="57">
        <f t="shared" si="80"/>
        <v>456</v>
      </c>
      <c r="AX457" s="57" t="str">
        <f t="shared" si="81"/>
        <v xml:space="preserve">Za'tachk Eruenooph Scout Drone </v>
      </c>
    </row>
    <row r="458" spans="24:50">
      <c r="X458">
        <f t="shared" si="75"/>
        <v>4</v>
      </c>
      <c r="Y458">
        <f t="shared" si="76"/>
        <v>457</v>
      </c>
      <c r="Z458">
        <v>14</v>
      </c>
      <c r="AA458" t="s">
        <v>1949</v>
      </c>
      <c r="AB458" s="4">
        <v>4330000</v>
      </c>
      <c r="AC458" s="453">
        <v>50</v>
      </c>
      <c r="AD458">
        <f t="shared" si="77"/>
        <v>1</v>
      </c>
      <c r="AM458">
        <f t="shared" si="82"/>
        <v>1</v>
      </c>
      <c r="AS458">
        <f t="shared" si="78"/>
        <v>1</v>
      </c>
      <c r="AV458">
        <f t="shared" si="79"/>
        <v>1</v>
      </c>
      <c r="AW458" s="57">
        <f t="shared" si="80"/>
        <v>457</v>
      </c>
      <c r="AX458" s="57" t="str">
        <f t="shared" si="81"/>
        <v>Za'tachk Idinpyx Airborne Attack Drone</v>
      </c>
    </row>
    <row r="459" spans="24:50">
      <c r="X459">
        <f t="shared" si="75"/>
        <v>5</v>
      </c>
      <c r="Y459">
        <f t="shared" si="76"/>
        <v>458</v>
      </c>
      <c r="Z459">
        <v>14</v>
      </c>
      <c r="AA459" t="s">
        <v>1954</v>
      </c>
      <c r="AB459" s="4">
        <v>42660000</v>
      </c>
      <c r="AC459" s="453">
        <v>50</v>
      </c>
      <c r="AD459">
        <f>IF($N$63="No",-20,1)</f>
        <v>1</v>
      </c>
      <c r="AE459">
        <f>IF($N$64="No",-20,1)</f>
        <v>1</v>
      </c>
      <c r="AM459">
        <f t="shared" si="82"/>
        <v>1</v>
      </c>
      <c r="AT459">
        <f>IF($P$63=0,1,IF(AC459&lt;=$P$63,1,-20))</f>
        <v>1</v>
      </c>
      <c r="AV459">
        <f t="shared" si="79"/>
        <v>1</v>
      </c>
      <c r="AW459" s="57">
        <f t="shared" si="80"/>
        <v>458</v>
      </c>
      <c r="AX459" s="57" t="str">
        <f t="shared" si="81"/>
        <v>Za'tachk Iestynin-Class Medium Fighter Drone</v>
      </c>
    </row>
    <row r="460" spans="24:50">
      <c r="X460">
        <f t="shared" si="75"/>
        <v>5</v>
      </c>
      <c r="Y460">
        <f t="shared" si="76"/>
        <v>459</v>
      </c>
      <c r="Z460">
        <v>14</v>
      </c>
      <c r="AA460" t="s">
        <v>1953</v>
      </c>
      <c r="AB460" s="4">
        <v>26940400</v>
      </c>
      <c r="AC460" s="453">
        <v>15</v>
      </c>
      <c r="AD460">
        <f>IF($N$63="No",-20,1)</f>
        <v>1</v>
      </c>
      <c r="AE460">
        <f>IF($N$64="No",-20,1)</f>
        <v>1</v>
      </c>
      <c r="AM460">
        <f t="shared" si="82"/>
        <v>1</v>
      </c>
      <c r="AT460">
        <f>IF($P$63=0,1,IF(AC460&lt;=$P$63,1,-20))</f>
        <v>1</v>
      </c>
      <c r="AV460">
        <f t="shared" si="79"/>
        <v>1</v>
      </c>
      <c r="AW460" s="57">
        <f t="shared" si="80"/>
        <v>459</v>
      </c>
      <c r="AX460" s="57" t="str">
        <f t="shared" si="81"/>
        <v>Za'tachk Klaront-Class Light Fighter Drone</v>
      </c>
    </row>
    <row r="461" spans="24:50">
      <c r="X461">
        <f t="shared" si="75"/>
        <v>4</v>
      </c>
      <c r="Y461">
        <f t="shared" si="76"/>
        <v>460</v>
      </c>
      <c r="Z461">
        <v>14</v>
      </c>
      <c r="AA461" t="s">
        <v>1950</v>
      </c>
      <c r="AB461" s="4">
        <v>15471000</v>
      </c>
      <c r="AC461" s="453">
        <v>75</v>
      </c>
      <c r="AD461">
        <f>IF($N$62="No",-20,1)</f>
        <v>1</v>
      </c>
      <c r="AM461">
        <f t="shared" si="82"/>
        <v>1</v>
      </c>
      <c r="AS461">
        <f>IF($P$62=0,1,IF(AC461&lt;=$P$62,1,-20))</f>
        <v>1</v>
      </c>
      <c r="AV461">
        <f t="shared" si="79"/>
        <v>1</v>
      </c>
      <c r="AW461" s="57">
        <f t="shared" si="80"/>
        <v>460</v>
      </c>
      <c r="AX461" s="57" t="str">
        <f t="shared" si="81"/>
        <v xml:space="preserve">Za'tachk Nudaonsk Heavy Tank Drone </v>
      </c>
    </row>
    <row r="462" spans="24:50">
      <c r="X462">
        <f t="shared" si="75"/>
        <v>5</v>
      </c>
      <c r="Y462">
        <f t="shared" si="76"/>
        <v>461</v>
      </c>
      <c r="Z462">
        <v>14</v>
      </c>
      <c r="AA462" t="s">
        <v>1955</v>
      </c>
      <c r="AB462" s="4">
        <v>51260000</v>
      </c>
      <c r="AC462" s="453">
        <v>70</v>
      </c>
      <c r="AD462">
        <f>IF($N$63="No",-20,1)</f>
        <v>1</v>
      </c>
      <c r="AE462">
        <f>IF($N$64="No",-20,1)</f>
        <v>1</v>
      </c>
      <c r="AM462">
        <f t="shared" si="82"/>
        <v>1</v>
      </c>
      <c r="AT462">
        <f>IF($P$63=0,1,IF(AC462&lt;=$P$63,1,-20))</f>
        <v>1</v>
      </c>
      <c r="AV462">
        <f t="shared" si="79"/>
        <v>1</v>
      </c>
      <c r="AW462" s="57">
        <f t="shared" si="80"/>
        <v>461</v>
      </c>
      <c r="AX462" s="57" t="str">
        <f t="shared" si="81"/>
        <v>Za'tachk Slaixut-Class Torpedo Drone</v>
      </c>
    </row>
    <row r="463" spans="24:50">
      <c r="X463">
        <f t="shared" si="75"/>
        <v>4</v>
      </c>
      <c r="Y463">
        <f t="shared" si="76"/>
        <v>462</v>
      </c>
      <c r="Z463">
        <v>12</v>
      </c>
      <c r="AA463" t="s">
        <v>1952</v>
      </c>
      <c r="AB463" s="4">
        <v>1750000</v>
      </c>
      <c r="AC463" s="453">
        <v>5</v>
      </c>
      <c r="AD463">
        <f>IF($N$63="No",-20,1)</f>
        <v>1</v>
      </c>
      <c r="AM463">
        <f t="shared" si="82"/>
        <v>1</v>
      </c>
      <c r="AT463">
        <f>IF($P$63=0,1,IF(AC463&lt;=$P$63,1,-20))</f>
        <v>1</v>
      </c>
      <c r="AV463">
        <f t="shared" si="79"/>
        <v>1</v>
      </c>
      <c r="AW463" s="57">
        <f t="shared" si="80"/>
        <v>462</v>
      </c>
      <c r="AX463" s="57" t="str">
        <f t="shared" si="81"/>
        <v xml:space="preserve">Za'tachk Uft Lifeboat </v>
      </c>
    </row>
    <row r="464" spans="24:50">
      <c r="X464">
        <f t="shared" si="75"/>
        <v>4</v>
      </c>
      <c r="Y464">
        <f t="shared" si="76"/>
        <v>463</v>
      </c>
      <c r="Z464">
        <v>14</v>
      </c>
      <c r="AA464" t="s">
        <v>1951</v>
      </c>
      <c r="AB464" s="4">
        <v>1680000</v>
      </c>
      <c r="AC464" s="453">
        <v>5.5</v>
      </c>
      <c r="AD464">
        <f>IF($N$62="No",-20,1)</f>
        <v>1</v>
      </c>
      <c r="AM464">
        <f t="shared" si="82"/>
        <v>1</v>
      </c>
      <c r="AS464">
        <f>IF($P$62=0,1,IF(AC464&lt;=$P$62,1,-20))</f>
        <v>1</v>
      </c>
      <c r="AV464">
        <f t="shared" si="79"/>
        <v>1</v>
      </c>
      <c r="AW464" s="57">
        <f t="shared" si="80"/>
        <v>463</v>
      </c>
      <c r="AX464" s="57" t="str">
        <f t="shared" si="81"/>
        <v>Za'tachk Ulminixon Light Airborne Attack Drone</v>
      </c>
    </row>
    <row r="465" spans="24:50">
      <c r="X465">
        <f t="shared" si="75"/>
        <v>4</v>
      </c>
      <c r="Y465">
        <f t="shared" si="76"/>
        <v>464</v>
      </c>
      <c r="Z465">
        <v>14</v>
      </c>
      <c r="AA465" t="s">
        <v>2003</v>
      </c>
      <c r="AB465" s="4">
        <v>37070000</v>
      </c>
      <c r="AC465" s="453">
        <v>60</v>
      </c>
      <c r="AD465">
        <f>IF($N$63="No",-20,1)</f>
        <v>1</v>
      </c>
      <c r="AG465">
        <f>IF($N$68="No",-20,1)</f>
        <v>1</v>
      </c>
      <c r="AT465">
        <f>IF($P$63=0,1,IF(AC465&lt;=$P$63,1,-20))</f>
        <v>1</v>
      </c>
      <c r="AV465">
        <f t="shared" si="79"/>
        <v>1</v>
      </c>
      <c r="AW465" s="57">
        <f t="shared" si="80"/>
        <v>464</v>
      </c>
      <c r="AX465" s="57" t="str">
        <f t="shared" si="81"/>
        <v>Zhodani Brechatsnech Belt Survey Vessel</v>
      </c>
    </row>
    <row r="466" spans="24:50">
      <c r="X466">
        <f t="shared" si="75"/>
        <v>4</v>
      </c>
      <c r="Y466">
        <f t="shared" si="76"/>
        <v>465</v>
      </c>
      <c r="Z466">
        <v>14</v>
      </c>
      <c r="AA466" t="s">
        <v>2028</v>
      </c>
      <c r="AB466" s="4">
        <v>26239500</v>
      </c>
      <c r="AC466" s="453">
        <v>50</v>
      </c>
      <c r="AD466">
        <f>IF($N$63="No",-20,1)</f>
        <v>1</v>
      </c>
      <c r="AP466">
        <f>IF($N$77="No",-20,1)</f>
        <v>1</v>
      </c>
      <c r="AT466">
        <f>IF($P$63=0,1,IF(AC466&lt;=$P$63,1,-20))</f>
        <v>1</v>
      </c>
      <c r="AV466">
        <f t="shared" si="79"/>
        <v>1</v>
      </c>
      <c r="AW466" s="57">
        <f t="shared" si="80"/>
        <v>465</v>
      </c>
      <c r="AX466" s="57" t="str">
        <f t="shared" si="81"/>
        <v>Zhodani Chredri Ivl Small Craft</v>
      </c>
    </row>
    <row r="467" spans="24:50">
      <c r="X467">
        <f t="shared" si="75"/>
        <v>4</v>
      </c>
      <c r="Y467">
        <f t="shared" si="76"/>
        <v>466</v>
      </c>
      <c r="Z467">
        <v>14</v>
      </c>
      <c r="AA467" t="s">
        <v>2005</v>
      </c>
      <c r="AB467" s="4">
        <v>48995000</v>
      </c>
      <c r="AC467" s="453">
        <v>80</v>
      </c>
      <c r="AD467">
        <f>IF($N$63="No",-20,1)</f>
        <v>1</v>
      </c>
      <c r="AG467">
        <f>IF($N$68="No",-20,1)</f>
        <v>1</v>
      </c>
      <c r="AT467">
        <f>IF($P$63=0,1,IF(AC467&lt;=$P$63,1,-20))</f>
        <v>1</v>
      </c>
      <c r="AV467">
        <f t="shared" si="79"/>
        <v>1</v>
      </c>
      <c r="AW467" s="57">
        <f t="shared" si="80"/>
        <v>466</v>
      </c>
      <c r="AX467" s="57" t="str">
        <f t="shared" si="81"/>
        <v>Zhodani Drabr Chtor Terrestrial Survey Vessel</v>
      </c>
    </row>
    <row r="468" spans="24:50">
      <c r="X468">
        <f t="shared" si="75"/>
        <v>4</v>
      </c>
      <c r="Y468">
        <f t="shared" si="76"/>
        <v>467</v>
      </c>
      <c r="Z468">
        <v>14</v>
      </c>
      <c r="AA468" t="s">
        <v>2078</v>
      </c>
      <c r="AB468" s="4">
        <v>49300000</v>
      </c>
      <c r="AC468" s="453">
        <v>30</v>
      </c>
      <c r="AD468">
        <f>IF($N$63="No",-20,1)</f>
        <v>1</v>
      </c>
      <c r="AG468">
        <f>IF($N$68="No",-20,1)</f>
        <v>1</v>
      </c>
      <c r="AT468">
        <f>IF($P$63=0,1,IF(AC468&lt;=$P$63,1,-20))</f>
        <v>1</v>
      </c>
      <c r="AV468">
        <f t="shared" si="79"/>
        <v>1</v>
      </c>
      <c r="AW468" s="57">
        <f t="shared" si="80"/>
        <v>467</v>
      </c>
      <c r="AX468" s="57" t="str">
        <f t="shared" si="81"/>
        <v>Zhodani Estal Intrusion Shuttle</v>
      </c>
    </row>
    <row r="469" spans="24:50">
      <c r="X469">
        <f t="shared" si="75"/>
        <v>5</v>
      </c>
      <c r="Y469">
        <f t="shared" si="76"/>
        <v>468</v>
      </c>
      <c r="Z469">
        <v>14</v>
      </c>
      <c r="AA469" t="s">
        <v>2002</v>
      </c>
      <c r="AB469" s="4">
        <v>45870000</v>
      </c>
      <c r="AC469" s="453">
        <v>50</v>
      </c>
      <c r="AD469">
        <f>IF($N$63="No",-20,1)</f>
        <v>1</v>
      </c>
      <c r="AE469">
        <f>IF($N$64="No",-20,1)</f>
        <v>1</v>
      </c>
      <c r="AG469">
        <f>IF($N$68="No",-20,1)</f>
        <v>1</v>
      </c>
      <c r="AT469">
        <f>IF($P$63=0,1,IF(AC469&lt;=$P$63,1,-20))</f>
        <v>1</v>
      </c>
      <c r="AV469">
        <f t="shared" si="79"/>
        <v>1</v>
      </c>
      <c r="AW469" s="57">
        <f t="shared" si="80"/>
        <v>468</v>
      </c>
      <c r="AX469" s="57" t="str">
        <f t="shared" si="81"/>
        <v>Zhodani Kia Heavy Fighter</v>
      </c>
    </row>
    <row r="470" spans="24:50">
      <c r="X470">
        <f t="shared" si="75"/>
        <v>3</v>
      </c>
      <c r="Y470">
        <f t="shared" si="76"/>
        <v>469</v>
      </c>
      <c r="Z470">
        <v>14</v>
      </c>
      <c r="AA470" t="s">
        <v>2033</v>
      </c>
      <c r="AB470" s="4">
        <v>536000</v>
      </c>
      <c r="AC470" s="453">
        <v>6.5</v>
      </c>
      <c r="AD470">
        <f>IF($N$62="No",-20,1)</f>
        <v>1</v>
      </c>
      <c r="AS470">
        <f>IF($P$62=0,1,IF(AC470&lt;=$P$62,1,-20))</f>
        <v>1</v>
      </c>
      <c r="AV470">
        <f t="shared" si="79"/>
        <v>1</v>
      </c>
      <c r="AW470" s="57">
        <f t="shared" si="80"/>
        <v>469</v>
      </c>
      <c r="AX470" s="57" t="str">
        <f t="shared" si="81"/>
        <v>Zhodani Military Air/Raft</v>
      </c>
    </row>
    <row r="471" spans="24:50">
      <c r="X471">
        <f t="shared" si="75"/>
        <v>4</v>
      </c>
      <c r="Y471">
        <f t="shared" si="76"/>
        <v>470</v>
      </c>
      <c r="Z471">
        <v>14</v>
      </c>
      <c r="AA471" t="s">
        <v>2004</v>
      </c>
      <c r="AB471" s="4">
        <v>65550000</v>
      </c>
      <c r="AC471" s="453">
        <v>60</v>
      </c>
      <c r="AD471">
        <f>IF($N$63="No",-20,1)</f>
        <v>1</v>
      </c>
      <c r="AG471">
        <f>IF($N$68="No",-20,1)</f>
        <v>1</v>
      </c>
      <c r="AT471">
        <f>IF($P$63=0,1,IF(AC471&lt;=$P$63,1,-20))</f>
        <v>1</v>
      </c>
      <c r="AV471">
        <f t="shared" si="79"/>
        <v>1</v>
      </c>
      <c r="AW471" s="57">
        <f t="shared" si="80"/>
        <v>470</v>
      </c>
      <c r="AX471" s="57" t="str">
        <f t="shared" si="81"/>
        <v>Zhodani Neishetsienz Gas Giant Survey Vessel</v>
      </c>
    </row>
    <row r="472" spans="24:50">
      <c r="X472">
        <f t="shared" si="75"/>
        <v>5</v>
      </c>
      <c r="Y472">
        <f t="shared" si="76"/>
        <v>471</v>
      </c>
      <c r="Z472">
        <v>13</v>
      </c>
      <c r="AA472" t="s">
        <v>2001</v>
      </c>
      <c r="AB472" s="4">
        <v>16526000</v>
      </c>
      <c r="AC472" s="453">
        <v>8</v>
      </c>
      <c r="AD472">
        <f>IF($N$63="No",-20,1)</f>
        <v>1</v>
      </c>
      <c r="AE472">
        <f>IF($N$64="No",-20,1)</f>
        <v>1</v>
      </c>
      <c r="AG472">
        <f>IF($N$68="No",-20,1)</f>
        <v>1</v>
      </c>
      <c r="AT472">
        <f>IF($P$63=0,1,IF(AC472&lt;=$P$63,1,-20))</f>
        <v>1</v>
      </c>
      <c r="AV472">
        <f t="shared" si="79"/>
        <v>1</v>
      </c>
      <c r="AW472" s="57">
        <f t="shared" si="80"/>
        <v>471</v>
      </c>
      <c r="AX472" s="57" t="str">
        <f t="shared" si="81"/>
        <v>Zhodani Tlatl Light Fighter</v>
      </c>
    </row>
    <row r="473" spans="24:50">
      <c r="X473">
        <f t="shared" si="75"/>
        <v>5</v>
      </c>
      <c r="Y473">
        <f t="shared" si="76"/>
        <v>472</v>
      </c>
      <c r="Z473">
        <v>14</v>
      </c>
      <c r="AA473" t="s">
        <v>2029</v>
      </c>
      <c r="AB473" s="4">
        <v>10461960</v>
      </c>
      <c r="AC473" s="453">
        <v>8</v>
      </c>
      <c r="AD473">
        <f>IF($N$63="No",-20,1)</f>
        <v>1</v>
      </c>
      <c r="AE473">
        <f>IF($N$64="No",-20,1)</f>
        <v>1</v>
      </c>
      <c r="AP473">
        <f>IF($N$77="No",-20,1)</f>
        <v>1</v>
      </c>
      <c r="AT473">
        <f>IF($P$63=0,1,IF(AC473&lt;=$P$63,1,-20))</f>
        <v>1</v>
      </c>
      <c r="AV473">
        <f t="shared" si="79"/>
        <v>1</v>
      </c>
      <c r="AW473" s="57">
        <f t="shared" si="80"/>
        <v>472</v>
      </c>
      <c r="AX473" s="57" t="str">
        <f t="shared" si="81"/>
        <v>Zhodani Zdiezhi-Class Light Fighter</v>
      </c>
    </row>
    <row r="474" spans="24:50">
      <c r="X474">
        <f t="shared" si="75"/>
        <v>4</v>
      </c>
      <c r="Y474">
        <f t="shared" si="76"/>
        <v>473</v>
      </c>
      <c r="Z474">
        <v>13</v>
      </c>
      <c r="AA474" t="s">
        <v>1901</v>
      </c>
      <c r="AB474" s="4">
        <v>16400000</v>
      </c>
      <c r="AC474" s="453">
        <v>20</v>
      </c>
      <c r="AD474">
        <f>IF($N$62="No",-20,1)</f>
        <v>1</v>
      </c>
      <c r="AJ474">
        <f t="shared" ref="AJ474:AJ481" si="83">IF($N$71="No",-20,1)</f>
        <v>1</v>
      </c>
      <c r="AS474">
        <f>IF($P$62=0,1,IF(AC474&lt;=$P$62,1,-20))</f>
        <v>1</v>
      </c>
      <c r="AV474">
        <f t="shared" si="79"/>
        <v>1</v>
      </c>
      <c r="AW474" s="57">
        <f t="shared" si="80"/>
        <v>473</v>
      </c>
      <c r="AX474" s="57" t="str">
        <f t="shared" si="81"/>
        <v>Zhodoni Imperious G-Carrier</v>
      </c>
    </row>
    <row r="475" spans="24:50">
      <c r="X475">
        <f t="shared" si="75"/>
        <v>4</v>
      </c>
      <c r="Y475">
        <f t="shared" si="76"/>
        <v>474</v>
      </c>
      <c r="Z475">
        <v>12</v>
      </c>
      <c r="AA475" t="s">
        <v>1903</v>
      </c>
      <c r="AB475" s="4">
        <v>2850000</v>
      </c>
      <c r="AC475" s="453">
        <v>7.5</v>
      </c>
      <c r="AD475">
        <f>IF($N$62="No",-20,1)</f>
        <v>1</v>
      </c>
      <c r="AJ475">
        <f t="shared" si="83"/>
        <v>1</v>
      </c>
      <c r="AS475">
        <f>IF($P$62=0,1,IF(AC475&lt;=$P$62,1,-20))</f>
        <v>1</v>
      </c>
      <c r="AV475">
        <f t="shared" si="79"/>
        <v>1</v>
      </c>
      <c r="AW475" s="57">
        <f t="shared" si="80"/>
        <v>474</v>
      </c>
      <c r="AX475" s="57" t="str">
        <f t="shared" si="81"/>
        <v>Zhodoni Insight Scout Sled</v>
      </c>
    </row>
    <row r="476" spans="24:50">
      <c r="X476">
        <f t="shared" si="75"/>
        <v>4</v>
      </c>
      <c r="Y476">
        <f t="shared" si="76"/>
        <v>475</v>
      </c>
      <c r="Z476">
        <v>12</v>
      </c>
      <c r="AA476" t="s">
        <v>1907</v>
      </c>
      <c r="AB476" s="4">
        <v>49795000</v>
      </c>
      <c r="AC476" s="453">
        <v>100</v>
      </c>
      <c r="AD476">
        <f>IF($N$65="No",-20,1)</f>
        <v>1</v>
      </c>
      <c r="AJ476">
        <f t="shared" si="83"/>
        <v>1</v>
      </c>
      <c r="AU476">
        <f>IF($P$65=0,1,IF(AC476&lt;=$P$65,1,-20))</f>
        <v>1</v>
      </c>
      <c r="AV476">
        <f t="shared" si="79"/>
        <v>1</v>
      </c>
      <c r="AW476" s="57">
        <f t="shared" si="80"/>
        <v>475</v>
      </c>
      <c r="AX476" s="57" t="str">
        <f t="shared" si="81"/>
        <v xml:space="preserve">Zhodoni Ninz-Class Scout </v>
      </c>
    </row>
    <row r="477" spans="24:50">
      <c r="X477">
        <f t="shared" si="75"/>
        <v>4</v>
      </c>
      <c r="Y477">
        <f t="shared" si="76"/>
        <v>476</v>
      </c>
      <c r="Z477">
        <v>14</v>
      </c>
      <c r="AA477" t="s">
        <v>1904</v>
      </c>
      <c r="AB477" s="4">
        <v>29750000</v>
      </c>
      <c r="AC477" s="453">
        <v>37.5</v>
      </c>
      <c r="AD477">
        <f t="shared" ref="AD477:AD482" si="84">IF($N$62="No",-20,1)</f>
        <v>1</v>
      </c>
      <c r="AJ477">
        <f t="shared" si="83"/>
        <v>1</v>
      </c>
      <c r="AS477">
        <f t="shared" ref="AS477:AS482" si="85">IF($P$62=0,1,IF(AC477&lt;=$P$62,1,-20))</f>
        <v>1</v>
      </c>
      <c r="AV477">
        <f t="shared" si="79"/>
        <v>1</v>
      </c>
      <c r="AW477" s="57">
        <f t="shared" si="80"/>
        <v>476</v>
      </c>
      <c r="AX477" s="57" t="str">
        <f t="shared" si="81"/>
        <v>Zhodoni Princely Lord Attack Speeder</v>
      </c>
    </row>
    <row r="478" spans="24:50">
      <c r="X478">
        <f t="shared" si="75"/>
        <v>4</v>
      </c>
      <c r="Y478">
        <f t="shared" si="76"/>
        <v>477</v>
      </c>
      <c r="Z478">
        <v>14</v>
      </c>
      <c r="AA478" t="s">
        <v>1906</v>
      </c>
      <c r="AB478" s="4">
        <v>10800000</v>
      </c>
      <c r="AC478" s="453">
        <v>20</v>
      </c>
      <c r="AD478">
        <f t="shared" si="84"/>
        <v>1</v>
      </c>
      <c r="AJ478">
        <f t="shared" si="83"/>
        <v>1</v>
      </c>
      <c r="AS478">
        <f t="shared" si="85"/>
        <v>1</v>
      </c>
      <c r="AV478">
        <f t="shared" si="79"/>
        <v>1</v>
      </c>
      <c r="AW478" s="57">
        <f t="shared" si="80"/>
        <v>477</v>
      </c>
      <c r="AX478" s="57" t="str">
        <f t="shared" si="81"/>
        <v>Zhodoni Qiknavra Grav Tank</v>
      </c>
    </row>
    <row r="479" spans="24:50">
      <c r="X479">
        <f t="shared" si="75"/>
        <v>4</v>
      </c>
      <c r="Y479">
        <f t="shared" si="76"/>
        <v>478</v>
      </c>
      <c r="Z479">
        <v>14</v>
      </c>
      <c r="AA479" t="s">
        <v>1905</v>
      </c>
      <c r="AB479" s="4">
        <v>28550000</v>
      </c>
      <c r="AC479" s="453">
        <v>37.5</v>
      </c>
      <c r="AD479">
        <f t="shared" si="84"/>
        <v>1</v>
      </c>
      <c r="AJ479">
        <f t="shared" si="83"/>
        <v>1</v>
      </c>
      <c r="AS479">
        <f t="shared" si="85"/>
        <v>1</v>
      </c>
      <c r="AV479">
        <f t="shared" si="79"/>
        <v>1</v>
      </c>
      <c r="AW479" s="57">
        <f t="shared" si="80"/>
        <v>478</v>
      </c>
      <c r="AX479" s="57" t="str">
        <f t="shared" si="81"/>
        <v xml:space="preserve">Zhodoni Silent Grasp Attack Speeder </v>
      </c>
    </row>
    <row r="480" spans="24:50">
      <c r="X480">
        <f t="shared" si="75"/>
        <v>4</v>
      </c>
      <c r="Y480">
        <f t="shared" si="76"/>
        <v>479</v>
      </c>
      <c r="Z480">
        <v>10</v>
      </c>
      <c r="AA480" t="s">
        <v>1902</v>
      </c>
      <c r="AB480" s="4">
        <v>10300000</v>
      </c>
      <c r="AC480" s="453">
        <v>15</v>
      </c>
      <c r="AD480">
        <f t="shared" si="84"/>
        <v>1</v>
      </c>
      <c r="AJ480">
        <f t="shared" si="83"/>
        <v>1</v>
      </c>
      <c r="AS480">
        <f t="shared" si="85"/>
        <v>1</v>
      </c>
      <c r="AV480">
        <f t="shared" si="79"/>
        <v>1</v>
      </c>
      <c r="AW480" s="57">
        <f t="shared" si="80"/>
        <v>479</v>
      </c>
      <c r="AX480" s="57" t="str">
        <f t="shared" si="81"/>
        <v>Zhodoni Unity Grav AFV</v>
      </c>
    </row>
    <row r="481" spans="24:50">
      <c r="X481">
        <f t="shared" si="75"/>
        <v>4</v>
      </c>
      <c r="Y481">
        <f t="shared" si="76"/>
        <v>480</v>
      </c>
      <c r="Z481">
        <v>12</v>
      </c>
      <c r="AA481" t="s">
        <v>1900</v>
      </c>
      <c r="AB481" s="4">
        <v>980000</v>
      </c>
      <c r="AC481" s="453">
        <v>10</v>
      </c>
      <c r="AD481">
        <f t="shared" si="84"/>
        <v>1</v>
      </c>
      <c r="AJ481">
        <f t="shared" si="83"/>
        <v>1</v>
      </c>
      <c r="AS481">
        <f t="shared" si="85"/>
        <v>1</v>
      </c>
      <c r="AV481">
        <f t="shared" si="79"/>
        <v>1</v>
      </c>
      <c r="AW481" s="57">
        <f t="shared" si="80"/>
        <v>480</v>
      </c>
      <c r="AX481" s="57" t="str">
        <f t="shared" si="81"/>
        <v xml:space="preserve">Zhodoni Utility Grav Sled </v>
      </c>
    </row>
    <row r="482" spans="24:50">
      <c r="X482">
        <f t="shared" si="75"/>
        <v>4</v>
      </c>
      <c r="Y482">
        <f t="shared" si="76"/>
        <v>481</v>
      </c>
      <c r="Z482">
        <v>7</v>
      </c>
      <c r="AA482" t="s">
        <v>2281</v>
      </c>
      <c r="AB482" s="4">
        <v>1757900</v>
      </c>
      <c r="AC482" s="493">
        <v>100</v>
      </c>
      <c r="AD482">
        <f t="shared" si="84"/>
        <v>1</v>
      </c>
      <c r="AR482">
        <f>IF($N$79="No",-20,1)</f>
        <v>1</v>
      </c>
      <c r="AS482">
        <f t="shared" si="85"/>
        <v>1</v>
      </c>
      <c r="AV482">
        <f t="shared" si="79"/>
        <v>1</v>
      </c>
      <c r="AW482" s="57">
        <f t="shared" si="80"/>
        <v>481</v>
      </c>
      <c r="AX482" s="57" t="str">
        <f t="shared" si="81"/>
        <v>ZRM Airstrike Platform (JTAS Vol. 12)</v>
      </c>
    </row>
    <row r="485" spans="24:50" ht="16">
      <c r="Z485" s="459"/>
      <c r="AA485" s="459"/>
      <c r="AB485" s="460"/>
      <c r="AC485" s="461"/>
      <c r="AD485" s="459"/>
    </row>
  </sheetData>
  <sheetProtection algorithmName="SHA-512" hashValue="ksZJOTqOUDNDFRQgZNvgXmoGXiudCfKKkY9cKpxkZAsOxdMopxoOAqSsrR2Vw/kmv30UgJ79c7hojtflSAYflA==" saltValue="UV28GL+90gjtlyjN7G1eVw==" spinCount="100000" sheet="1" selectLockedCells="1"/>
  <sortState xmlns:xlrd2="http://schemas.microsoft.com/office/spreadsheetml/2017/richdata2" ref="Z3:AV482">
    <sortCondition ref="AA3:AA482"/>
  </sortState>
  <mergeCells count="14">
    <mergeCell ref="P66:Q66"/>
    <mergeCell ref="P62:Q62"/>
    <mergeCell ref="P65:Q65"/>
    <mergeCell ref="H4:I4"/>
    <mergeCell ref="K4:L4"/>
    <mergeCell ref="P63:Q63"/>
    <mergeCell ref="O57:Q57"/>
    <mergeCell ref="I28:J28"/>
    <mergeCell ref="I29:J29"/>
    <mergeCell ref="I30:J30"/>
    <mergeCell ref="I31:J31"/>
    <mergeCell ref="I32:J32"/>
    <mergeCell ref="I33:J33"/>
    <mergeCell ref="I27:J27"/>
  </mergeCells>
  <conditionalFormatting sqref="A35:A40">
    <cfRule type="expression" dxfId="258" priority="6">
      <formula>$B35=$S$53</formula>
    </cfRule>
  </conditionalFormatting>
  <conditionalFormatting sqref="A48:A52">
    <cfRule type="expression" dxfId="257" priority="5">
      <formula>$B48=$S$53</formula>
    </cfRule>
  </conditionalFormatting>
  <conditionalFormatting sqref="A10:B10">
    <cfRule type="expression" dxfId="256" priority="70">
      <formula>$E$10&gt;$E$2</formula>
    </cfRule>
  </conditionalFormatting>
  <conditionalFormatting sqref="A11:B11">
    <cfRule type="expression" dxfId="255" priority="69">
      <formula>12&gt;$E$2</formula>
    </cfRule>
  </conditionalFormatting>
  <conditionalFormatting sqref="A12:B12">
    <cfRule type="expression" dxfId="254" priority="68">
      <formula>$E$12&gt;$E$2</formula>
    </cfRule>
  </conditionalFormatting>
  <conditionalFormatting sqref="A13:B13">
    <cfRule type="expression" dxfId="253" priority="67">
      <formula>$E$13&gt;$E$2</formula>
    </cfRule>
  </conditionalFormatting>
  <conditionalFormatting sqref="A24:C24">
    <cfRule type="expression" dxfId="252" priority="1">
      <formula>$U$66=0</formula>
    </cfRule>
  </conditionalFormatting>
  <conditionalFormatting sqref="B17:B18 B10:B13 B20:B23 B28:B33 B35:B40 B42:B46 B48:B52 B54:B58 B60:B64">
    <cfRule type="cellIs" dxfId="251" priority="14" operator="equal">
      <formula>"Not Installed"</formula>
    </cfRule>
  </conditionalFormatting>
  <conditionalFormatting sqref="B18 B28:B33 B35:B40 B42:B46 B48:B52 B54:B58 B60:B64">
    <cfRule type="cellIs" dxfId="250" priority="13" operator="equal">
      <formula>" Not Installed"</formula>
    </cfRule>
  </conditionalFormatting>
  <conditionalFormatting sqref="B18">
    <cfRule type="cellIs" dxfId="249" priority="12" operator="equal">
      <formula>$S$14</formula>
    </cfRule>
  </conditionalFormatting>
  <conditionalFormatting sqref="B24">
    <cfRule type="expression" dxfId="248" priority="2">
      <formula>AND($B$24&lt;&gt;"",$U$66=0)</formula>
    </cfRule>
    <cfRule type="expression" dxfId="247" priority="4">
      <formula>$B$24="GP Mass Driver Added Capacity"</formula>
    </cfRule>
  </conditionalFormatting>
  <conditionalFormatting sqref="C10">
    <cfRule type="expression" dxfId="246" priority="75">
      <formula>$B$10=$S$3</formula>
    </cfRule>
  </conditionalFormatting>
  <conditionalFormatting sqref="C11">
    <cfRule type="expression" dxfId="245" priority="74">
      <formula>$B$11=$S$3</formula>
    </cfRule>
  </conditionalFormatting>
  <conditionalFormatting sqref="C12">
    <cfRule type="expression" dxfId="244" priority="73">
      <formula>$B$12=$S$3</formula>
    </cfRule>
  </conditionalFormatting>
  <conditionalFormatting sqref="C17">
    <cfRule type="expression" dxfId="243" priority="66">
      <formula>$B$17=$S$3</formula>
    </cfRule>
  </conditionalFormatting>
  <conditionalFormatting sqref="C18:C19">
    <cfRule type="expression" dxfId="242" priority="21">
      <formula>$B$18=$S$14</formula>
    </cfRule>
  </conditionalFormatting>
  <conditionalFormatting sqref="C20">
    <cfRule type="expression" dxfId="241" priority="63">
      <formula>$B$20=$S$3</formula>
    </cfRule>
  </conditionalFormatting>
  <conditionalFormatting sqref="C21">
    <cfRule type="expression" dxfId="240" priority="62">
      <formula>$B$21=$S$3</formula>
    </cfRule>
  </conditionalFormatting>
  <conditionalFormatting sqref="C22">
    <cfRule type="expression" dxfId="239" priority="61">
      <formula>$B$22=$S$3</formula>
    </cfRule>
  </conditionalFormatting>
  <conditionalFormatting sqref="C23">
    <cfRule type="expression" dxfId="238" priority="60">
      <formula>$B$23=$S$3</formula>
    </cfRule>
  </conditionalFormatting>
  <conditionalFormatting sqref="C24">
    <cfRule type="expression" dxfId="237" priority="3">
      <formula>$B$24=""</formula>
    </cfRule>
  </conditionalFormatting>
  <conditionalFormatting sqref="C42">
    <cfRule type="expression" dxfId="234" priority="28">
      <formula>$B$42=$S$20</formula>
    </cfRule>
  </conditionalFormatting>
  <conditionalFormatting sqref="C43">
    <cfRule type="expression" dxfId="233" priority="27">
      <formula>$B$43=$S$20</formula>
    </cfRule>
  </conditionalFormatting>
  <conditionalFormatting sqref="C44">
    <cfRule type="expression" dxfId="232" priority="26">
      <formula>$B$44=$S$20</formula>
    </cfRule>
  </conditionalFormatting>
  <conditionalFormatting sqref="C45">
    <cfRule type="expression" dxfId="231" priority="25">
      <formula>$B$45=$S$20</formula>
    </cfRule>
  </conditionalFormatting>
  <conditionalFormatting sqref="C46">
    <cfRule type="expression" dxfId="230" priority="24">
      <formula>$B$46=$S$20</formula>
    </cfRule>
  </conditionalFormatting>
  <conditionalFormatting sqref="C66">
    <cfRule type="expression" dxfId="229" priority="58">
      <formula>$S$60=0</formula>
    </cfRule>
  </conditionalFormatting>
  <conditionalFormatting sqref="C29:D29">
    <cfRule type="expression" dxfId="228" priority="57">
      <formula>$B$29=$S$20</formula>
    </cfRule>
  </conditionalFormatting>
  <conditionalFormatting sqref="C30:D30">
    <cfRule type="expression" dxfId="227" priority="56">
      <formula>$B$30=$S$20</formula>
    </cfRule>
  </conditionalFormatting>
  <conditionalFormatting sqref="C31:D31">
    <cfRule type="expression" dxfId="226" priority="55">
      <formula>$B$31=$S$20</formula>
    </cfRule>
  </conditionalFormatting>
  <conditionalFormatting sqref="C32:D32">
    <cfRule type="expression" dxfId="225" priority="54">
      <formula>$B$32=$S$20</formula>
    </cfRule>
  </conditionalFormatting>
  <conditionalFormatting sqref="C33:D33">
    <cfRule type="expression" dxfId="224" priority="53">
      <formula>$B$33=$S$20</formula>
    </cfRule>
  </conditionalFormatting>
  <conditionalFormatting sqref="C35:D35">
    <cfRule type="expression" dxfId="223" priority="52">
      <formula>$B$35=$S$20</formula>
    </cfRule>
  </conditionalFormatting>
  <conditionalFormatting sqref="C36:D36">
    <cfRule type="expression" dxfId="222" priority="51">
      <formula>$B$36=$S$20</formula>
    </cfRule>
  </conditionalFormatting>
  <conditionalFormatting sqref="C37:D37">
    <cfRule type="expression" dxfId="221" priority="50">
      <formula>$B$37=$S$20</formula>
    </cfRule>
  </conditionalFormatting>
  <conditionalFormatting sqref="C38:D38">
    <cfRule type="expression" dxfId="220" priority="49">
      <formula>$B$38=$S$20</formula>
    </cfRule>
  </conditionalFormatting>
  <conditionalFormatting sqref="C39:D39">
    <cfRule type="expression" dxfId="219" priority="48">
      <formula>$B$39=$S$20</formula>
    </cfRule>
  </conditionalFormatting>
  <conditionalFormatting sqref="C40:D40">
    <cfRule type="expression" dxfId="218" priority="47">
      <formula>$B$40=$S$20</formula>
    </cfRule>
  </conditionalFormatting>
  <conditionalFormatting sqref="C48:D48">
    <cfRule type="expression" dxfId="217" priority="46">
      <formula>$B$48=$S$20</formula>
    </cfRule>
  </conditionalFormatting>
  <conditionalFormatting sqref="C49:D49">
    <cfRule type="expression" dxfId="216" priority="45">
      <formula>$B$49=$S$20</formula>
    </cfRule>
  </conditionalFormatting>
  <conditionalFormatting sqref="C50:D50">
    <cfRule type="expression" dxfId="215" priority="44">
      <formula>$B$50=$S$20</formula>
    </cfRule>
  </conditionalFormatting>
  <conditionalFormatting sqref="C51:D51">
    <cfRule type="expression" dxfId="214" priority="43">
      <formula>$B$51=$S$20</formula>
    </cfRule>
  </conditionalFormatting>
  <conditionalFormatting sqref="C52:D52">
    <cfRule type="expression" dxfId="213" priority="42">
      <formula>$B$52=$S$20</formula>
    </cfRule>
  </conditionalFormatting>
  <conditionalFormatting sqref="C54:D54">
    <cfRule type="expression" dxfId="212" priority="40">
      <formula>$B$54=$S$20</formula>
    </cfRule>
  </conditionalFormatting>
  <conditionalFormatting sqref="C55:D55">
    <cfRule type="expression" dxfId="211" priority="39">
      <formula>$B$55=$S$20</formula>
    </cfRule>
  </conditionalFormatting>
  <conditionalFormatting sqref="C56:D56">
    <cfRule type="expression" dxfId="210" priority="38">
      <formula>$B$56=$S$20</formula>
    </cfRule>
  </conditionalFormatting>
  <conditionalFormatting sqref="C57:D57">
    <cfRule type="expression" dxfId="209" priority="37">
      <formula>$B$57=$S$20</formula>
    </cfRule>
  </conditionalFormatting>
  <conditionalFormatting sqref="C58:D58">
    <cfRule type="expression" dxfId="208" priority="36">
      <formula>$B$58=$S$20</formula>
    </cfRule>
  </conditionalFormatting>
  <conditionalFormatting sqref="C60:D60">
    <cfRule type="expression" dxfId="207" priority="35">
      <formula>$B$60=$S$20</formula>
    </cfRule>
  </conditionalFormatting>
  <conditionalFormatting sqref="C61:D61">
    <cfRule type="expression" dxfId="206" priority="34">
      <formula>$B$61=$S$20</formula>
    </cfRule>
  </conditionalFormatting>
  <conditionalFormatting sqref="C62:D62">
    <cfRule type="expression" dxfId="205" priority="33">
      <formula>$B$62=$S$20</formula>
    </cfRule>
  </conditionalFormatting>
  <conditionalFormatting sqref="C63:D63">
    <cfRule type="expression" dxfId="204" priority="32">
      <formula>$B$63=$S$20</formula>
    </cfRule>
  </conditionalFormatting>
  <conditionalFormatting sqref="C64:D64">
    <cfRule type="expression" dxfId="203" priority="31">
      <formula>$B$64=$S$20</formula>
    </cfRule>
  </conditionalFormatting>
  <conditionalFormatting sqref="E11">
    <cfRule type="expression" dxfId="202" priority="18">
      <formula>AND($B$11=$S$2,$E$11&gt;$E$2)</formula>
    </cfRule>
  </conditionalFormatting>
  <conditionalFormatting sqref="E12:E13">
    <cfRule type="expression" dxfId="201" priority="17">
      <formula>AND($B$12=$S$2,$E$12&gt;$E$2)</formula>
    </cfRule>
  </conditionalFormatting>
  <conditionalFormatting sqref="E18">
    <cfRule type="expression" dxfId="200" priority="20">
      <formula>$E$18&gt;$E$2</formula>
    </cfRule>
  </conditionalFormatting>
  <conditionalFormatting sqref="E18:E19">
    <cfRule type="expression" dxfId="199" priority="23">
      <formula>$E$19&gt;$E$2</formula>
    </cfRule>
  </conditionalFormatting>
  <conditionalFormatting sqref="E28:E33">
    <cfRule type="expression" dxfId="198" priority="19">
      <formula>MAX($E$28:$E$33)&gt;$E$2</formula>
    </cfRule>
  </conditionalFormatting>
  <conditionalFormatting sqref="H6">
    <cfRule type="expression" dxfId="197" priority="30">
      <formula>$H$6&lt;0</formula>
    </cfRule>
  </conditionalFormatting>
  <conditionalFormatting sqref="K6">
    <cfRule type="expression" dxfId="196" priority="29">
      <formula>$K$6&lt;0</formula>
    </cfRule>
  </conditionalFormatting>
  <conditionalFormatting sqref="N58 N61:N65">
    <cfRule type="expression" dxfId="195" priority="11">
      <formula>$N58="Yes"</formula>
    </cfRule>
  </conditionalFormatting>
  <conditionalFormatting sqref="N67:N79">
    <cfRule type="expression" dxfId="194" priority="9">
      <formula>$N67="Yes"</formula>
    </cfRule>
  </conditionalFormatting>
  <dataValidations count="21">
    <dataValidation type="list" allowBlank="1" showInputMessage="1" showErrorMessage="1" sqref="B10:B13 B17 B20:B23" xr:uid="{AD66B17F-B6FC-4CF1-9F2E-30BD8CF7C3E2}">
      <formula1>$S$2:$S$3</formula1>
    </dataValidation>
    <dataValidation type="list" allowBlank="1" showInputMessage="1" showErrorMessage="1" prompt="A Successful Pilot Check with a Forced Linkage Aparatus grants a DM+2 to Boarding Actions" sqref="B18" xr:uid="{D34F0045-8098-4A25-A558-D72EE19491DA}">
      <formula1>$S$14:$S$18</formula1>
    </dataValidation>
    <dataValidation type="list" allowBlank="1" showInputMessage="1" showErrorMessage="1" sqref="C66" xr:uid="{B7C37544-4439-4F28-A5C8-87E7B81F70DD}">
      <formula1>$T$2:$T$3</formula1>
    </dataValidation>
    <dataValidation type="whole" operator="greaterThanOrEqual" allowBlank="1" showInputMessage="1" showErrorMessage="1" prompt="Quantity" sqref="C17:C18 C20:C21" xr:uid="{2BAE51D8-42C0-42A1-B90B-1A8F4ABA258A}">
      <formula1>0</formula1>
    </dataValidation>
    <dataValidation type="whole" operator="greaterThanOrEqual" allowBlank="1" showInputMessage="1" showErrorMessage="1" sqref="C29:C33 C35:C40 C48:C52 C54:C58 C60:C64 C42:C46 C10:C12 P27:P56" xr:uid="{EEEDA2D2-EC3B-47FC-97D2-BB0FA041C194}">
      <formula1>0</formula1>
    </dataValidation>
    <dataValidation type="list" allowBlank="1" showInputMessage="1" showErrorMessage="1" sqref="B29:B33" xr:uid="{C524534B-B485-4921-B2C8-B97D2F2554C4}">
      <formula1>$S$20:$S$25</formula1>
    </dataValidation>
    <dataValidation type="decimal" operator="greaterThanOrEqual" allowBlank="1" showInputMessage="1" showErrorMessage="1" prompt="Minimum Airlock size is two tons." sqref="D29:D33" xr:uid="{5616A969-E91B-4A61-85A8-6D574CDC19F4}">
      <formula1>0</formula1>
    </dataValidation>
    <dataValidation type="list" allowBlank="1" showInputMessage="1" showErrorMessage="1" sqref="B48:B52 B54:B58 B60:B64 B42:B46 B35:B40" xr:uid="{EC1DAF03-7354-4634-ABA6-8E4866B892DD}">
      <formula1>$S$20:$S$21</formula1>
    </dataValidation>
    <dataValidation type="decimal" operator="greaterThanOrEqual" allowBlank="1" showInputMessage="1" showErrorMessage="1" prompt="Maximum size of craft or vehicle to be docked" sqref="D35:D40" xr:uid="{6F9D2373-F027-4B1B-8FC5-348106994D95}">
      <formula1>0</formula1>
    </dataValidation>
    <dataValidation type="decimal" operator="greaterThanOrEqual" allowBlank="1" showInputMessage="1" showErrorMessage="1" prompt="Input the total of the sizes of all craft to be stored in the Full Hangar Bay. (i.e. Ten fighters displacing ten tons each = 100 tons)" sqref="D48:D52" xr:uid="{A6130576-9586-4438-ACA5-7D28E5DDE5CA}">
      <formula1>0</formula1>
    </dataValidation>
    <dataValidation type="decimal" operator="greaterThanOrEqual" allowBlank="1" showInputMessage="1" showErrorMessage="1" prompt="Input the maximum size of craft to be launched." sqref="D60:D64 D54:D58" xr:uid="{13B27897-263B-43BD-80B6-0C43CC15DEC3}">
      <formula1>0</formula1>
    </dataValidation>
    <dataValidation type="decimal" operator="greaterThanOrEqual" allowBlank="1" showInputMessage="1" showErrorMessage="1" prompt="Tonnage devoted to UNREP System" sqref="C23" xr:uid="{DEFE7819-168D-4DD5-9A3B-0A53C7771A58}">
      <formula1>0</formula1>
    </dataValidation>
    <dataValidation type="list" allowBlank="1" showInputMessage="1" showErrorMessage="1" prompt="Ships may have one included airlock per 100 tons or fraction thereof. Small craft do not have one included and must add an Additional Airlock. " sqref="B28" xr:uid="{85E0FBB9-2CCD-49E6-B86B-5C8E096D1CE4}">
      <formula1>$S$20:$S$25</formula1>
    </dataValidation>
    <dataValidation type="whole" allowBlank="1" showInputMessage="1" showErrorMessage="1" sqref="C28" xr:uid="{1B58769C-CED6-4131-B825-C35680B4495B}">
      <formula1>0</formula1>
      <formula2>T33</formula2>
    </dataValidation>
    <dataValidation type="list" allowBlank="1" showInputMessage="1" showErrorMessage="1" sqref="N58 N61:N65 N67:N79" xr:uid="{4B30DA98-41F5-4351-87FB-99314C4809E2}">
      <formula1>"Yes,No"</formula1>
    </dataValidation>
    <dataValidation type="list" allowBlank="1" showInputMessage="1" showErrorMessage="1" sqref="M27:M36" xr:uid="{6404E6C6-4B8C-4A1D-9EA0-4EB5D1BD9A12}">
      <formula1>$AX$2:$AX$482</formula1>
    </dataValidation>
    <dataValidation type="list" allowBlank="1" showInputMessage="1" showErrorMessage="1" sqref="C19" xr:uid="{DAB22FA1-4640-4AEC-9F1F-465882D77DB9}">
      <formula1>$U$2:$U$3</formula1>
    </dataValidation>
    <dataValidation type="list" allowBlank="1" showInputMessage="1" showErrorMessage="1" sqref="A35:A40" xr:uid="{1341C4CE-0F02-49DB-87F3-E6366DED6766}">
      <formula1>$S$55:$S$56</formula1>
    </dataValidation>
    <dataValidation type="list" allowBlank="1" showInputMessage="1" showErrorMessage="1" sqref="A48:A52" xr:uid="{295382D9-7245-47CC-885C-701929E756DD}">
      <formula1>$S$57:$S$58</formula1>
    </dataValidation>
    <dataValidation type="list" allowBlank="1" showInputMessage="1" showErrorMessage="1" sqref="B24" xr:uid="{4EAB63F3-9679-451E-8F4B-BA243C950443}">
      <formula1>$S$66:$S$67</formula1>
    </dataValidation>
    <dataValidation type="decimal" operator="greaterThanOrEqual" allowBlank="1" showInputMessage="1" showErrorMessage="1" prompt="Tonnage devoted to Extra GP Mass Driver Capacity" sqref="C24" xr:uid="{832984BB-7871-4731-8645-76CEC641BF89}">
      <formula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6" id="{972A16D0-41C5-49EF-9456-8D60A62969C2}">
            <xm:f>AND('1-Hull'!$B$4&lt;100,$C$28&gt;0)</xm:f>
            <x14:dxf>
              <fill>
                <patternFill>
                  <bgColor rgb="FFFF0000"/>
                </patternFill>
              </fill>
            </x14:dxf>
          </x14:cfRule>
          <x14:cfRule type="expression" priority="15" id="{6B63D2EF-77C9-4E86-9234-0A864EBD9C57}">
            <xm:f>C28&gt;ROUNDUP('1-Hull'!B4/100,0)</xm:f>
            <x14:dxf>
              <fill>
                <patternFill>
                  <bgColor rgb="FFFF0000"/>
                </patternFill>
              </fill>
            </x14:dxf>
          </x14:cfRule>
          <xm:sqref>C28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7A36E-E414-4F76-9462-3E545305381C}">
  <dimension ref="A1:W126"/>
  <sheetViews>
    <sheetView workbookViewId="0">
      <selection activeCell="D101" sqref="D101"/>
    </sheetView>
  </sheetViews>
  <sheetFormatPr baseColWidth="10" defaultColWidth="8.83203125" defaultRowHeight="15"/>
  <cols>
    <col min="1" max="1" width="24.1640625" customWidth="1"/>
    <col min="2" max="2" width="32.1640625" customWidth="1"/>
    <col min="3" max="3" width="13.33203125" customWidth="1"/>
    <col min="4" max="4" width="20.6640625" customWidth="1"/>
    <col min="5" max="5" width="3.6640625" style="2" customWidth="1"/>
    <col min="6" max="6" width="18" customWidth="1"/>
    <col min="8" max="8" width="11.83203125" customWidth="1"/>
    <col min="9" max="9" width="10.33203125" customWidth="1"/>
    <col min="11" max="11" width="11" customWidth="1"/>
    <col min="12" max="12" width="11.1640625" customWidth="1"/>
    <col min="19" max="19" width="27.33203125" hidden="1" customWidth="1"/>
    <col min="20" max="23" width="9.1640625" hidden="1" customWidth="1"/>
    <col min="24" max="24" width="9.1640625" customWidth="1"/>
  </cols>
  <sheetData>
    <row r="1" spans="1:19">
      <c r="A1" s="3" t="str">
        <f>'Ship Info'!A1</f>
        <v>Ship's Class Name</v>
      </c>
      <c r="B1" t="str">
        <f>'Ship Info'!B1</f>
        <v>Zhodani Long Range Scout</v>
      </c>
      <c r="F1" s="1" t="s">
        <v>1</v>
      </c>
    </row>
    <row r="2" spans="1:19">
      <c r="A2" s="3" t="s">
        <v>432</v>
      </c>
      <c r="B2" t="str">
        <f>'Ship Info'!B2</f>
        <v>Scout</v>
      </c>
      <c r="D2" s="3" t="s">
        <v>0</v>
      </c>
      <c r="E2" s="2">
        <f>'Ship Info'!F2</f>
        <v>14</v>
      </c>
      <c r="F2" s="10">
        <f>'Ship Info'!G2</f>
        <v>621511800.00000012</v>
      </c>
    </row>
    <row r="3" spans="1:19">
      <c r="F3" s="10"/>
      <c r="G3" s="79"/>
      <c r="H3" s="506">
        <f>S10</f>
        <v>21</v>
      </c>
      <c r="I3" s="28"/>
      <c r="J3" s="79"/>
      <c r="K3" s="507">
        <f>S13</f>
        <v>1</v>
      </c>
      <c r="S3" t="s">
        <v>375</v>
      </c>
    </row>
    <row r="4" spans="1:19">
      <c r="F4" s="508" t="s">
        <v>45</v>
      </c>
      <c r="H4" s="787" t="s">
        <v>46</v>
      </c>
      <c r="I4" s="787"/>
      <c r="K4" s="787" t="s">
        <v>47</v>
      </c>
      <c r="L4" s="787"/>
      <c r="S4" t="s">
        <v>113</v>
      </c>
    </row>
    <row r="5" spans="1:19">
      <c r="F5" s="506">
        <f>SUM(F10:F119)</f>
        <v>8750000</v>
      </c>
      <c r="H5" s="1" t="s">
        <v>403</v>
      </c>
      <c r="I5" s="1" t="s">
        <v>27</v>
      </c>
      <c r="K5" s="1" t="s">
        <v>403</v>
      </c>
      <c r="L5" s="1" t="s">
        <v>27</v>
      </c>
    </row>
    <row r="6" spans="1:19">
      <c r="G6" s="2"/>
      <c r="H6" s="10">
        <f>'Ship Info'!I3</f>
        <v>2.6000000000000227</v>
      </c>
      <c r="I6" s="270">
        <f>'Ship Info'!J3</f>
        <v>300</v>
      </c>
      <c r="J6" s="2"/>
      <c r="K6" s="270">
        <f>'Ship Info'!L3</f>
        <v>7</v>
      </c>
      <c r="L6" s="270">
        <f>'Ship Info'!M3</f>
        <v>250</v>
      </c>
    </row>
    <row r="7" spans="1:19">
      <c r="A7" s="22"/>
      <c r="B7" s="22"/>
      <c r="C7" s="22"/>
      <c r="D7" s="22"/>
      <c r="E7" s="27"/>
      <c r="F7" s="22"/>
      <c r="G7" s="22"/>
      <c r="H7" s="22"/>
      <c r="I7" s="22"/>
      <c r="J7" s="22"/>
      <c r="K7" s="22"/>
      <c r="L7" s="22"/>
    </row>
    <row r="8" spans="1:19">
      <c r="A8" s="3" t="s">
        <v>477</v>
      </c>
    </row>
    <row r="9" spans="1:19" ht="16" thickBot="1">
      <c r="B9" s="2"/>
      <c r="C9" s="1" t="s">
        <v>308</v>
      </c>
      <c r="D9" s="1" t="s">
        <v>171</v>
      </c>
      <c r="E9" s="1" t="s">
        <v>26</v>
      </c>
      <c r="F9" s="4"/>
      <c r="S9" t="s">
        <v>399</v>
      </c>
    </row>
    <row r="10" spans="1:19" ht="16" thickBot="1">
      <c r="B10" t="s">
        <v>478</v>
      </c>
      <c r="C10" s="235">
        <v>0</v>
      </c>
      <c r="D10" s="2"/>
      <c r="E10" s="2">
        <f>IF(C10&gt;0,8,0)</f>
        <v>0</v>
      </c>
      <c r="F10" s="4">
        <f>40000*H10</f>
        <v>0</v>
      </c>
      <c r="H10" s="462">
        <f>0.5*C10</f>
        <v>0</v>
      </c>
      <c r="S10">
        <f>SUM(H10:H135)</f>
        <v>21</v>
      </c>
    </row>
    <row r="11" spans="1:19" ht="16" thickBot="1">
      <c r="B11" t="s">
        <v>479</v>
      </c>
      <c r="C11" s="235">
        <v>0</v>
      </c>
      <c r="D11" s="2" t="str">
        <f>IF(H11&gt;0,"A20, DM-2 Sensors"," ")</f>
        <v xml:space="preserve"> </v>
      </c>
      <c r="E11" s="2">
        <f>IF(C11&gt;0,10,0)</f>
        <v>0</v>
      </c>
      <c r="F11" s="4">
        <f>100000*H11</f>
        <v>0</v>
      </c>
      <c r="H11" s="462">
        <f>0.5*C11</f>
        <v>0</v>
      </c>
    </row>
    <row r="12" spans="1:19" ht="16" thickBot="1">
      <c r="B12" t="s">
        <v>480</v>
      </c>
      <c r="C12" s="235">
        <v>0</v>
      </c>
      <c r="D12" s="2" t="str">
        <f>IF(H12&gt;0,"A30,DM-4Snsr,-2Hit"," ")</f>
        <v xml:space="preserve"> </v>
      </c>
      <c r="E12" s="2">
        <f>IF(C12&gt;0,14,0)</f>
        <v>0</v>
      </c>
      <c r="F12" s="4">
        <f>200000*H12</f>
        <v>0</v>
      </c>
      <c r="H12" s="462">
        <f>0.5*C12</f>
        <v>0</v>
      </c>
      <c r="S12" t="s">
        <v>400</v>
      </c>
    </row>
    <row r="13" spans="1:19" ht="16" thickBot="1">
      <c r="B13" t="s">
        <v>481</v>
      </c>
      <c r="C13" s="235">
        <v>0</v>
      </c>
      <c r="D13" s="2" t="str">
        <f>IF(H13&gt;0,"Flyer (Wing) Skill"," ")</f>
        <v xml:space="preserve"> </v>
      </c>
      <c r="E13" s="2">
        <f>IF(C13&gt;0,9,0)</f>
        <v>0</v>
      </c>
      <c r="F13" s="4">
        <f>150000*H13</f>
        <v>0</v>
      </c>
      <c r="H13" s="462">
        <f>C13</f>
        <v>0</v>
      </c>
      <c r="S13">
        <f>SUM(K10:K126)</f>
        <v>1</v>
      </c>
    </row>
    <row r="14" spans="1:19">
      <c r="F14" s="4"/>
    </row>
    <row r="15" spans="1:19">
      <c r="A15" s="22"/>
      <c r="B15" s="22"/>
      <c r="C15" s="22"/>
      <c r="D15" s="22"/>
      <c r="E15" s="27"/>
      <c r="F15" s="23"/>
      <c r="G15" s="22"/>
      <c r="H15" s="22"/>
      <c r="I15" s="22"/>
      <c r="J15" s="22"/>
      <c r="K15" s="22"/>
      <c r="L15" s="22"/>
    </row>
    <row r="16" spans="1:19">
      <c r="A16" s="3" t="s">
        <v>482</v>
      </c>
      <c r="F16" s="4"/>
      <c r="S16" s="3" t="s">
        <v>642</v>
      </c>
    </row>
    <row r="17" spans="1:23" ht="16" thickBot="1">
      <c r="B17" s="2"/>
      <c r="C17" s="1" t="s">
        <v>308</v>
      </c>
      <c r="D17" s="1" t="s">
        <v>1012</v>
      </c>
      <c r="F17" s="4"/>
      <c r="S17" t="str">
        <f>IF(C10=0,"",", "&amp;C10&amp;"x "&amp;B10)&amp;""&amp;IF(C11=0,"",", "&amp;C11&amp;"x "&amp;B11)&amp;""&amp;IF(C12=0,"",", "&amp;C12&amp;"x "&amp;B12)&amp;""&amp;IF(C13=0,"",", "&amp;C13&amp;"x "&amp;B13)</f>
        <v/>
      </c>
    </row>
    <row r="18" spans="1:23" ht="16" thickBot="1">
      <c r="B18" t="s">
        <v>483</v>
      </c>
      <c r="C18" s="235">
        <v>1</v>
      </c>
      <c r="D18" s="16" t="str">
        <f>IF(H18&gt;0,25*H18&amp;" Crew/"&amp;5*H18&amp;" Marines"," ")</f>
        <v>25 Crew/5 Marines</v>
      </c>
      <c r="F18" s="4">
        <f>250000*H18</f>
        <v>250000</v>
      </c>
      <c r="H18" s="263">
        <f>C18</f>
        <v>1</v>
      </c>
      <c r="S18" s="3" t="str">
        <f>A16</f>
        <v>Onboard Facilities</v>
      </c>
    </row>
    <row r="19" spans="1:23" ht="16" thickBot="1">
      <c r="B19" t="s">
        <v>484</v>
      </c>
      <c r="C19" s="235">
        <v>0</v>
      </c>
      <c r="D19" s="235">
        <v>0</v>
      </c>
      <c r="F19" s="4">
        <f>200000*H19</f>
        <v>0</v>
      </c>
      <c r="H19" s="263">
        <f>C19*D19</f>
        <v>0</v>
      </c>
      <c r="K19" s="263">
        <f>H19</f>
        <v>0</v>
      </c>
      <c r="S19" t="str">
        <f>IF(C18=0,"",", "&amp;C18&amp;"x "&amp;B18)&amp;""&amp;IF(C19*D19=0,"",", "&amp;C19&amp;"x "&amp;D19&amp;" ton "&amp;B19)&amp;""&amp;IF(C20=0,"",", "&amp;C20&amp;"x "&amp;B20)&amp;""&amp;IF(C21*D21=0,"",", "&amp;C21&amp;"x "&amp;D21&amp;" ton cap "&amp;B21)&amp;""&amp;IF(C22=0,"",", "&amp;C22&amp;" person "&amp;B22)&amp;""&amp;IF(C23=0,"",", "&amp;C23&amp;"x "&amp;B23)&amp;""&amp;IF(C24=0,"",", "&amp;C24&amp;"x "&amp;B24)&amp;""&amp;IF(C25=0,"",", "&amp;C25&amp;"x "&amp;B25)&amp;""&amp;IF(C26=0,"",", "&amp;C26&amp;"x "&amp;B26)&amp;""&amp;IF(C27=0,"",", "&amp;C27&amp;"x "&amp;B27)&amp;""&amp;IF(C28=0,"",", "&amp;C28&amp;"x "&amp;B28)&amp;""&amp;IF(C29=0,"",", "&amp;C29&amp;"x "&amp;B29)&amp;IF(C66=0,"",", "&amp;C33&amp;"x "&amp;B66)&amp;IF(C72=0,"",", "&amp;C72&amp;"x "&amp;B72)&amp;IF(C73=0,"",", "&amp;C73&amp;"x "&amp;B73)&amp;IF(C74=0,"",", "&amp;C74&amp;"x "&amp;B74)&amp;IF(C75=0,"",", "&amp;C75&amp;"x "&amp;B75)&amp;IF(H82=0,"",", "&amp;C82&amp;"x "&amp;B82&amp;" "&amp;A82)&amp;IF(H83=0,"",", "&amp;C83&amp;"x "&amp;B83&amp;" "&amp;A83)&amp;IF(H84=0,"",", "&amp;C84&amp;"x "&amp;B84&amp;" "&amp;A84)&amp;IF(H85=0,"",". "&amp;C85&amp;"x "&amp;D85&amp;" Dton "&amp;A85&amp;B85)&amp;IF(C97=0,"",", "&amp;C97&amp;"x tons "&amp;A96)&amp;IF(SUM(H101:H105)=0,"",", "&amp;IF(C101*D101=0,"",C101&amp;"x "&amp;D101&amp;"Dton Dock;")&amp;IF(C102*D102=0,""," "&amp;C102&amp;"x "&amp;D102&amp;"Dton Dock;")&amp;IF(C103*D103=0,""," "&amp;C103&amp;"x "&amp;D103&amp;"Dton Dock;")&amp;IF(C104*D104=0,""," "&amp;C104&amp;"x "&amp;D104&amp;"Dton Dock;")&amp;IF(C105*D105=0,""," "&amp;C105&amp;"x "&amp;D105&amp;"Dton Dock;"))&amp;IF(C108=0,"",", "&amp;C108&amp;" Dton Fuel Refinery")&amp;IF(C109=0,"",", "&amp;C109&amp;" Dton Service Fuel Tanks")&amp;IF(C111=0,"",", "&amp;C111&amp;" ton Mineral Refinery")&amp;IF(C112=0,"",", "&amp;C112&amp;" ton "&amp;B112)&amp;IF(H117=0,"",", "&amp;D117&amp;"x "&amp;C117&amp;" Dton capacity Space Craft Ship Yard")&amp;IF(H118=0,"",", "&amp;D118&amp;"x "&amp;C118&amp;" Dton capacity Starship Ship Yard")&amp;IF(H123=0,"",", "&amp;D123&amp;"x "&amp;C123&amp;" ton cap "&amp;B123)&amp;IF(H124=0,"",", "&amp;D124&amp;"x "&amp;C124&amp;" ton cap "&amp;B124)&amp;IF(H125=0,"",", "&amp;D125&amp;"x "&amp;C125&amp;" ton cap "&amp;B125)&amp;IF(H126=0,"",", "&amp;D126&amp;"x "&amp;C126&amp;" ton cap "&amp;B126)</f>
        <v>, 1x Armory, 1x Briefing Room, 2x Laboratory, 1x Library, 1x Medical Bay</v>
      </c>
    </row>
    <row r="20" spans="1:23" ht="16" thickBot="1">
      <c r="B20" t="s">
        <v>485</v>
      </c>
      <c r="C20" s="235">
        <v>1</v>
      </c>
      <c r="D20" s="2" t="str">
        <f>IF(H20&gt;0,"DM+1 Tactics for Plans"," ")</f>
        <v>DM+1 Tactics for Plans</v>
      </c>
      <c r="F20" s="4">
        <f>IF(H20&gt;0,500000*C20,0)</f>
        <v>500000</v>
      </c>
      <c r="H20" s="263">
        <f>C20*4</f>
        <v>4</v>
      </c>
      <c r="S20" t="s">
        <v>794</v>
      </c>
      <c r="T20">
        <f>SUM(T21:T23)</f>
        <v>0</v>
      </c>
    </row>
    <row r="21" spans="1:23" ht="16" thickBot="1">
      <c r="B21" t="s">
        <v>486</v>
      </c>
      <c r="C21" s="235">
        <v>0</v>
      </c>
      <c r="D21" s="235">
        <v>0</v>
      </c>
      <c r="F21" s="4">
        <f>500000*H21</f>
        <v>0</v>
      </c>
      <c r="H21" s="263">
        <f>C21*D21*2</f>
        <v>0</v>
      </c>
      <c r="K21" s="263">
        <f>H21</f>
        <v>0</v>
      </c>
      <c r="S21" t="s">
        <v>914</v>
      </c>
      <c r="T21">
        <f>IF(MAX(E10:E126)&gt;TL,1,0)</f>
        <v>0</v>
      </c>
    </row>
    <row r="22" spans="1:23" ht="16" thickBot="1">
      <c r="B22" t="s">
        <v>487</v>
      </c>
      <c r="C22" s="235">
        <v>0</v>
      </c>
      <c r="D22" s="16" t="s">
        <v>501</v>
      </c>
      <c r="F22" s="4">
        <f>H22*6000</f>
        <v>0</v>
      </c>
      <c r="H22" s="263">
        <f>1.5*C22</f>
        <v>0</v>
      </c>
      <c r="S22" t="s">
        <v>1867</v>
      </c>
      <c r="T22">
        <f>IF(AND(SUM(F37:F63)&gt;0,SUM(F23,F26,F29)=0),1,0)</f>
        <v>0</v>
      </c>
    </row>
    <row r="23" spans="1:23" ht="16" thickBot="1">
      <c r="A23" s="197"/>
      <c r="B23" t="s">
        <v>489</v>
      </c>
      <c r="C23" s="235">
        <v>2</v>
      </c>
      <c r="D23" s="16" t="s">
        <v>502</v>
      </c>
      <c r="F23" s="4">
        <f>250000*H23</f>
        <v>2000000</v>
      </c>
      <c r="H23" s="263">
        <f>4*C23</f>
        <v>8</v>
      </c>
      <c r="S23" t="s">
        <v>579</v>
      </c>
      <c r="T23">
        <v>0</v>
      </c>
    </row>
    <row r="24" spans="1:23" ht="16" thickBot="1">
      <c r="B24" t="s">
        <v>218</v>
      </c>
      <c r="C24" s="235">
        <v>1</v>
      </c>
      <c r="D24" s="2" t="str">
        <f>IF(H24&gt;0,"DM+1 EDU for training"," ")</f>
        <v>DM+1 EDU for training</v>
      </c>
      <c r="E24" s="2">
        <f>IF(H24&gt;0,8,0)</f>
        <v>8</v>
      </c>
      <c r="F24" s="4">
        <f>1000000*H24</f>
        <v>4000000</v>
      </c>
      <c r="H24" s="263">
        <f>4*C24</f>
        <v>4</v>
      </c>
    </row>
    <row r="25" spans="1:23" ht="16" thickBot="1">
      <c r="B25" t="s">
        <v>490</v>
      </c>
      <c r="C25" s="235">
        <v>1</v>
      </c>
      <c r="D25" s="16" t="str">
        <f>IF(H25&gt;0,"Cap: "&amp;C25*3&amp;"; DM+1 Medic"," ")</f>
        <v>Cap: 3; DM+1 Medic</v>
      </c>
      <c r="F25" s="4">
        <f>500000*H25</f>
        <v>2000000</v>
      </c>
      <c r="H25" s="263">
        <f>4*C25</f>
        <v>4</v>
      </c>
      <c r="K25" s="263">
        <f>IF(H25&gt;0,C25,0)</f>
        <v>1</v>
      </c>
    </row>
    <row r="26" spans="1:23" ht="16" thickBot="1">
      <c r="A26" s="197"/>
      <c r="B26" t="s">
        <v>491</v>
      </c>
      <c r="C26" s="235">
        <v>0</v>
      </c>
      <c r="D26" s="16" t="str">
        <f>IF(H26&gt;0,"Professionals accomodated"," ")</f>
        <v xml:space="preserve"> </v>
      </c>
      <c r="F26" s="4">
        <f>100000*H26</f>
        <v>0</v>
      </c>
      <c r="H26" s="263">
        <f>4*C26</f>
        <v>0</v>
      </c>
    </row>
    <row r="27" spans="1:23" ht="16" thickBot="1">
      <c r="A27" s="197"/>
      <c r="B27" t="s">
        <v>492</v>
      </c>
      <c r="C27" s="235">
        <v>0</v>
      </c>
      <c r="D27" s="2" t="str">
        <f>IF(H27&gt;0,"person capacity"," ")</f>
        <v xml:space="preserve"> </v>
      </c>
      <c r="E27" s="2">
        <f>IF(H27&gt;0,10,0)</f>
        <v>0</v>
      </c>
      <c r="F27" s="4">
        <f>200000*H27</f>
        <v>0</v>
      </c>
      <c r="H27" s="263">
        <f>2*C27</f>
        <v>0</v>
      </c>
      <c r="K27" s="263" t="str">
        <f>""</f>
        <v/>
      </c>
    </row>
    <row r="28" spans="1:23" ht="16" thickBot="1">
      <c r="B28" t="s">
        <v>493</v>
      </c>
      <c r="C28" s="235">
        <v>0</v>
      </c>
      <c r="D28" s="2"/>
      <c r="E28" s="2">
        <f>IF(H28&gt;0,14,0)</f>
        <v>0</v>
      </c>
      <c r="F28" s="4">
        <f>1000000*H28</f>
        <v>0</v>
      </c>
      <c r="H28" s="263">
        <f>6*C28</f>
        <v>0</v>
      </c>
    </row>
    <row r="29" spans="1:23" ht="16" thickBot="1">
      <c r="B29" t="s">
        <v>494</v>
      </c>
      <c r="C29" s="235">
        <v>0</v>
      </c>
      <c r="D29" s="16" t="str">
        <f>IF(H29&gt;0,C29*2&amp;" crew: DM+2 Mechanic"," ")</f>
        <v xml:space="preserve"> </v>
      </c>
      <c r="F29" s="4">
        <f>150000*H29</f>
        <v>0</v>
      </c>
      <c r="H29" s="263">
        <f>6*C29</f>
        <v>0</v>
      </c>
    </row>
    <row r="30" spans="1:23" ht="16" thickBot="1">
      <c r="A30" s="3" t="s">
        <v>2308</v>
      </c>
      <c r="C30" s="503"/>
      <c r="D30" s="285" t="s">
        <v>2309</v>
      </c>
      <c r="F30" s="4"/>
      <c r="H30" s="263"/>
    </row>
    <row r="31" spans="1:23" ht="16" thickBot="1">
      <c r="B31" s="469" t="s">
        <v>2306</v>
      </c>
      <c r="C31" s="235" t="s">
        <v>375</v>
      </c>
      <c r="D31" s="235">
        <v>0</v>
      </c>
      <c r="E31" s="2">
        <f>IF(C31=S3,0,INDEX(S31:T32,MATCH(B31,S31:S32,0),2))</f>
        <v>0</v>
      </c>
      <c r="F31" s="4">
        <f>IF(C31=S4,INDEX(S31:W32,MATCH(B31,S31:S32,0),4)+D31*INDEX(S31:W32,MATCH(B31,S31:S32,0),5),0)</f>
        <v>0</v>
      </c>
      <c r="H31" s="263">
        <f>IF(C31=S4,INDEX(S31:W32,MATCH(B31,S31:S32,0),3)+D31,0)</f>
        <v>0</v>
      </c>
      <c r="S31" t="s">
        <v>2306</v>
      </c>
      <c r="T31">
        <v>12</v>
      </c>
      <c r="U31">
        <v>4</v>
      </c>
      <c r="V31">
        <v>2000000</v>
      </c>
      <c r="W31">
        <v>100000</v>
      </c>
    </row>
    <row r="32" spans="1:23" ht="16" thickBot="1">
      <c r="B32" s="469" t="s">
        <v>2310</v>
      </c>
      <c r="C32" s="235">
        <v>0</v>
      </c>
      <c r="D32" s="2" t="str">
        <f>IF(C31=S3,"",MIN(2+D31,C32)*INDEX(S33:U34,MATCH(B32,S33:S34,0),3)&amp;" Heat Cap")</f>
        <v/>
      </c>
      <c r="E32" s="2">
        <f>IF(C32=0,0,INDEX(S33:T34,MATCH(B32,S33:S34,0),2))</f>
        <v>0</v>
      </c>
      <c r="F32" s="4">
        <f>C32*INDEX(S33:V34,MATCH(B32,S33:S34,0),4)</f>
        <v>0</v>
      </c>
      <c r="H32" s="263">
        <f>C32</f>
        <v>0</v>
      </c>
      <c r="S32" t="s">
        <v>2307</v>
      </c>
      <c r="T32">
        <v>13</v>
      </c>
      <c r="U32">
        <v>6</v>
      </c>
      <c r="V32">
        <v>3000000</v>
      </c>
      <c r="W32">
        <v>250000</v>
      </c>
    </row>
    <row r="33" spans="1:22">
      <c r="F33" s="4"/>
      <c r="S33" t="s">
        <v>2310</v>
      </c>
      <c r="T33">
        <v>12</v>
      </c>
      <c r="U33">
        <v>20</v>
      </c>
      <c r="V33">
        <v>50000</v>
      </c>
    </row>
    <row r="34" spans="1:22">
      <c r="A34" s="143" t="s">
        <v>2012</v>
      </c>
      <c r="B34" s="45" t="s">
        <v>2013</v>
      </c>
      <c r="C34" s="45"/>
      <c r="D34" s="45"/>
      <c r="E34" s="87"/>
      <c r="F34" s="4"/>
      <c r="S34" t="s">
        <v>2311</v>
      </c>
      <c r="T34">
        <v>14</v>
      </c>
      <c r="U34">
        <v>25</v>
      </c>
      <c r="V34">
        <v>100000</v>
      </c>
    </row>
    <row r="35" spans="1:22">
      <c r="A35" s="238" t="s">
        <v>2009</v>
      </c>
      <c r="E35" s="88"/>
      <c r="F35" s="4"/>
    </row>
    <row r="36" spans="1:22" ht="16" thickBot="1">
      <c r="A36" s="238"/>
      <c r="B36" s="1" t="s">
        <v>1850</v>
      </c>
      <c r="C36" s="1" t="s">
        <v>1851</v>
      </c>
      <c r="D36" s="1" t="s">
        <v>308</v>
      </c>
      <c r="E36" s="435" t="s">
        <v>26</v>
      </c>
      <c r="F36" s="4"/>
    </row>
    <row r="37" spans="1:22" ht="16" thickBot="1">
      <c r="A37" s="78" t="s">
        <v>1852</v>
      </c>
      <c r="B37" s="197" t="s">
        <v>1853</v>
      </c>
      <c r="C37" s="198">
        <v>0</v>
      </c>
      <c r="D37" s="235">
        <v>0</v>
      </c>
      <c r="E37" s="88">
        <f>IF(B37="Basic",8,IF(B37="Improved",10,IF(B37="Enhanced",13,IF(B37="Advanced",17,IF(B37="Superior",19,0)))))</f>
        <v>0</v>
      </c>
      <c r="F37" s="4">
        <f>IF(B37="Basic",C37*2000*D37*0.9,IF(B37="Improved",C37*10000*D37*0.9,IF(B37="Enhanced",C37*50000*D37*0.9,IF(B37="Advanced",C37*200000*D37*0.9,IF(B37="Superior",C37*500000*D37*0.9,0)))))</f>
        <v>0</v>
      </c>
    </row>
    <row r="38" spans="1:22" ht="16" thickBot="1">
      <c r="A38" s="78"/>
      <c r="B38" s="197" t="s">
        <v>1853</v>
      </c>
      <c r="C38" s="198">
        <v>0</v>
      </c>
      <c r="D38" s="235">
        <v>0</v>
      </c>
      <c r="E38" s="88">
        <f>IF(B38="Basic",8,IF(B38="Improved",10,IF(B38="Enhanced",13,IF(B38="Advanced",17,IF(B38="Superior",19,0)))))</f>
        <v>0</v>
      </c>
      <c r="F38" s="4">
        <f>IF(B38="Basic",C38*2000*D38*0.9,IF(B38="Improved",C38*10000*D38*0.9,IF(B38="Enhanced",C38*50000*D38*0.9,IF(B38="Advanced",C38*200000*D38*0.9,IF(B38="Superior",C38*500000*D38*0.9,0)))))</f>
        <v>0</v>
      </c>
    </row>
    <row r="39" spans="1:22" ht="16" thickBot="1">
      <c r="A39" s="78"/>
      <c r="B39" s="197" t="s">
        <v>1853</v>
      </c>
      <c r="C39" s="198">
        <v>0</v>
      </c>
      <c r="D39" s="235">
        <v>0</v>
      </c>
      <c r="E39" s="88">
        <f>IF(B39="Basic",8,IF(B39="Improved",10,IF(B39="Enhanced",13,IF(B39="Advanced",17,IF(B39="Superior",19,0)))))</f>
        <v>0</v>
      </c>
      <c r="F39" s="4">
        <f>IF(B39="Basic",C39*2000*D39*0.9,IF(B39="Improved",C39*10000*D39*0.9,IF(B39="Enhanced",C39*50000*D39*0.9,IF(B39="Advanced",C39*200000*D39*0.9,IF(B39="Superior",C39*500000*D39*0.9,0)))))</f>
        <v>0</v>
      </c>
    </row>
    <row r="40" spans="1:22" ht="16" thickBot="1">
      <c r="A40" s="78"/>
      <c r="D40" s="270"/>
      <c r="E40" s="88"/>
      <c r="F40" s="4"/>
    </row>
    <row r="41" spans="1:22" ht="16" thickBot="1">
      <c r="A41" s="78" t="s">
        <v>1854</v>
      </c>
      <c r="B41" s="197" t="s">
        <v>1853</v>
      </c>
      <c r="C41" s="235">
        <v>0</v>
      </c>
      <c r="D41" s="235">
        <v>0</v>
      </c>
      <c r="E41" s="88">
        <f>IF(B41="Basic",8,IF(B41="Improved",10,IF(B41="Enhanced",13,IF(B41="Advanced",17,IF(B41="Superior",19,0)))))</f>
        <v>0</v>
      </c>
      <c r="F41" s="4">
        <f>IF(OR(C41=1,C41=2,C41=5,C41=10,C41=20,C41=50,C41=100),IF(B41="Basic",C41*2000*D41*0.9,IF(B41="Improved",C41*10000*D41*0.9,IF(B41="Enhanced",C41*50000*D41*0.9,IF(B41="Advanced",C41*200000*D41*0.9,IF(B41="Superior",C41*500000*D41*0.9,0))))),IF(B41="Basic",C41*2000*D41,IF(B41="Improved",C41*10000*D41,IF(B41="Enhanced",C41*50000*D41,IF(B41="Advanced",C41*200000*D41,IF(B41="Superior",C41*500000*D41,0))))))</f>
        <v>0</v>
      </c>
      <c r="H41" s="4"/>
    </row>
    <row r="42" spans="1:22" ht="16" thickBot="1">
      <c r="A42" s="78"/>
      <c r="B42" s="197" t="s">
        <v>1853</v>
      </c>
      <c r="C42" s="235">
        <v>0</v>
      </c>
      <c r="D42" s="235">
        <v>0</v>
      </c>
      <c r="E42" s="88">
        <f>IF(B42="Basic",8,IF(B42="Improved",10,IF(B42="Enhanced",13,IF(B42="Advanced",17,IF(B42="Superior",19,0)))))</f>
        <v>0</v>
      </c>
      <c r="F42" s="4">
        <f>IF(OR(C42=1,C42=2,C42=5,C42=10,C42=20,C42=50,C42=100),IF(B42="Basic",C42*2000*D42*0.9,IF(B42="Improved",C42*10000*D42*0.9,IF(B42="Enhanced",C42*50000*D42*0.9,IF(B42="Advanced",C42*200000*D42*0.9,IF(B42="Superior",C42*500000*D42*0.9,0))))),IF(B42="Basic",C42*2000*D42,IF(B42="Improved",C42*10000*D42,IF(B42="Enhanced",C42*50000*D42,IF(B42="Advanced",C42*200000*D42,IF(B42="Superior",C42*500000*D42,0))))))</f>
        <v>0</v>
      </c>
      <c r="H42" s="4"/>
    </row>
    <row r="43" spans="1:22" ht="16" thickBot="1">
      <c r="A43" s="78"/>
      <c r="B43" s="197" t="s">
        <v>1853</v>
      </c>
      <c r="C43" s="235">
        <v>0</v>
      </c>
      <c r="D43" s="235">
        <v>0</v>
      </c>
      <c r="E43" s="88">
        <f>IF(B43="Basic",8,IF(B43="Improved",10,IF(B43="Enhanced",13,IF(B43="Advanced",17,IF(B43="Superior",19,0)))))</f>
        <v>0</v>
      </c>
      <c r="F43" s="4">
        <f>IF(OR(C43=1,C43=2,C43=5,C43=10,C43=20,C43=50,C43=100),IF(B43="Basic",C43*2000*D43*0.9,IF(B43="Improved",C43*10000*D43*0.9,IF(B43="Enhanced",C43*50000*D43*0.9,IF(B43="Advanced",C43*200000*D43*0.9,IF(B43="Superior",C43*500000*D43*0.9,0))))),IF(B43="Basic",C43*2000*D43,IF(B43="Improved",C43*10000*D43,IF(B43="Enhanced",C43*50000*D43,IF(B43="Advanced",C43*200000*D43,IF(B43="Superior",C43*500000*D43,0))))))</f>
        <v>0</v>
      </c>
      <c r="H43" s="4"/>
    </row>
    <row r="44" spans="1:22">
      <c r="A44" s="78"/>
      <c r="C44" s="270"/>
      <c r="D44" s="270"/>
      <c r="E44" s="88"/>
      <c r="F44" s="4"/>
    </row>
    <row r="45" spans="1:22">
      <c r="A45" s="238" t="s">
        <v>2010</v>
      </c>
      <c r="C45" s="270"/>
      <c r="D45" s="270"/>
      <c r="E45" s="88"/>
      <c r="F45" s="4"/>
    </row>
    <row r="46" spans="1:22" ht="16" thickBot="1">
      <c r="A46" s="78"/>
      <c r="B46" s="1" t="s">
        <v>1850</v>
      </c>
      <c r="C46" s="1" t="s">
        <v>1851</v>
      </c>
      <c r="D46" s="1" t="s">
        <v>308</v>
      </c>
      <c r="E46" s="435" t="s">
        <v>26</v>
      </c>
      <c r="F46" s="4"/>
    </row>
    <row r="47" spans="1:22" ht="16" thickBot="1">
      <c r="A47" s="78" t="s">
        <v>1852</v>
      </c>
      <c r="B47" s="197" t="s">
        <v>1853</v>
      </c>
      <c r="C47" s="198">
        <v>0</v>
      </c>
      <c r="D47" s="235">
        <v>0</v>
      </c>
      <c r="E47" s="88">
        <f>IF(B47="Basic",8,IF(B47="Improved",10,IF(B47="Enhanced",13,IF(B47="Advanced",17,IF(B47="Superior",19,0)))))</f>
        <v>0</v>
      </c>
      <c r="F47" s="4">
        <f>IF(AND(B47="Enhanced",C47&gt;0),(1000000+C47*53333.33333334)*D47,0)</f>
        <v>0</v>
      </c>
    </row>
    <row r="48" spans="1:22" ht="16" thickBot="1">
      <c r="A48" s="78"/>
      <c r="B48" s="197" t="s">
        <v>1853</v>
      </c>
      <c r="C48" s="198">
        <v>0</v>
      </c>
      <c r="D48" s="235">
        <v>0</v>
      </c>
      <c r="E48" s="88">
        <f>IF(B48="Basic",8,IF(B48="Improved",10,IF(B48="Enhanced",13,IF(B48="Advanced",17,IF(B48="Superior",19,0)))))</f>
        <v>0</v>
      </c>
      <c r="F48" s="4">
        <f>IF(AND(B48="Enhanced",C48&gt;0),(1000000+C48*53333.33333334)*D48,0)</f>
        <v>0</v>
      </c>
    </row>
    <row r="49" spans="1:6" ht="16" thickBot="1">
      <c r="A49" s="78"/>
      <c r="B49" s="197" t="s">
        <v>1853</v>
      </c>
      <c r="C49" s="198">
        <v>0</v>
      </c>
      <c r="D49" s="235">
        <v>0</v>
      </c>
      <c r="E49" s="88">
        <f>IF(B49="Basic",8,IF(B49="Improved",10,IF(B49="Enhanced",13,IF(B49="Advanced",17,IF(B49="Superior",19,0)))))</f>
        <v>0</v>
      </c>
      <c r="F49" s="4">
        <f>IF(AND(B49="Enhanced",C49&gt;0),(1000000+C49*53333.33333334)*D49,0)</f>
        <v>0</v>
      </c>
    </row>
    <row r="50" spans="1:6" ht="16" thickBot="1">
      <c r="A50" s="78"/>
      <c r="D50" s="270"/>
      <c r="E50" s="88"/>
      <c r="F50" s="4"/>
    </row>
    <row r="51" spans="1:6" ht="16" thickBot="1">
      <c r="A51" s="78" t="s">
        <v>1854</v>
      </c>
      <c r="B51" s="197" t="s">
        <v>1853</v>
      </c>
      <c r="C51" s="200">
        <v>0</v>
      </c>
      <c r="D51" s="235">
        <v>0</v>
      </c>
      <c r="E51" s="88">
        <f>IF(B51="Basic",8,IF(B51="Improved",10,IF(B51="Enhanced",13,IF(B51="Advanced",17,IF(B51="Superior",19,0)))))</f>
        <v>0</v>
      </c>
      <c r="F51" s="4">
        <f>IF(AND(B51="Enhanced",C51&gt;0),(1000000+C51*53333.33333334)*D51,0)</f>
        <v>0</v>
      </c>
    </row>
    <row r="52" spans="1:6" ht="16" thickBot="1">
      <c r="A52" s="78"/>
      <c r="B52" s="197" t="s">
        <v>1853</v>
      </c>
      <c r="C52" s="200">
        <v>0</v>
      </c>
      <c r="D52" s="235">
        <v>0</v>
      </c>
      <c r="E52" s="88">
        <f>IF(B52="Basic",8,IF(B52="Improved",10,IF(B52="Enhanced",13,IF(B52="Advanced",17,IF(B52="Superior",19,0)))))</f>
        <v>0</v>
      </c>
      <c r="F52" s="4">
        <f>IF(AND(B52="Enhanced",C52&gt;0),(1000000+C52*53333.33333334)*D52,0)</f>
        <v>0</v>
      </c>
    </row>
    <row r="53" spans="1:6" ht="16" thickBot="1">
      <c r="A53" s="78"/>
      <c r="B53" s="197" t="s">
        <v>1853</v>
      </c>
      <c r="C53" s="200">
        <v>0</v>
      </c>
      <c r="D53" s="235">
        <v>0</v>
      </c>
      <c r="E53" s="88">
        <f>IF(B53="Basic",8,IF(B53="Improved",10,IF(B53="Enhanced",13,IF(B53="Advanced",17,IF(B53="Superior",19,0)))))</f>
        <v>0</v>
      </c>
      <c r="F53" s="4">
        <f>IF(AND(B53="Enhanced",C53&gt;0),(1000000+C53*53333.33333334)*D53,0)</f>
        <v>0</v>
      </c>
    </row>
    <row r="54" spans="1:6">
      <c r="A54" s="78"/>
      <c r="C54" s="270"/>
      <c r="D54" s="270"/>
      <c r="E54" s="88"/>
      <c r="F54" s="4"/>
    </row>
    <row r="55" spans="1:6">
      <c r="A55" s="238" t="s">
        <v>2011</v>
      </c>
      <c r="C55" s="270"/>
      <c r="D55" s="270"/>
      <c r="E55" s="88"/>
      <c r="F55" s="4"/>
    </row>
    <row r="56" spans="1:6" ht="16" thickBot="1">
      <c r="A56" s="78"/>
      <c r="B56" s="1" t="s">
        <v>1850</v>
      </c>
      <c r="C56" s="1" t="s">
        <v>1851</v>
      </c>
      <c r="D56" s="1" t="s">
        <v>308</v>
      </c>
      <c r="E56" s="435" t="s">
        <v>26</v>
      </c>
      <c r="F56" s="4"/>
    </row>
    <row r="57" spans="1:6" ht="16" thickBot="1">
      <c r="A57" s="78" t="s">
        <v>1852</v>
      </c>
      <c r="B57" s="197" t="s">
        <v>1853</v>
      </c>
      <c r="C57" s="198">
        <v>0</v>
      </c>
      <c r="D57" s="235">
        <v>0</v>
      </c>
      <c r="E57" s="88">
        <f>IF(B57="Basic",8,IF(B57="Improved",10,IF(B57="Enhanced",13,IF(B57="Advanced",17,IF(B57="Superior",19,0)))))</f>
        <v>0</v>
      </c>
      <c r="F57" s="4">
        <f>IF(AND(B57="Advanced",C57&gt;0),(4000000+C57*213333.33333334)*D57*0.9,IF(AND(B57="Superior",C57&gt;0),(10000000+C57*533333.33333334*D57*0.9),0))</f>
        <v>0</v>
      </c>
    </row>
    <row r="58" spans="1:6" ht="16" thickBot="1">
      <c r="A58" s="78"/>
      <c r="B58" s="197" t="s">
        <v>1853</v>
      </c>
      <c r="C58" s="198">
        <v>0</v>
      </c>
      <c r="D58" s="235">
        <v>0</v>
      </c>
      <c r="E58" s="88">
        <f>IF(B58="Basic",8,IF(B58="Improved",10,IF(B58="Enhanced",13,IF(B58="Advanced",17,IF(B58="Superior",19,0)))))</f>
        <v>0</v>
      </c>
      <c r="F58" s="4">
        <f>IF(AND(B58="Advanced",C58&gt;0),(4000000+C58*213333.33333334)*D58*0.9,IF(AND(B58="Superior",C58&gt;0),(10000000+C58*533333.33333334*D58*0.9),0))</f>
        <v>0</v>
      </c>
    </row>
    <row r="59" spans="1:6" ht="16" thickBot="1">
      <c r="A59" s="78"/>
      <c r="B59" s="197" t="s">
        <v>1853</v>
      </c>
      <c r="C59" s="198">
        <v>0</v>
      </c>
      <c r="D59" s="235">
        <v>0</v>
      </c>
      <c r="E59" s="88">
        <f>IF(B59="Basic",8,IF(B59="Improved",10,IF(B59="Enhanced",13,IF(B59="Advanced",17,IF(B59="Superior",19,0)))))</f>
        <v>0</v>
      </c>
      <c r="F59" s="4">
        <f>IF(AND(B59="Advanced",C59&gt;0),(4000000+C59*213333.33333334)*D59*0.9,IF(AND(B59="Superior",C59&gt;0),(10000000+C59*533333.33333334*D59*0.9),0))</f>
        <v>0</v>
      </c>
    </row>
    <row r="60" spans="1:6" ht="16" thickBot="1">
      <c r="A60" s="78"/>
      <c r="D60" s="270"/>
      <c r="E60" s="88"/>
      <c r="F60" s="4"/>
    </row>
    <row r="61" spans="1:6" ht="16" thickBot="1">
      <c r="A61" s="78" t="s">
        <v>1854</v>
      </c>
      <c r="B61" s="197" t="s">
        <v>1853</v>
      </c>
      <c r="C61" s="200">
        <v>0</v>
      </c>
      <c r="D61" s="235">
        <v>0</v>
      </c>
      <c r="E61" s="88">
        <f>IF(B61="Basic",8,IF(B61="Improved",10,IF(B61="Enhanced",13,IF(B61="Advanced",17,IF(B61="Superior",19,0)))))</f>
        <v>0</v>
      </c>
      <c r="F61" s="4">
        <f>IF(OR(C61=1,C61=2,C61=5,C61=10,C61=20,C61=50,C61=100),IF(AND(B61="Advanced",C61&gt;0),(4000000+C61*213333.33333334)*D61*0.9,IF(AND(B61="Superior",C61&gt;0),(10000000+C61*533333.33333334*D61*0.9),0)),IF(AND(B61="Advanced",C61&gt;0),(4000000+C61*213333.33333334)*D61,IF(AND(B61="Superior",C61&gt;0),((10000000+C61*533333.33333334)*D61),0)))</f>
        <v>0</v>
      </c>
    </row>
    <row r="62" spans="1:6" ht="16" thickBot="1">
      <c r="A62" s="78"/>
      <c r="B62" s="197" t="s">
        <v>1853</v>
      </c>
      <c r="C62" s="200">
        <v>0</v>
      </c>
      <c r="D62" s="235">
        <v>0</v>
      </c>
      <c r="E62" s="88">
        <f>IF(B62="Basic",8,IF(B62="Improved",10,IF(B62="Enhanced",13,IF(B62="Advanced",17,IF(B62="Superior",19,0)))))</f>
        <v>0</v>
      </c>
      <c r="F62" s="4">
        <f>IF(OR(C62=1,C62=2,C62=5,C62=10,C62=20,C62=50,C62=100),IF(AND(B62="Advanced",C62&gt;0),(4000000+C62*213333.33333334)*D62*0.9,IF(AND(B62="Superior",C62&gt;0),(10000000+C62*533333.33333334*D62*0.9),0)),IF(AND(B62="Advanced",C62&gt;0),(4000000+C62*213333.33333334)*D62,IF(AND(B62="Superior",C62&gt;0),((10000000+C62*533333.33333334)*D62),0)))</f>
        <v>0</v>
      </c>
    </row>
    <row r="63" spans="1:6" ht="16" thickBot="1">
      <c r="A63" s="78"/>
      <c r="B63" s="197" t="s">
        <v>1853</v>
      </c>
      <c r="C63" s="200">
        <v>0</v>
      </c>
      <c r="D63" s="235">
        <v>0</v>
      </c>
      <c r="E63" s="88">
        <f>IF(B63="Basic",8,IF(B63="Improved",10,IF(B63="Enhanced",13,IF(B63="Advanced",17,IF(B63="Superior",19,0)))))</f>
        <v>0</v>
      </c>
      <c r="F63" s="4">
        <f>IF(OR(C63=1,C63=2,C63=5,C63=10,C63=20,C63=50,C63=100),IF(AND(B63="Advanced",C63&gt;0),(4000000+C63*213333.33333334)*D63*0.9,IF(AND(B63="Superior",C63&gt;0),(10000000+C63*533333.33333334*D63*0.9),0)),IF(AND(B63="Advanced",C63&gt;0),(4000000+C63*213333.33333334)*D63,IF(AND(B63="Superior",C63&gt;0),((10000000+C63*533333.33333334)*D63),0)))</f>
        <v>0</v>
      </c>
    </row>
    <row r="64" spans="1:6">
      <c r="A64" s="86"/>
      <c r="B64" s="28"/>
      <c r="C64" s="28"/>
      <c r="D64" s="28"/>
      <c r="E64" s="91"/>
      <c r="F64" s="4"/>
    </row>
    <row r="65" spans="1:20" ht="16" thickBot="1">
      <c r="A65" s="3" t="s">
        <v>1479</v>
      </c>
      <c r="C65" s="1" t="s">
        <v>308</v>
      </c>
    </row>
    <row r="66" spans="1:20" ht="16" thickBot="1">
      <c r="B66" s="9" t="s">
        <v>1478</v>
      </c>
      <c r="C66" s="235">
        <v>0</v>
      </c>
      <c r="E66" s="2">
        <f>IF(C66=0,0,IF(TL&gt;12,13,IF(TL=12,12,IF(TL&gt;9,10,0))))</f>
        <v>0</v>
      </c>
      <c r="F66" s="4">
        <f>IF(E66=13,C66*150000000,IF(E66=12,C66*100000000,IF(E66=10,C66*50000000,0)))</f>
        <v>0</v>
      </c>
      <c r="H66" s="263">
        <f>IF(E66=13,C66*150,IF(E66=12,C66*250,IF(E66=10,C66*500,0)))</f>
        <v>0</v>
      </c>
    </row>
    <row r="67" spans="1:20" ht="16" thickBot="1">
      <c r="B67" s="9"/>
      <c r="C67" s="470"/>
      <c r="D67" s="5" t="s">
        <v>2083</v>
      </c>
      <c r="F67" s="4"/>
      <c r="H67" s="263"/>
    </row>
    <row r="68" spans="1:20" ht="16" thickBot="1">
      <c r="B68" s="9" t="s">
        <v>2085</v>
      </c>
      <c r="C68" s="235">
        <v>0</v>
      </c>
      <c r="D68" s="235">
        <v>0</v>
      </c>
      <c r="E68" s="2">
        <f>IF(C68=0,0,13)</f>
        <v>0</v>
      </c>
      <c r="F68" s="4">
        <f>1250000*H68</f>
        <v>0</v>
      </c>
      <c r="H68" s="263">
        <f>C68*(250+(25*D68))</f>
        <v>0</v>
      </c>
      <c r="K68">
        <f>ROUNDUP(H68/25,0)</f>
        <v>0</v>
      </c>
    </row>
    <row r="69" spans="1:20" ht="16" thickBot="1">
      <c r="B69" s="9" t="s">
        <v>2086</v>
      </c>
      <c r="C69" s="235">
        <v>0</v>
      </c>
      <c r="D69" s="235">
        <v>0</v>
      </c>
      <c r="E69" s="2">
        <f t="shared" ref="E69:E70" si="0">IF(C69=0,0,13)</f>
        <v>0</v>
      </c>
      <c r="F69" s="4">
        <f>500000*H69</f>
        <v>0</v>
      </c>
      <c r="H69" s="263">
        <f>C69*(50+(10*D69))</f>
        <v>0</v>
      </c>
      <c r="K69">
        <f>ROUNDUP(H69/10,0)</f>
        <v>0</v>
      </c>
      <c r="T69" t="s">
        <v>2084</v>
      </c>
    </row>
    <row r="70" spans="1:20" ht="16" thickBot="1">
      <c r="B70" s="9" t="s">
        <v>2087</v>
      </c>
      <c r="C70" s="235">
        <v>0</v>
      </c>
      <c r="D70" s="235">
        <v>0</v>
      </c>
      <c r="E70" s="2">
        <f t="shared" si="0"/>
        <v>0</v>
      </c>
      <c r="F70" s="4">
        <f>1000000*H70</f>
        <v>0</v>
      </c>
      <c r="H70" s="263">
        <f>C70*(35+(5*D70))</f>
        <v>0</v>
      </c>
      <c r="K70">
        <f>ROUNDUP(H70/10,0)</f>
        <v>0</v>
      </c>
      <c r="T70" t="s">
        <v>99</v>
      </c>
    </row>
    <row r="71" spans="1:20" ht="16" thickBot="1">
      <c r="B71" s="469" t="s">
        <v>2088</v>
      </c>
      <c r="C71" s="235">
        <v>0</v>
      </c>
      <c r="E71" s="2">
        <f>IF(C71=0,0,9)</f>
        <v>0</v>
      </c>
      <c r="F71" s="4">
        <f>IF(T73,1000000,50000*H71)*C71</f>
        <v>0</v>
      </c>
      <c r="H71" s="263">
        <f>C71*IF(T73,10,40+ROUNDUP(Tonnage/200,0))</f>
        <v>0</v>
      </c>
      <c r="K71">
        <f>IF(T73,1,H71)*C71</f>
        <v>0</v>
      </c>
      <c r="T71" t="s">
        <v>2088</v>
      </c>
    </row>
    <row r="72" spans="1:20" ht="16" thickBot="1">
      <c r="B72" s="9" t="s">
        <v>1504</v>
      </c>
      <c r="C72" s="235">
        <v>0</v>
      </c>
      <c r="E72" s="2">
        <f>IF(C72=0,0,12)</f>
        <v>0</v>
      </c>
      <c r="F72" s="4">
        <f>C72*3000000</f>
        <v>0</v>
      </c>
      <c r="H72" s="263">
        <f>C72*20</f>
        <v>0</v>
      </c>
      <c r="T72" t="s">
        <v>2089</v>
      </c>
    </row>
    <row r="73" spans="1:20" ht="16" thickBot="1">
      <c r="B73" s="9" t="s">
        <v>1505</v>
      </c>
      <c r="C73" s="235">
        <v>0</v>
      </c>
      <c r="D73" t="str">
        <f>IF(C73=0,"","DM+2 Astrogation")</f>
        <v/>
      </c>
      <c r="F73" s="4">
        <f>C73*1250000</f>
        <v>0</v>
      </c>
      <c r="H73" s="263">
        <f>C73*16</f>
        <v>0</v>
      </c>
      <c r="K73" s="263">
        <f>2*C73</f>
        <v>0</v>
      </c>
      <c r="T73" t="b">
        <f>IF(B71=T71,TRUE())</f>
        <v>1</v>
      </c>
    </row>
    <row r="74" spans="1:20" ht="16" thickBot="1">
      <c r="B74" s="9" t="s">
        <v>1506</v>
      </c>
      <c r="C74" s="235">
        <v>0</v>
      </c>
      <c r="D74" t="str">
        <f>IF(C74=0,"","Detect jumps 1 parsec")</f>
        <v/>
      </c>
      <c r="E74" s="2">
        <f>IF(C74=0,0,13)</f>
        <v>0</v>
      </c>
      <c r="F74" s="4">
        <f>C74*12000000</f>
        <v>0</v>
      </c>
      <c r="H74" s="263">
        <f>C74*5</f>
        <v>0</v>
      </c>
      <c r="K74" s="263">
        <f>C74*6</f>
        <v>0</v>
      </c>
      <c r="S74" t="b">
        <f>IF(A77=T74,TRUE())</f>
        <v>1</v>
      </c>
      <c r="T74" s="16" t="s">
        <v>2452</v>
      </c>
    </row>
    <row r="75" spans="1:20" ht="16" thickBot="1">
      <c r="B75" s="9" t="s">
        <v>1507</v>
      </c>
      <c r="C75" s="235">
        <v>0</v>
      </c>
      <c r="D75" s="5"/>
      <c r="F75" s="4">
        <f>C75*24000000</f>
        <v>0</v>
      </c>
      <c r="H75" s="263">
        <f>C75*32</f>
        <v>0</v>
      </c>
      <c r="S75" t="str">
        <f>" (A"&amp;C77*(2+D77)&amp;"/S"&amp;C77*(4+(D77*2))&amp;")"</f>
        <v xml:space="preserve"> (A0/S0)</v>
      </c>
      <c r="T75" s="16" t="s">
        <v>2453</v>
      </c>
    </row>
    <row r="76" spans="1:20" ht="16" thickBot="1">
      <c r="B76" s="9"/>
      <c r="C76" s="470"/>
      <c r="D76" s="5" t="s">
        <v>2093</v>
      </c>
      <c r="F76" s="4"/>
      <c r="H76" s="263"/>
      <c r="S76" t="b">
        <f>IF(A78=T76,TRUE())</f>
        <v>1</v>
      </c>
      <c r="T76" s="16" t="s">
        <v>2454</v>
      </c>
    </row>
    <row r="77" spans="1:20" ht="16" thickBot="1">
      <c r="A77" s="879" t="s">
        <v>2452</v>
      </c>
      <c r="B77" s="880"/>
      <c r="C77" s="235">
        <v>0</v>
      </c>
      <c r="D77" s="198">
        <v>0</v>
      </c>
      <c r="E77" s="2">
        <v>7</v>
      </c>
      <c r="F77" s="4">
        <f>500000*H77*IF(S74,1,3)</f>
        <v>0</v>
      </c>
      <c r="H77" s="4">
        <f>C77*(4+D77)*IF(S74,1,1.1)</f>
        <v>0</v>
      </c>
      <c r="S77" t="str">
        <f>" (A"&amp;C78*(4+D78)&amp;"/S"&amp;C78*(12+(D78*2))&amp;")"</f>
        <v xml:space="preserve"> (A0/S0)</v>
      </c>
      <c r="T77" t="s">
        <v>2455</v>
      </c>
    </row>
    <row r="78" spans="1:20" ht="16" thickBot="1">
      <c r="A78" s="879" t="s">
        <v>2454</v>
      </c>
      <c r="B78" s="880"/>
      <c r="C78" s="235">
        <v>0</v>
      </c>
      <c r="D78" s="198">
        <v>0</v>
      </c>
      <c r="E78" s="2">
        <v>7</v>
      </c>
      <c r="F78" s="4">
        <f>500000*H78*IF(S76,1,3)</f>
        <v>0</v>
      </c>
      <c r="H78" s="4">
        <f>C78*(10+D78)*IF(S76,1,1.1)</f>
        <v>0</v>
      </c>
      <c r="S78" t="b">
        <f>IF(A79=T78,TRUE())</f>
        <v>1</v>
      </c>
      <c r="T78" s="16" t="s">
        <v>2090</v>
      </c>
    </row>
    <row r="79" spans="1:20" ht="16" thickBot="1">
      <c r="A79" s="879" t="s">
        <v>2090</v>
      </c>
      <c r="B79" s="880"/>
      <c r="C79" s="235">
        <v>0</v>
      </c>
      <c r="D79" s="198">
        <v>0</v>
      </c>
      <c r="E79" s="2">
        <v>7</v>
      </c>
      <c r="F79" s="4">
        <f>750000*H79*IF(S78,1,3)</f>
        <v>0</v>
      </c>
      <c r="H79" s="4">
        <f>C79*(12+D79)*IF(S78,1,1.1)</f>
        <v>0</v>
      </c>
      <c r="S79" t="str">
        <f>" (A"&amp;C79*(4+ROUNDDOWN(D79/2,0))&amp;"/S"&amp;C79*(8+(ROUNDDOWN(D79/2,0)*2))&amp;")"</f>
        <v xml:space="preserve"> (A0/S0)</v>
      </c>
      <c r="T79" t="s">
        <v>2092</v>
      </c>
    </row>
    <row r="80" spans="1:20" ht="16" thickBot="1">
      <c r="A80" s="879" t="s">
        <v>2094</v>
      </c>
      <c r="B80" s="880"/>
      <c r="C80" s="235">
        <v>0</v>
      </c>
      <c r="D80" s="198">
        <v>0</v>
      </c>
      <c r="E80" s="2">
        <v>7</v>
      </c>
      <c r="F80" s="4">
        <f>750000*H80*IF(S80,1,3)</f>
        <v>0</v>
      </c>
      <c r="H80" s="4">
        <f>C80*(28+D80)*IF(S80,1,1.1)</f>
        <v>0</v>
      </c>
      <c r="S80" t="b">
        <f>IF(A80=T80,TRUE())</f>
        <v>1</v>
      </c>
      <c r="T80" s="16" t="s">
        <v>2094</v>
      </c>
    </row>
    <row r="81" spans="1:20" ht="16" thickBot="1">
      <c r="A81" s="879" t="s">
        <v>2091</v>
      </c>
      <c r="B81" s="880"/>
      <c r="C81" s="235">
        <v>0</v>
      </c>
      <c r="D81" s="198">
        <v>0</v>
      </c>
      <c r="E81" s="2">
        <v>7</v>
      </c>
      <c r="F81" s="4">
        <f>750000*H81*IF(S82,1,3)</f>
        <v>0</v>
      </c>
      <c r="H81" s="4">
        <f>C81*(35+D81)*IF(S82,1,1.1)</f>
        <v>0</v>
      </c>
      <c r="S81" t="str">
        <f>" (A"&amp;C80*(12+ROUNDDOWN(D80/2,0))&amp;"/S"&amp;C80*(12+(ROUNDDOWN(D80/2,0)*2))&amp;")"</f>
        <v xml:space="preserve"> (A0/S0)</v>
      </c>
      <c r="T81" t="s">
        <v>2095</v>
      </c>
    </row>
    <row r="82" spans="1:20" ht="16" thickBot="1">
      <c r="A82" s="9" t="s">
        <v>1509</v>
      </c>
      <c r="B82" s="429" t="s">
        <v>89</v>
      </c>
      <c r="C82" s="235">
        <v>0</v>
      </c>
      <c r="E82" s="2">
        <f>IF(B82="None",0,IF(B82="Basic",7,IF(B82="Standard",9,IF(B82="Advanced",13))))</f>
        <v>0</v>
      </c>
      <c r="F82" s="4">
        <f>C82*IF(E82=0,0,IF(E82=7,25000000,IF(E82=9,50000000,125000000)))</f>
        <v>0</v>
      </c>
      <c r="H82" s="263">
        <f>IF(E82=0,0,C82*100)</f>
        <v>0</v>
      </c>
      <c r="S82" t="b">
        <f>IF(A81=T82,TRUE())</f>
        <v>1</v>
      </c>
      <c r="T82" s="16" t="s">
        <v>2091</v>
      </c>
    </row>
    <row r="83" spans="1:20" ht="16" thickBot="1">
      <c r="A83" s="9" t="s">
        <v>1510</v>
      </c>
      <c r="B83" s="198" t="s">
        <v>89</v>
      </c>
      <c r="C83" s="235">
        <v>0</v>
      </c>
      <c r="E83" s="2">
        <f>IF(B83="None",0,IF(B83="Basic",7,IF(B83="Standard",9,IF(B83="Advanced",13))))</f>
        <v>0</v>
      </c>
      <c r="F83" s="4">
        <f>C83*IF(E83=0,0,IF(E83=7,100000000,IF(E83=9,200000000, 500000000)))</f>
        <v>0</v>
      </c>
      <c r="H83" s="263">
        <f>IF(E83=0,0,C83*400)</f>
        <v>0</v>
      </c>
      <c r="S83" t="str">
        <f>" (A"&amp;C81*(10+ROUNDDOWN(D81/2,0))&amp;"/S"&amp;C81*(30+(ROUNDDOWN(D81/2,0)*2))&amp;")"</f>
        <v xml:space="preserve"> (A0/S0)</v>
      </c>
      <c r="T83" t="s">
        <v>2098</v>
      </c>
    </row>
    <row r="84" spans="1:20" ht="16" thickBot="1">
      <c r="A84" s="9" t="s">
        <v>1511</v>
      </c>
      <c r="B84" s="198" t="s">
        <v>89</v>
      </c>
      <c r="C84" s="235">
        <v>0</v>
      </c>
      <c r="D84" s="6" t="s">
        <v>1012</v>
      </c>
      <c r="E84" s="2">
        <f>IF(B84="None",0,IF(B84="Basic",7,IF(B84="Standard",9,IF(B84="Advanced",13))))</f>
        <v>0</v>
      </c>
      <c r="F84" s="4">
        <f>C84*IF(E84=0,0,IF(E84=7,250000000,IF(E84=9,500000000, 1250000000)))</f>
        <v>0</v>
      </c>
      <c r="H84" s="263">
        <f>IF(E84=0,0,C84*1000)</f>
        <v>0</v>
      </c>
    </row>
    <row r="85" spans="1:20" ht="16" thickBot="1">
      <c r="A85" s="9" t="s">
        <v>1508</v>
      </c>
      <c r="B85" t="str">
        <f>" For "&amp;IF(D85&lt;48,0,IF(C85=0,0,C85*ROUNDDOWN(16+((D85-48)/3),0)))&amp;" Scientists"</f>
        <v xml:space="preserve"> For 0 Scientists</v>
      </c>
      <c r="C85" s="235">
        <v>0</v>
      </c>
      <c r="D85" s="235">
        <v>0</v>
      </c>
      <c r="F85" s="4">
        <f>H85*800000</f>
        <v>0</v>
      </c>
      <c r="H85" s="263">
        <f>IF(D85&lt;48,0,C85*D85)</f>
        <v>0</v>
      </c>
      <c r="K85" s="263">
        <f>ROUNDUP(H85/10,0)</f>
        <v>0</v>
      </c>
    </row>
    <row r="86" spans="1:20">
      <c r="B86" s="286" t="str">
        <f>"Scientists Required"&amp;IF(C74&gt;0," *","")</f>
        <v>Scientists Required</v>
      </c>
    </row>
    <row r="87" spans="1:20">
      <c r="B87" s="320">
        <f>IF($D$85&lt;48,0,IF($C$85=0,0,C85*ROUNDDOWN(16+(($D$85-48)/3),0)))+2*C82+8*C83+20*C84+IF(C68=0,0,C68*(4+D68))+IF(C69=0,0,C69*(4+D69))+IF(C70=0,0,C70*(4+D70))</f>
        <v>0</v>
      </c>
    </row>
    <row r="88" spans="1:20">
      <c r="B88" t="str">
        <f>IF($C$74=0,"","* ADD GAS Crew manually ")</f>
        <v/>
      </c>
    </row>
    <row r="89" spans="1:20">
      <c r="A89" s="268" t="s">
        <v>1453</v>
      </c>
      <c r="F89" s="4"/>
    </row>
    <row r="90" spans="1:20" ht="16" thickBot="1">
      <c r="C90" s="1" t="s">
        <v>1456</v>
      </c>
      <c r="F90" s="4"/>
      <c r="T90" t="s">
        <v>1461</v>
      </c>
    </row>
    <row r="91" spans="1:20" ht="16" thickBot="1">
      <c r="A91" s="3" t="s">
        <v>1454</v>
      </c>
      <c r="B91" s="2" t="s">
        <v>1457</v>
      </c>
      <c r="C91" s="235">
        <v>0</v>
      </c>
      <c r="F91" s="4">
        <f>H91*50000</f>
        <v>0</v>
      </c>
      <c r="H91" s="263">
        <f>C91*2</f>
        <v>0</v>
      </c>
      <c r="K91" s="263">
        <f>ROUNDUP(1*H91/100,0)</f>
        <v>0</v>
      </c>
      <c r="T91">
        <f>SUM('11-Staterooms'!H21:H27)</f>
        <v>28</v>
      </c>
    </row>
    <row r="92" spans="1:20" ht="16" thickBot="1">
      <c r="A92" t="str">
        <f>IF(SUM(H91:H94,T91)&gt;9999,"Class A",IF(SUM(H91:H94,T91)&gt;2499,"Class B",IF(SUM(H91:H94,T91)&gt;99,"Class C","Class D/E/X")))</f>
        <v>Class D/E/X</v>
      </c>
      <c r="B92" s="2" t="s">
        <v>1458</v>
      </c>
      <c r="C92" s="235">
        <v>0</v>
      </c>
      <c r="F92" s="4">
        <f>H92*100000</f>
        <v>0</v>
      </c>
      <c r="H92" s="263">
        <f>C92*4</f>
        <v>0</v>
      </c>
      <c r="K92" s="263">
        <f>ROUNDUP(2*H92/100,0)</f>
        <v>0</v>
      </c>
    </row>
    <row r="93" spans="1:20" ht="16" thickBot="1">
      <c r="B93" s="2" t="s">
        <v>1459</v>
      </c>
      <c r="C93" s="235">
        <v>0</v>
      </c>
      <c r="F93" s="4">
        <f>H93*250000</f>
        <v>0</v>
      </c>
      <c r="H93" s="263">
        <f>C93*6</f>
        <v>0</v>
      </c>
      <c r="K93" s="263">
        <f>ROUNDUP(3*H93/100,0)</f>
        <v>0</v>
      </c>
      <c r="T93" t="s">
        <v>1487</v>
      </c>
    </row>
    <row r="94" spans="1:20" ht="16" thickBot="1">
      <c r="B94" s="2" t="s">
        <v>1455</v>
      </c>
      <c r="C94" s="235">
        <v>0</v>
      </c>
      <c r="F94" s="4">
        <f>H94*750000</f>
        <v>0</v>
      </c>
      <c r="H94" s="263">
        <f>C94*10</f>
        <v>0</v>
      </c>
      <c r="K94" s="263">
        <f>ROUNDUP(5*H94/100,0)</f>
        <v>0</v>
      </c>
      <c r="T94">
        <f>IF(SUM(H91:H94,T91)&gt;9999,5,IF(SUM(H91:H94,T91)&gt;2499,4,IF(SUM(H91:H94,T91)&gt;99,3,2)))</f>
        <v>2</v>
      </c>
    </row>
    <row r="95" spans="1:20">
      <c r="B95" s="2" t="s">
        <v>540</v>
      </c>
      <c r="D95" s="287" t="s">
        <v>1523</v>
      </c>
      <c r="F95" s="4">
        <f>H95*100000</f>
        <v>0</v>
      </c>
      <c r="H95" s="263">
        <f>0.5*SUM(H91:H94)</f>
        <v>0</v>
      </c>
    </row>
    <row r="96" spans="1:20" ht="16" thickBot="1">
      <c r="A96" s="3" t="s">
        <v>1460</v>
      </c>
      <c r="C96" s="1" t="s">
        <v>867</v>
      </c>
      <c r="F96" s="4"/>
    </row>
    <row r="97" spans="1:20" ht="16" thickBot="1">
      <c r="A97" t="str">
        <f>IF(C97&gt;24999,"Class A",IF(C97&gt;4999,"Class B",IF(C97&gt;99,"Class C/D", "Class E/X")))</f>
        <v>Class E/X</v>
      </c>
      <c r="C97" s="235">
        <v>0</v>
      </c>
      <c r="F97" s="4">
        <f>H97*200000</f>
        <v>0</v>
      </c>
      <c r="H97" s="263">
        <f>C97</f>
        <v>0</v>
      </c>
      <c r="K97" s="263">
        <f>ROUNDUP(1*H97/200,0)</f>
        <v>0</v>
      </c>
      <c r="T97" t="s">
        <v>508</v>
      </c>
    </row>
    <row r="98" spans="1:20">
      <c r="T98">
        <f>IF(C97&gt;24999,5,IF(C97&gt;4999,4,IF(C97&gt;99,3,1)))</f>
        <v>1</v>
      </c>
    </row>
    <row r="99" spans="1:20">
      <c r="A99" s="3" t="s">
        <v>1470</v>
      </c>
      <c r="B99" t="s">
        <v>1502</v>
      </c>
    </row>
    <row r="100" spans="1:20" ht="16" thickBot="1">
      <c r="A100" t="str">
        <f>"Class "&amp;IF(SUM(H101:H105)/3&gt;99999.9,"A",IF(SUM(H101:H105)/3&gt;49999.9,"B",IF(SUM(H101:H105)/3&gt;19999.9,"C",IF(SUM(H101:H105)/3&gt;399.9,"D","E/X"))))</f>
        <v>Class E/X</v>
      </c>
      <c r="C100" s="1" t="s">
        <v>308</v>
      </c>
      <c r="D100" s="1" t="s">
        <v>1471</v>
      </c>
      <c r="T100" t="s">
        <v>639</v>
      </c>
    </row>
    <row r="101" spans="1:20" ht="16" thickBot="1">
      <c r="B101" t="s">
        <v>1472</v>
      </c>
      <c r="C101" s="235">
        <v>0</v>
      </c>
      <c r="D101" s="235">
        <v>0</v>
      </c>
      <c r="F101" s="4">
        <f>250000*H101</f>
        <v>0</v>
      </c>
      <c r="H101" s="263">
        <f>3*C101*D101</f>
        <v>0</v>
      </c>
      <c r="T101">
        <f>IF(SUM(H101:H105)/3&gt;99999.9,5,IF(SUM(H101:H105)/3&gt;49999.9,4,IF(SUM(H101:H105)/3&gt;19999.9,3,IF(SUM(H101:H105)/3&gt;399.9,2,1))))</f>
        <v>1</v>
      </c>
    </row>
    <row r="102" spans="1:20" ht="16" thickBot="1">
      <c r="A102" s="234" t="s">
        <v>1477</v>
      </c>
      <c r="B102" t="s">
        <v>1473</v>
      </c>
      <c r="C102" s="235">
        <v>0</v>
      </c>
      <c r="D102" s="235">
        <v>0</v>
      </c>
      <c r="F102" s="4">
        <f t="shared" ref="F102:F105" si="1">250000*H102</f>
        <v>0</v>
      </c>
      <c r="H102" s="263">
        <f t="shared" ref="H102:H105" si="2">3*C102*D102</f>
        <v>0</v>
      </c>
    </row>
    <row r="103" spans="1:20" ht="16" thickBot="1">
      <c r="A103" s="270">
        <f>ROUNDUP(SUM(H$101:$H105)/100,0)</f>
        <v>0</v>
      </c>
      <c r="B103" t="s">
        <v>1474</v>
      </c>
      <c r="C103" s="235">
        <v>0</v>
      </c>
      <c r="D103" s="235">
        <v>0</v>
      </c>
      <c r="F103" s="4">
        <f t="shared" si="1"/>
        <v>0</v>
      </c>
      <c r="H103" s="263">
        <f t="shared" si="2"/>
        <v>0</v>
      </c>
    </row>
    <row r="104" spans="1:20" ht="16" thickBot="1">
      <c r="B104" t="s">
        <v>1475</v>
      </c>
      <c r="C104" s="235">
        <v>0</v>
      </c>
      <c r="D104" s="235">
        <v>0</v>
      </c>
      <c r="F104" s="4">
        <f t="shared" si="1"/>
        <v>0</v>
      </c>
      <c r="H104" s="263">
        <f t="shared" si="2"/>
        <v>0</v>
      </c>
    </row>
    <row r="105" spans="1:20" ht="16" thickBot="1">
      <c r="B105" t="s">
        <v>1476</v>
      </c>
      <c r="C105" s="235">
        <v>0</v>
      </c>
      <c r="D105" s="235">
        <v>0</v>
      </c>
      <c r="F105" s="4">
        <f t="shared" si="1"/>
        <v>0</v>
      </c>
      <c r="H105" s="263">
        <f t="shared" si="2"/>
        <v>0</v>
      </c>
    </row>
    <row r="106" spans="1:20">
      <c r="C106" s="269"/>
    </row>
    <row r="107" spans="1:20" ht="16" thickBot="1">
      <c r="A107" s="3" t="s">
        <v>1480</v>
      </c>
      <c r="C107" s="1" t="s">
        <v>1012</v>
      </c>
      <c r="T107" t="s">
        <v>67</v>
      </c>
    </row>
    <row r="108" spans="1:20" ht="16" thickBot="1">
      <c r="A108" t="str">
        <f>"Class "&amp;IF(T108=5,"A",IF(T108=4,"B","C/D/E/X"))</f>
        <v>Class C/D/E/X</v>
      </c>
      <c r="B108" t="s">
        <v>1481</v>
      </c>
      <c r="C108" s="235">
        <v>0</v>
      </c>
      <c r="F108" s="4">
        <f>IF(TL&gt;12,500000*H108,IF(TL&gt;9,1000000*H108,100000*H108))</f>
        <v>0</v>
      </c>
      <c r="H108" s="263">
        <f>IF(TL&gt;12,C108/15,IF(TL&gt;9,C108/12,IF(TL&gt;6,C108/10,0)))</f>
        <v>0</v>
      </c>
      <c r="K108" s="263">
        <f>IF(TL&gt;9,H108,H108*2)</f>
        <v>0</v>
      </c>
      <c r="T108">
        <f>IF(C108&gt;2500,5,IF(C108&gt;1000,4,3))</f>
        <v>3</v>
      </c>
    </row>
    <row r="109" spans="1:20" ht="16" thickBot="1">
      <c r="B109" t="s">
        <v>1482</v>
      </c>
      <c r="C109" s="235">
        <v>0</v>
      </c>
      <c r="F109" s="4">
        <f>50000*H109</f>
        <v>0</v>
      </c>
      <c r="H109" s="263">
        <f>C109</f>
        <v>0</v>
      </c>
    </row>
    <row r="110" spans="1:20" ht="16" thickBot="1">
      <c r="A110" s="234" t="s">
        <v>1477</v>
      </c>
      <c r="C110" s="2"/>
      <c r="D110" s="285" t="s">
        <v>1490</v>
      </c>
    </row>
    <row r="111" spans="1:20" ht="16" thickBot="1">
      <c r="A111" s="270">
        <f>ROUNDUP(IF(TL&gt;12,H108/500,IF(TL&gt;9,H108/100,H108/50)),0)+ROUNDUP(IF(TL&gt;12,H111/50,IF(TL&gt;9,H111/20,H111/10)),0)</f>
        <v>0</v>
      </c>
      <c r="B111" t="s">
        <v>1488</v>
      </c>
      <c r="C111" s="235">
        <v>0</v>
      </c>
      <c r="D111" s="16" t="str">
        <f>IF(H111=0,"",H111*IF(TL&gt;13,2,IF(TL&gt;9,1,0.5))&amp;" (Ore)")</f>
        <v/>
      </c>
      <c r="F111" s="4">
        <f>H111*IF(TL&gt;12,2000000,IF(TL&gt;9,1000000,IF(TL&gt;6,500000,0)))</f>
        <v>0</v>
      </c>
      <c r="H111" s="263">
        <f>IF(TL&gt;6,C111,0)</f>
        <v>0</v>
      </c>
      <c r="K111" s="263">
        <f>H111*IF(TL&gt;12,1,IF(TL&gt;9,2,5))</f>
        <v>0</v>
      </c>
    </row>
    <row r="112" spans="1:20" ht="16" thickBot="1">
      <c r="B112" t="s">
        <v>1489</v>
      </c>
      <c r="C112" s="235">
        <v>0</v>
      </c>
      <c r="D112" s="16" t="str">
        <f>IF(H112=0,"",H112*0.2&amp;" Ore in")</f>
        <v/>
      </c>
      <c r="F112" s="4">
        <f>H112*500000</f>
        <v>0</v>
      </c>
      <c r="H112" s="263">
        <f>C112</f>
        <v>0</v>
      </c>
      <c r="K112" s="263">
        <f>H112</f>
        <v>0</v>
      </c>
    </row>
    <row r="113" spans="1:20">
      <c r="D113" t="str">
        <f>IF(H112=0,"",H112*0.1&amp;" Raw Materials out")</f>
        <v/>
      </c>
    </row>
    <row r="114" spans="1:20">
      <c r="A114" s="3" t="s">
        <v>1491</v>
      </c>
      <c r="B114" t="s">
        <v>1503</v>
      </c>
      <c r="T114" t="s">
        <v>1491</v>
      </c>
    </row>
    <row r="115" spans="1:20">
      <c r="A115" t="str">
        <f>"Class "&amp;IF(T115=5,"A",IF(T115=4,"B",IF(T115=3,"C",IF(T115=2,"D/E/X"))))</f>
        <v>Class D/E/X</v>
      </c>
      <c r="T115">
        <f>IF(AND(SUM(H117:H118)&gt;24999.9,H118&gt;199.9,TL&gt;8),5,IF(SUM(H117:H118)&gt;9999.9,4,IF(SUM(H117:H118)&gt;199.9,3,2)))</f>
        <v>2</v>
      </c>
    </row>
    <row r="116" spans="1:20" ht="16" thickBot="1">
      <c r="B116" s="7" t="s">
        <v>1492</v>
      </c>
      <c r="C116" s="1" t="s">
        <v>1012</v>
      </c>
      <c r="D116" s="1" t="s">
        <v>1512</v>
      </c>
    </row>
    <row r="117" spans="1:20" ht="16" thickBot="1">
      <c r="B117" s="9" t="s">
        <v>1493</v>
      </c>
      <c r="C117" s="235">
        <v>0</v>
      </c>
      <c r="D117" s="235">
        <v>0</v>
      </c>
      <c r="F117" s="4">
        <f>500000*H117</f>
        <v>0</v>
      </c>
      <c r="H117" s="263">
        <f>2*D117*C117</f>
        <v>0</v>
      </c>
      <c r="K117" s="263">
        <f>H117</f>
        <v>0</v>
      </c>
    </row>
    <row r="118" spans="1:20" ht="16" thickBot="1">
      <c r="B118" s="9" t="s">
        <v>1494</v>
      </c>
      <c r="C118" s="235">
        <v>0</v>
      </c>
      <c r="D118" s="235">
        <v>0</v>
      </c>
      <c r="F118" s="4">
        <f>750000*H118</f>
        <v>0</v>
      </c>
      <c r="H118" s="263">
        <f>2*D118*C118</f>
        <v>0</v>
      </c>
      <c r="K118" s="263">
        <f>H118</f>
        <v>0</v>
      </c>
      <c r="N118" s="263"/>
    </row>
    <row r="119" spans="1:20">
      <c r="A119" s="234" t="s">
        <v>1477</v>
      </c>
    </row>
    <row r="120" spans="1:20">
      <c r="A120" s="270">
        <f>ROUNDUP(SUM(H117:H118)/10,0)</f>
        <v>0</v>
      </c>
    </row>
    <row r="121" spans="1:20">
      <c r="C121" s="3"/>
      <c r="D121" s="3"/>
    </row>
    <row r="122" spans="1:20" ht="16" thickBot="1">
      <c r="A122" s="3" t="s">
        <v>1495</v>
      </c>
      <c r="C122" s="7" t="s">
        <v>1500</v>
      </c>
      <c r="D122" s="1" t="s">
        <v>1501</v>
      </c>
    </row>
    <row r="123" spans="1:20" ht="16" thickBot="1">
      <c r="B123" t="s">
        <v>1496</v>
      </c>
      <c r="C123" s="235">
        <v>0</v>
      </c>
      <c r="D123" s="235">
        <v>0</v>
      </c>
      <c r="E123" s="2">
        <f>IF(OR(C123&gt;0,D123&gt;0),7,0)</f>
        <v>0</v>
      </c>
      <c r="F123" s="4">
        <f>H123*200000</f>
        <v>0</v>
      </c>
      <c r="H123" s="263">
        <f>C123*D123*10</f>
        <v>0</v>
      </c>
      <c r="K123" s="263">
        <f>H123</f>
        <v>0</v>
      </c>
    </row>
    <row r="124" spans="1:20" ht="16" thickBot="1">
      <c r="A124" s="234" t="s">
        <v>1477</v>
      </c>
      <c r="B124" t="s">
        <v>1497</v>
      </c>
      <c r="C124" s="235">
        <v>0</v>
      </c>
      <c r="D124" s="235">
        <v>0</v>
      </c>
      <c r="E124" s="2">
        <f>IF(OR(C124&gt;0,D124&gt;0),10,0)</f>
        <v>0</v>
      </c>
      <c r="F124" s="4">
        <f>H124*400000</f>
        <v>0</v>
      </c>
      <c r="H124" s="263">
        <f>C124*D124*25</f>
        <v>0</v>
      </c>
      <c r="K124" s="263">
        <f>H124*2</f>
        <v>0</v>
      </c>
    </row>
    <row r="125" spans="1:20" ht="16" thickBot="1">
      <c r="A125" s="270">
        <f>ROUNDUP(H123/5,0)+ROUNDUP(H124/2,0)+ROUNDUP(H125/3,0)+ROUNDUP(H126/10,0)</f>
        <v>0</v>
      </c>
      <c r="B125" t="s">
        <v>1498</v>
      </c>
      <c r="C125" s="235">
        <v>0</v>
      </c>
      <c r="D125" s="235">
        <v>0</v>
      </c>
      <c r="E125" s="2">
        <f>IF(OR(C125&gt;0,D125&gt;0),9,0)</f>
        <v>0</v>
      </c>
      <c r="F125" s="4">
        <f>H125*1000000</f>
        <v>0</v>
      </c>
      <c r="H125" s="263">
        <f>C125*D125*50</f>
        <v>0</v>
      </c>
      <c r="K125" s="263">
        <f>H125*2</f>
        <v>0</v>
      </c>
    </row>
    <row r="126" spans="1:20" ht="16" thickBot="1">
      <c r="B126" t="s">
        <v>1499</v>
      </c>
      <c r="C126" s="235">
        <v>0</v>
      </c>
      <c r="D126" s="235">
        <v>0</v>
      </c>
      <c r="E126" s="2">
        <f>IF(OR(C126&gt;0,D126&gt;0),8,0)</f>
        <v>0</v>
      </c>
      <c r="F126" s="4">
        <f>H126*500000</f>
        <v>0</v>
      </c>
      <c r="H126" s="263">
        <f>C126*D126*20</f>
        <v>0</v>
      </c>
      <c r="K126" s="263">
        <f>H126</f>
        <v>0</v>
      </c>
    </row>
  </sheetData>
  <sheetProtection algorithmName="SHA-512" hashValue="JDdUOzyZOmAaUi3LeYV2lbzz7EY5Ff1yad/vh9nmPiSxkMfaxzObvO1yUGz22Vy5b+Qsyyyf796JRIBSyPTuZw==" saltValue="eIFzDulrr+F75dnt8Rsnaw==" spinCount="100000" sheet="1" selectLockedCells="1"/>
  <mergeCells count="7">
    <mergeCell ref="A80:B80"/>
    <mergeCell ref="A81:B81"/>
    <mergeCell ref="H4:I4"/>
    <mergeCell ref="K4:L4"/>
    <mergeCell ref="A77:B77"/>
    <mergeCell ref="A78:B78"/>
    <mergeCell ref="A79:B79"/>
  </mergeCells>
  <conditionalFormatting sqref="A96">
    <cfRule type="expression" dxfId="192" priority="60">
      <formula>$C$97&gt;0</formula>
    </cfRule>
  </conditionalFormatting>
  <conditionalFormatting sqref="A35:D63">
    <cfRule type="expression" dxfId="191" priority="8">
      <formula>$T$22=1</formula>
    </cfRule>
  </conditionalFormatting>
  <conditionalFormatting sqref="B10:B13 B66:B76 T74:T75 A75:A85">
    <cfRule type="expression" dxfId="190" priority="67">
      <formula>$C10&gt;0</formula>
    </cfRule>
  </conditionalFormatting>
  <conditionalFormatting sqref="B18 B20 B22:B30 A73 B85:B86 B91:B95 B101:B105 B108:B109 B111:B112">
    <cfRule type="expression" dxfId="189" priority="90">
      <formula>$C18&gt;0</formula>
    </cfRule>
  </conditionalFormatting>
  <conditionalFormatting sqref="B19 B21">
    <cfRule type="expression" dxfId="188" priority="66">
      <formula>$C19*$D19&gt;0</formula>
    </cfRule>
  </conditionalFormatting>
  <conditionalFormatting sqref="B31:B32">
    <cfRule type="expression" dxfId="187" priority="3">
      <formula>$E31&gt;0</formula>
    </cfRule>
  </conditionalFormatting>
  <conditionalFormatting sqref="B82:B84">
    <cfRule type="expression" dxfId="186" priority="961">
      <formula>AND($C82&gt;0,$B82="None")</formula>
    </cfRule>
  </conditionalFormatting>
  <conditionalFormatting sqref="B117:B118 B123:B126">
    <cfRule type="expression" dxfId="185" priority="68">
      <formula>$C117*$D117&gt;0</formula>
    </cfRule>
  </conditionalFormatting>
  <conditionalFormatting sqref="C10:C13">
    <cfRule type="expression" dxfId="184" priority="937">
      <formula>#REF!=$S$3</formula>
    </cfRule>
  </conditionalFormatting>
  <conditionalFormatting sqref="C18">
    <cfRule type="expression" dxfId="183" priority="945">
      <formula>#REF!=$S$3</formula>
    </cfRule>
  </conditionalFormatting>
  <conditionalFormatting sqref="C20">
    <cfRule type="expression" dxfId="182" priority="947">
      <formula>#REF!=$S$3</formula>
    </cfRule>
  </conditionalFormatting>
  <conditionalFormatting sqref="C22:C32">
    <cfRule type="expression" dxfId="181" priority="949">
      <formula>#REF!=$S$3</formula>
    </cfRule>
  </conditionalFormatting>
  <conditionalFormatting sqref="C37">
    <cfRule type="expression" dxfId="180" priority="44">
      <formula>AND($B$37="None Installed",$C$37&gt;0)</formula>
    </cfRule>
  </conditionalFormatting>
  <conditionalFormatting sqref="C38">
    <cfRule type="expression" dxfId="179" priority="43">
      <formula>AND($B$38="None Installed",$C$38&gt;0)</formula>
    </cfRule>
  </conditionalFormatting>
  <conditionalFormatting sqref="C39">
    <cfRule type="expression" dxfId="178" priority="42">
      <formula>AND($B$39="None Installed",$C$39&gt;0)</formula>
    </cfRule>
  </conditionalFormatting>
  <conditionalFormatting sqref="C41">
    <cfRule type="expression" dxfId="177" priority="41">
      <formula>AND($B$41="None Installed",$C$41&gt;0)</formula>
    </cfRule>
  </conditionalFormatting>
  <conditionalFormatting sqref="C42">
    <cfRule type="expression" dxfId="176" priority="40">
      <formula>AND($B$42="None Installed",$C$42&gt;0)</formula>
    </cfRule>
  </conditionalFormatting>
  <conditionalFormatting sqref="C43">
    <cfRule type="expression" dxfId="175" priority="39">
      <formula>AND($B$43="None Installed",$C$43&gt;0)</formula>
    </cfRule>
  </conditionalFormatting>
  <conditionalFormatting sqref="C47">
    <cfRule type="expression" dxfId="174" priority="32">
      <formula>AND($B$47="None Installed",$C$47&gt;0)</formula>
    </cfRule>
  </conditionalFormatting>
  <conditionalFormatting sqref="C48">
    <cfRule type="expression" dxfId="173" priority="31">
      <formula>AND($B$48="None Installed",$C$48&gt;0)</formula>
    </cfRule>
  </conditionalFormatting>
  <conditionalFormatting sqref="C49">
    <cfRule type="expression" dxfId="172" priority="30">
      <formula>AND($B$49="None Installed",$C$49&gt;0)</formula>
    </cfRule>
  </conditionalFormatting>
  <conditionalFormatting sqref="C51">
    <cfRule type="expression" dxfId="171" priority="29">
      <formula>AND($B$51="None Installed",$C$51&gt;0)</formula>
    </cfRule>
  </conditionalFormatting>
  <conditionalFormatting sqref="C52">
    <cfRule type="expression" dxfId="170" priority="28">
      <formula>AND($B$52="None Installed",$C$52&gt;0)</formula>
    </cfRule>
  </conditionalFormatting>
  <conditionalFormatting sqref="C53">
    <cfRule type="expression" dxfId="169" priority="27">
      <formula>AND($B$53="None Installed",$C$53&gt;0)</formula>
    </cfRule>
  </conditionalFormatting>
  <conditionalFormatting sqref="C57">
    <cfRule type="expression" dxfId="168" priority="20">
      <formula>AND($B$57="None Installed",$C$57&gt;0)</formula>
    </cfRule>
  </conditionalFormatting>
  <conditionalFormatting sqref="C58">
    <cfRule type="expression" dxfId="167" priority="19">
      <formula>AND($B$58="None Installed",$C$58&gt;0)</formula>
    </cfRule>
  </conditionalFormatting>
  <conditionalFormatting sqref="C59">
    <cfRule type="expression" dxfId="166" priority="18">
      <formula>AND($B$59="None Installed",$C$59&gt;0)</formula>
    </cfRule>
  </conditionalFormatting>
  <conditionalFormatting sqref="C61">
    <cfRule type="expression" dxfId="165" priority="17">
      <formula>AND($B$61="None Installed",$C$61&gt;0)</formula>
    </cfRule>
  </conditionalFormatting>
  <conditionalFormatting sqref="C62">
    <cfRule type="expression" dxfId="164" priority="16">
      <formula>AND($B$62="None Installed",$C$62&gt;0)</formula>
    </cfRule>
  </conditionalFormatting>
  <conditionalFormatting sqref="C63">
    <cfRule type="expression" dxfId="163" priority="15">
      <formula>AND($B$63="None Installed",$C$63&gt;0)</formula>
    </cfRule>
  </conditionalFormatting>
  <conditionalFormatting sqref="C85">
    <cfRule type="expression" dxfId="162" priority="61">
      <formula>AND($C$85=0,$D$85&gt;47)</formula>
    </cfRule>
  </conditionalFormatting>
  <conditionalFormatting sqref="C19:D19">
    <cfRule type="expression" dxfId="161" priority="946">
      <formula>#REF!=$S$3</formula>
    </cfRule>
  </conditionalFormatting>
  <conditionalFormatting sqref="C21:D21">
    <cfRule type="expression" dxfId="160" priority="948">
      <formula>#REF!=$S$3</formula>
    </cfRule>
  </conditionalFormatting>
  <conditionalFormatting sqref="C32:D32">
    <cfRule type="expression" dxfId="159" priority="1">
      <formula>AND($C$31=$S$4,$C$32&lt;2+$D$31)</formula>
    </cfRule>
  </conditionalFormatting>
  <conditionalFormatting sqref="C118:D118">
    <cfRule type="expression" dxfId="158" priority="73">
      <formula>AND(TL&lt;9,$D$118&gt;0)</formula>
    </cfRule>
  </conditionalFormatting>
  <conditionalFormatting sqref="D31">
    <cfRule type="expression" dxfId="157" priority="2">
      <formula>AND($D$31&gt;0,$C$31=$S$3)</formula>
    </cfRule>
    <cfRule type="expression" dxfId="156" priority="4">
      <formula>$T$22=1</formula>
    </cfRule>
    <cfRule type="expression" dxfId="155" priority="5">
      <formula>AND($B$37="None Installed",$D$37&gt;0)</formula>
    </cfRule>
  </conditionalFormatting>
  <conditionalFormatting sqref="D37">
    <cfRule type="expression" dxfId="154" priority="38">
      <formula>AND($B$37="None Installed",$D$37&gt;0)</formula>
    </cfRule>
  </conditionalFormatting>
  <conditionalFormatting sqref="D38">
    <cfRule type="expression" dxfId="153" priority="37">
      <formula>AND($B$38="None Installed",$D$38&gt;0)</formula>
    </cfRule>
  </conditionalFormatting>
  <conditionalFormatting sqref="D39">
    <cfRule type="expression" dxfId="152" priority="36">
      <formula>AND($B$39="None Installed",$D$39&gt;0)</formula>
    </cfRule>
  </conditionalFormatting>
  <conditionalFormatting sqref="D41">
    <cfRule type="expression" dxfId="151" priority="35">
      <formula>AND($B$41="None Installed",$D$41&gt;0)</formula>
    </cfRule>
  </conditionalFormatting>
  <conditionalFormatting sqref="D42">
    <cfRule type="expression" dxfId="150" priority="34">
      <formula>AND($B$42="None Installed",$D$42&gt;0)</formula>
    </cfRule>
  </conditionalFormatting>
  <conditionalFormatting sqref="D43">
    <cfRule type="expression" dxfId="149" priority="33">
      <formula>AND($B$43="None Installed",$D$43&gt;0)</formula>
    </cfRule>
  </conditionalFormatting>
  <conditionalFormatting sqref="D47">
    <cfRule type="expression" dxfId="148" priority="26">
      <formula>AND($B$47="None Installed",$D$47&gt;0)</formula>
    </cfRule>
  </conditionalFormatting>
  <conditionalFormatting sqref="D48">
    <cfRule type="expression" dxfId="147" priority="25">
      <formula>AND($B$48="None Installed",$D$48&gt;0)</formula>
    </cfRule>
  </conditionalFormatting>
  <conditionalFormatting sqref="D49">
    <cfRule type="expression" dxfId="146" priority="24">
      <formula>AND($B$49="None Installed",$D$49&gt;0)</formula>
    </cfRule>
  </conditionalFormatting>
  <conditionalFormatting sqref="D51">
    <cfRule type="expression" dxfId="145" priority="23">
      <formula>AND($B$51="None Installed",$D$51&gt;0)</formula>
    </cfRule>
  </conditionalFormatting>
  <conditionalFormatting sqref="D52">
    <cfRule type="expression" dxfId="144" priority="22">
      <formula>AND($B$52="None Installed",$D$52&gt;0)</formula>
    </cfRule>
  </conditionalFormatting>
  <conditionalFormatting sqref="D53">
    <cfRule type="expression" dxfId="143" priority="21">
      <formula>AND($B$53="None Installed",$D$53&gt;0)</formula>
    </cfRule>
  </conditionalFormatting>
  <conditionalFormatting sqref="D57">
    <cfRule type="expression" dxfId="142" priority="14">
      <formula>AND($B$57="None Installed",$D$57&gt;0)</formula>
    </cfRule>
  </conditionalFormatting>
  <conditionalFormatting sqref="D58">
    <cfRule type="expression" dxfId="141" priority="13">
      <formula>AND($B$58="None Installed",$D$58&gt;0)</formula>
    </cfRule>
  </conditionalFormatting>
  <conditionalFormatting sqref="D59">
    <cfRule type="expression" dxfId="140" priority="12">
      <formula>AND($B$59="None Installed",$D$59&gt;0)</formula>
    </cfRule>
  </conditionalFormatting>
  <conditionalFormatting sqref="D61">
    <cfRule type="expression" dxfId="139" priority="11">
      <formula>AND($B$61="None Installed",$D$61&gt;0)</formula>
    </cfRule>
  </conditionalFormatting>
  <conditionalFormatting sqref="D62">
    <cfRule type="expression" dxfId="138" priority="10">
      <formula>AND($B$62="None Installed",$D$62&gt;0)</formula>
    </cfRule>
  </conditionalFormatting>
  <conditionalFormatting sqref="D63">
    <cfRule type="expression" dxfId="137" priority="9">
      <formula>AND($B$63="None Installed",$D$63&gt;0)</formula>
    </cfRule>
  </conditionalFormatting>
  <conditionalFormatting sqref="D85">
    <cfRule type="expression" dxfId="136" priority="63">
      <formula>#REF!=$S$3</formula>
    </cfRule>
    <cfRule type="expression" dxfId="135" priority="62">
      <formula>AND($C$85&gt;0,$D$85&lt;48)</formula>
    </cfRule>
  </conditionalFormatting>
  <conditionalFormatting sqref="D117:D118 D123:D126">
    <cfRule type="expression" dxfId="134" priority="70">
      <formula>$C117=0</formula>
    </cfRule>
    <cfRule type="expression" dxfId="133" priority="69">
      <formula>AND($C117=0,$D117&gt;0)</formula>
    </cfRule>
  </conditionalFormatting>
  <conditionalFormatting sqref="E10">
    <cfRule type="expression" dxfId="132" priority="113">
      <formula>$E$10&gt;$E$2</formula>
    </cfRule>
  </conditionalFormatting>
  <conditionalFormatting sqref="E10:E35 E37:E45 E47:E55 E57:E87">
    <cfRule type="cellIs" dxfId="131" priority="45" operator="greaterThan">
      <formula>$E$2</formula>
    </cfRule>
  </conditionalFormatting>
  <conditionalFormatting sqref="E11">
    <cfRule type="expression" dxfId="130" priority="112">
      <formula>$E$11&gt;$E$2</formula>
    </cfRule>
  </conditionalFormatting>
  <conditionalFormatting sqref="E12">
    <cfRule type="expression" dxfId="129" priority="111">
      <formula>$E12&gt;TL</formula>
    </cfRule>
  </conditionalFormatting>
  <conditionalFormatting sqref="E89:E126">
    <cfRule type="cellIs" dxfId="128" priority="64" operator="greaterThan">
      <formula>$E$2</formula>
    </cfRule>
  </conditionalFormatting>
  <conditionalFormatting sqref="E123:E126">
    <cfRule type="cellIs" dxfId="127" priority="71" operator="greaterThan">
      <formula>"TL"</formula>
    </cfRule>
  </conditionalFormatting>
  <conditionalFormatting sqref="H6">
    <cfRule type="expression" dxfId="126" priority="78">
      <formula>$H$6&lt;0</formula>
    </cfRule>
  </conditionalFormatting>
  <conditionalFormatting sqref="K6">
    <cfRule type="expression" dxfId="125" priority="77">
      <formula>$K$6&lt;0</formula>
    </cfRule>
  </conditionalFormatting>
  <conditionalFormatting sqref="T76">
    <cfRule type="expression" dxfId="124" priority="1143">
      <formula>$C75&gt;0</formula>
    </cfRule>
  </conditionalFormatting>
  <conditionalFormatting sqref="T78">
    <cfRule type="expression" dxfId="123" priority="1151">
      <formula>$C76&gt;0</formula>
    </cfRule>
  </conditionalFormatting>
  <conditionalFormatting sqref="T80">
    <cfRule type="expression" dxfId="122" priority="1159">
      <formula>$C77&gt;0</formula>
    </cfRule>
  </conditionalFormatting>
  <conditionalFormatting sqref="T82">
    <cfRule type="expression" dxfId="121" priority="1167">
      <formula>$C78&gt;0</formula>
    </cfRule>
  </conditionalFormatting>
  <dataValidations count="36">
    <dataValidation type="whole" operator="greaterThanOrEqual" allowBlank="1" showInputMessage="1" showErrorMessage="1" prompt="Capacity: 1 person" sqref="C10:C12" xr:uid="{F4FEDCC2-1439-4727-A4FC-9C8E713D346A}">
      <formula1>0</formula1>
    </dataValidation>
    <dataValidation type="whole" operator="greaterThanOrEqual" allowBlank="1" showInputMessage="1" showErrorMessage="1" prompt="Capacity: 2 people" sqref="C13" xr:uid="{61410E28-B951-4034-ACED-02FDF551B1F8}">
      <formula1>0</formula1>
    </dataValidation>
    <dataValidation type="whole" operator="greaterThanOrEqual" allowBlank="1" showInputMessage="1" showErrorMessage="1" sqref="C20 C24 C18 C75:C85 C91:C94 C97 C101:D105 D123:D126 C55:D55 C72:C73 D57:D63 D37:D40 C61:C63 C41:D45 C51:C54 D47:D54 C66:C67 C68:D70 C29:C30 C32 D31" xr:uid="{E96C749C-FB07-46D6-90A1-D82ABE43B813}">
      <formula1>0</formula1>
    </dataValidation>
    <dataValidation type="whole" operator="greaterThanOrEqual" allowBlank="1" showInputMessage="1" showErrorMessage="1" prompt="Size of each Biosphere area." sqref="D19" xr:uid="{76493EFD-1FE2-4CAF-B03F-73439EA72A46}">
      <formula1>0</formula1>
    </dataValidation>
    <dataValidation type="whole" operator="greaterThanOrEqual" allowBlank="1" showInputMessage="1" showErrorMessage="1" prompt="Input the maximum size of ship that the Construction Deck is capable of building" sqref="D21" xr:uid="{EE2FE8DB-0681-41E2-89B1-ED80312AAFF7}">
      <formula1>0</formula1>
    </dataValidation>
    <dataValidation type="whole" operator="greaterThanOrEqual" allowBlank="1" showInputMessage="1" showErrorMessage="1" prompt="Quantity is the number of people the Gaming Space(s) can accomodate." sqref="C22" xr:uid="{8872A438-9A49-4F58-84AE-D8696988CBFE}">
      <formula1>0</formula1>
    </dataValidation>
    <dataValidation type="whole" operator="greaterThanOrEqual" allowBlank="1" showInputMessage="1" showErrorMessage="1" prompt="Each 4 ton lab section allows one scientist to conduct research" sqref="C23" xr:uid="{B9D7FB7D-6E7B-4671-AE93-C327D8EA404F}">
      <formula1>0</formula1>
    </dataValidation>
    <dataValidation type="whole" operator="greaterThanOrEqual" allowBlank="1" showInputMessage="1" showErrorMessage="1" prompt="Each unit of Medical Bay treats five patients and requires one medic or autodoc." sqref="C25" xr:uid="{DA2BB0DC-C655-4B3F-8617-811707F7C71A}">
      <formula1>0</formula1>
    </dataValidation>
    <dataValidation type="whole" operator="greaterThanOrEqual" allowBlank="1" showInputMessage="1" showErrorMessage="1" prompt="Each Studio provides work/office space for one Professional or Artist to conduct their business or craft on board ship." sqref="C26" xr:uid="{6C2AE645-988C-4BCB-97AC-3860A0D4721F}">
      <formula1>0</formula1>
    </dataValidation>
    <dataValidation type="whole" operator="greaterThanOrEqual" allowBlank="1" showInputMessage="1" showErrorMessage="1" prompt="Number of separate Biospheres" sqref="C19" xr:uid="{22B97F5C-307E-456F-AECE-B4A310324D3F}">
      <formula1>0</formula1>
    </dataValidation>
    <dataValidation type="whole" operator="greaterThanOrEqual" allowBlank="1" showInputMessage="1" showErrorMessage="1" prompt="Number of Separate Construction Decks" sqref="C21" xr:uid="{0882BBFE-DD1F-4306-98E3-DB1B01949BDA}">
      <formula1>0</formula1>
    </dataValidation>
    <dataValidation type="whole" operator="greaterThanOrEqual" allowBlank="1" showInputMessage="1" showErrorMessage="1" prompt="Quantity is the number of people desired to train together, simultaneously." sqref="C27" xr:uid="{4C8136B8-E9F2-4812-A5DD-8B1615D6084A}">
      <formula1>0</formula1>
    </dataValidation>
    <dataValidation type="whole" operator="greaterThanOrEqual" allowBlank="1" showInputMessage="1" showErrorMessage="1" prompt="A vault takes up 12 tons of space, but contains 6 tons of cargo, staterooms or other internal components." sqref="C28" xr:uid="{012FD6DC-CF22-41FE-B3E7-4EB7C13D4BF8}">
      <formula1>0</formula1>
    </dataValidation>
    <dataValidation type="decimal" operator="greaterThanOrEqual" allowBlank="1" showInputMessage="1" showErrorMessage="1" sqref="C108:C109 C123:C126" xr:uid="{CB946AC6-3334-4B7F-9C6B-A44614E9C20E}">
      <formula1>0</formula1>
    </dataValidation>
    <dataValidation type="list" allowBlank="1" showInputMessage="1" showErrorMessage="1" sqref="B82:B84" xr:uid="{BAA08CEC-2009-492A-9EAA-85CE3BEEFD65}">
      <formula1>"None,Basic,Standard,Advanced"</formula1>
    </dataValidation>
    <dataValidation type="whole" operator="greaterThanOrEqual" allowBlank="1" showInputMessage="1" showErrorMessage="1" prompt="Size of each Scientific Operations Suite._x000a_Minimum size: 48 tons._x000a_Add one Scientist for eac additional 3 tons." sqref="D85" xr:uid="{E2AD2AFE-81D4-41B6-B343-5CB0405AF219}">
      <formula1>0</formula1>
    </dataValidation>
    <dataValidation type="whole" operator="greaterThanOrEqual" allowBlank="1" showInputMessage="1" showErrorMessage="1" prompt="Requires five levels of Science Skill from any combination of people up to a maximum of four._x000a_Must add this crew manually on 10-Crew Tab." sqref="C74" xr:uid="{6936804E-AB25-4B92-A4FE-C5776ED05BC9}">
      <formula1>0</formula1>
    </dataValidation>
    <dataValidation type="list" allowBlank="1" showInputMessage="1" showErrorMessage="1" sqref="C37:C39 C57:C59" xr:uid="{30441643-6BFA-4EF1-A967-30063190B32C}">
      <formula1>"0,1,2,5,10,20,50,100"</formula1>
    </dataValidation>
    <dataValidation type="list" allowBlank="1" showInputMessage="1" showErrorMessage="1" sqref="B37:B39 B41:B43" xr:uid="{55CEA308-2BF4-4925-8537-742CC6895182}">
      <formula1>"None Installed,Basic,Improved,Enhanced,Advanced,Superior"</formula1>
    </dataValidation>
    <dataValidation type="list" allowBlank="1" showInputMessage="1" showErrorMessage="1" sqref="B44:B45 B54:B55" xr:uid="{11A58003-C68E-4DF4-BD0F-4878B61C6478}">
      <formula1>"None,Basic,Improved,Enhanced,Advanced,Superior"</formula1>
    </dataValidation>
    <dataValidation type="list" allowBlank="1" showInputMessage="1" showErrorMessage="1" sqref="B47:B49 B51:B53" xr:uid="{134CA8C0-D33C-45D8-8BFC-E030AC2EFB0B}">
      <formula1>"None Installed,Enhanced"</formula1>
    </dataValidation>
    <dataValidation type="list" allowBlank="1" showInputMessage="1" showErrorMessage="1" sqref="C47:C49" xr:uid="{93505B5E-E6C5-4E0A-8E87-575163E9F673}">
      <formula1>"0,37.5,75,150"</formula1>
    </dataValidation>
    <dataValidation type="list" allowBlank="1" showInputMessage="1" showErrorMessage="1" sqref="B57:B59 B61:B63" xr:uid="{F3754144-B78E-4A20-B1F9-4B55FBBAA41B}">
      <formula1>"None Installed,Advanced,Superior"</formula1>
    </dataValidation>
    <dataValidation type="whole" allowBlank="1" showInputMessage="1" showErrorMessage="1" prompt="Maximum of one scoop" sqref="C71" xr:uid="{BCBEE487-CE54-4388-B99A-108EA7FB81B3}">
      <formula1>0</formula1>
      <formula2>1</formula2>
    </dataValidation>
    <dataValidation type="list" allowBlank="1" showInputMessage="1" showErrorMessage="1" sqref="B71" xr:uid="{A7B204DB-3EE9-4723-9353-B79EE35CF984}">
      <formula1>$T$71:$T$72</formula1>
    </dataValidation>
    <dataValidation type="whole" operator="greaterThanOrEqual" allowBlank="1" showInputMessage="1" showErrorMessage="1" prompt="Additional Tonnage PER BAY_x000a_Increases Access and Support_x000a_Vehicle Bays need multiples of 2 tons" sqref="D79:D81" xr:uid="{6479ACE4-DCC7-485B-87F0-9C2A4694756D}">
      <formula1>0</formula1>
    </dataValidation>
    <dataValidation type="list" allowBlank="1" showInputMessage="1" showErrorMessage="1" sqref="A77:B77" xr:uid="{8415CDDE-09C8-47B9-9D83-2DEF1E086EA7}">
      <formula1>$T$74:$T$75</formula1>
    </dataValidation>
    <dataValidation type="list" allowBlank="1" showInputMessage="1" showErrorMessage="1" sqref="A78:B78" xr:uid="{9954DDFA-7A90-4DD7-A7D6-4FF75305B34E}">
      <formula1>$T$76:$T$77</formula1>
    </dataValidation>
    <dataValidation type="list" allowBlank="1" showInputMessage="1" showErrorMessage="1" sqref="A79:B79" xr:uid="{A59B2D51-6A79-4DD7-AFCE-279FCE65AF54}">
      <formula1>$T$78:$T$79</formula1>
    </dataValidation>
    <dataValidation type="list" allowBlank="1" showInputMessage="1" showErrorMessage="1" sqref="A80:B80" xr:uid="{F35ACE0F-D335-4E2B-B849-FFF9C78BF9F3}">
      <formula1>$T$80:$T$81</formula1>
    </dataValidation>
    <dataValidation type="list" allowBlank="1" showInputMessage="1" showErrorMessage="1" sqref="A81:B81" xr:uid="{E5B63FA3-D6AE-4C3F-8FEF-2E4E31DA5E87}">
      <formula1>$T$82:$T$83</formula1>
    </dataValidation>
    <dataValidation type="whole" operator="greaterThanOrEqual" allowBlank="1" showInputMessage="1" showErrorMessage="1" prompt="Additional Tonnage PER BAY_x000a_Increases Access and Support_x000a_" sqref="D77:D78" xr:uid="{0E9FE2B6-319A-4D18-8AD2-3C92F277D43F}">
      <formula1>0</formula1>
    </dataValidation>
    <dataValidation type="list" operator="greaterThanOrEqual" allowBlank="1" showInputMessage="1" showErrorMessage="1" prompt="Heat management system. Additional capacity provides more heat removal." sqref="C31" xr:uid="{923F004F-7F70-4686-89DA-735FA95DBDCA}">
      <formula1>$S$3:$S$4</formula1>
    </dataValidation>
    <dataValidation type="list" allowBlank="1" showInputMessage="1" showErrorMessage="1" sqref="B31" xr:uid="{37AD5544-2A78-464E-9D6B-DE5AED2F309E}">
      <formula1>$S$31:$S$32</formula1>
    </dataValidation>
    <dataValidation type="list" allowBlank="1" showInputMessage="1" showErrorMessage="1" sqref="B32" xr:uid="{5AC7B138-1EB0-4AC3-A181-03C26495593D}">
      <formula1>$S$33:$S$34</formula1>
    </dataValidation>
    <dataValidation allowBlank="1" showInputMessage="1" showErrorMessage="1" prompt="Short description._x000a_Best if only one or two types_x000a_More should instead use Description in Ship Info Tab" sqref="A23 A26 A27" xr:uid="{DC05DC61-DD4A-4C10-A24A-B61CD8059054}"/>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2" id="{04EE2B78-10A0-4F27-A348-4682838113F5}">
            <xm:f>'Ship Info'!$F$6</xm:f>
            <x14:dxf>
              <fill>
                <patternFill>
                  <bgColor theme="7" tint="0.79998168889431442"/>
                </patternFill>
              </fill>
            </x14:dxf>
          </x14:cfRule>
          <xm:sqref>A92 A97 A100 A108 A115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C439E-99D5-4F8B-9500-D52C6DC41129}">
  <dimension ref="A1:X41"/>
  <sheetViews>
    <sheetView workbookViewId="0">
      <selection activeCell="N10" sqref="N10"/>
    </sheetView>
  </sheetViews>
  <sheetFormatPr baseColWidth="10" defaultColWidth="8.83203125" defaultRowHeight="15"/>
  <cols>
    <col min="1" max="1" width="24.1640625" customWidth="1"/>
    <col min="2" max="2" width="32.1640625" customWidth="1"/>
    <col min="3" max="4" width="13.33203125" customWidth="1"/>
    <col min="5" max="6" width="8.1640625" customWidth="1"/>
    <col min="7" max="7" width="18.33203125" customWidth="1"/>
    <col min="9" max="9" width="11.33203125" customWidth="1"/>
    <col min="10" max="13" width="10.83203125" customWidth="1"/>
    <col min="15" max="16" width="11.33203125" customWidth="1"/>
    <col min="18" max="18" width="10.6640625" customWidth="1"/>
    <col min="21" max="21" width="9.1640625" customWidth="1"/>
    <col min="22" max="24" width="9.1640625" hidden="1" customWidth="1"/>
    <col min="25" max="26" width="9.1640625" customWidth="1"/>
  </cols>
  <sheetData>
    <row r="1" spans="1:24">
      <c r="A1" s="3" t="str">
        <f>'Ship Info'!A1</f>
        <v>Ship's Class Name</v>
      </c>
      <c r="B1" t="str">
        <f>'Ship Info'!B1</f>
        <v>Zhodani Long Range Scout</v>
      </c>
      <c r="G1" s="1" t="s">
        <v>1</v>
      </c>
      <c r="V1" t="s">
        <v>1381</v>
      </c>
    </row>
    <row r="2" spans="1:24">
      <c r="A2" s="3" t="s">
        <v>432</v>
      </c>
      <c r="B2" t="str">
        <f>'Ship Info'!B2</f>
        <v>Scout</v>
      </c>
      <c r="D2" s="3" t="s">
        <v>0</v>
      </c>
      <c r="E2" s="2">
        <f>'Ship Info'!F2</f>
        <v>14</v>
      </c>
      <c r="F2" s="2"/>
      <c r="G2" s="10">
        <f>'Ship Info'!G2</f>
        <v>621511800.00000012</v>
      </c>
      <c r="V2" s="77" t="b">
        <f>IF(B7=V5,TRUE,FALSE)</f>
        <v>1</v>
      </c>
    </row>
    <row r="3" spans="1:24">
      <c r="B3" s="309" t="str">
        <f>'Ship Info'!G22&amp;": Crew x "&amp;'Ship Info'!H31</f>
        <v>High Automation: Crew x 0.6</v>
      </c>
      <c r="G3" s="10"/>
    </row>
    <row r="4" spans="1:24" ht="16" thickBot="1">
      <c r="B4" s="3" t="s">
        <v>1216</v>
      </c>
      <c r="E4" s="1" t="s">
        <v>525</v>
      </c>
      <c r="F4" s="1"/>
      <c r="G4" s="1"/>
      <c r="I4" s="787" t="s">
        <v>46</v>
      </c>
      <c r="J4" s="787"/>
      <c r="K4" s="6"/>
      <c r="L4" s="6"/>
      <c r="M4" s="6"/>
      <c r="O4" s="787" t="s">
        <v>47</v>
      </c>
      <c r="P4" s="787"/>
      <c r="V4" t="s">
        <v>99</v>
      </c>
    </row>
    <row r="5" spans="1:24" ht="16" thickBot="1">
      <c r="B5" s="197" t="s">
        <v>508</v>
      </c>
      <c r="E5" s="270">
        <f>SUM(F10:F19,F21:F28)</f>
        <v>13</v>
      </c>
      <c r="F5" s="2"/>
      <c r="I5" s="1" t="s">
        <v>403</v>
      </c>
      <c r="J5" s="1" t="s">
        <v>27</v>
      </c>
      <c r="K5" s="1"/>
      <c r="L5" s="1"/>
      <c r="M5" s="1"/>
      <c r="O5" s="1" t="s">
        <v>403</v>
      </c>
      <c r="P5" s="1" t="s">
        <v>27</v>
      </c>
      <c r="V5" t="s">
        <v>100</v>
      </c>
    </row>
    <row r="6" spans="1:24" ht="16" thickBot="1">
      <c r="E6" s="1" t="s">
        <v>526</v>
      </c>
      <c r="F6" s="1"/>
      <c r="H6" s="2"/>
      <c r="I6" s="10">
        <f>'Ship Info'!I3</f>
        <v>2.6000000000000227</v>
      </c>
      <c r="J6" s="270">
        <f>'Ship Info'!J3</f>
        <v>300</v>
      </c>
      <c r="K6" s="270"/>
      <c r="L6" s="270"/>
      <c r="M6" s="270"/>
      <c r="N6" s="2"/>
      <c r="O6" s="270">
        <f>'Ship Info'!L3</f>
        <v>7</v>
      </c>
      <c r="P6" s="270">
        <f>'Ship Info'!M3</f>
        <v>250</v>
      </c>
    </row>
    <row r="7" spans="1:24" ht="16" thickBot="1">
      <c r="A7" s="7" t="s">
        <v>1422</v>
      </c>
      <c r="B7" s="197" t="s">
        <v>100</v>
      </c>
      <c r="E7" s="270">
        <f>F20</f>
        <v>0</v>
      </c>
      <c r="F7" s="2"/>
      <c r="K7" s="1" t="s">
        <v>2157</v>
      </c>
      <c r="V7" t="s">
        <v>1645</v>
      </c>
      <c r="X7">
        <f>IF(B5="Military",ROUNDUP(W33*'Ship Info'!H31*SUM('8a-Weapons'!AH15,'8a-Weapons'!D37,'8b-Screens'!E9:E39,'8b-Screens'!E9:E39,'8a-Weapons'!V75),0),ROUNDUP(W33*'Ship Info'!H31*SUM('8a-Weapons'!AG15,'8a-Weapons'!D37,'8b-Screens'!E9:E39,'8a-Weapons'!V75),0))</f>
        <v>2</v>
      </c>
    </row>
    <row r="8" spans="1:24" ht="15" customHeight="1">
      <c r="C8" s="800" t="s">
        <v>1563</v>
      </c>
      <c r="D8" s="800"/>
      <c r="K8" s="1" t="s">
        <v>2155</v>
      </c>
      <c r="N8" s="1" t="s">
        <v>1513</v>
      </c>
      <c r="P8" s="886" t="s">
        <v>1705</v>
      </c>
      <c r="Q8" s="887"/>
      <c r="R8" s="888"/>
      <c r="W8">
        <f>'6-Comp'!Y19</f>
        <v>2</v>
      </c>
      <c r="X8" s="106">
        <f>IF(X7&lt;W8,X7,W8)*-1</f>
        <v>-2</v>
      </c>
    </row>
    <row r="9" spans="1:24" ht="16" thickBot="1">
      <c r="B9" s="1" t="s">
        <v>510</v>
      </c>
      <c r="C9" s="1" t="s">
        <v>508</v>
      </c>
      <c r="D9" s="1" t="s">
        <v>509</v>
      </c>
      <c r="E9" s="1" t="s">
        <v>1215</v>
      </c>
      <c r="F9" s="24" t="s">
        <v>1217</v>
      </c>
      <c r="G9" s="1" t="s">
        <v>523</v>
      </c>
      <c r="K9" s="1" t="s">
        <v>2156</v>
      </c>
      <c r="N9" s="1" t="s">
        <v>1564</v>
      </c>
      <c r="P9" s="889"/>
      <c r="Q9" s="890"/>
      <c r="R9" s="891"/>
      <c r="V9" s="1" t="s">
        <v>508</v>
      </c>
      <c r="W9" s="1" t="s">
        <v>1215</v>
      </c>
      <c r="X9" s="1" t="s">
        <v>509</v>
      </c>
    </row>
    <row r="10" spans="1:24" ht="16" thickBot="1">
      <c r="A10" s="22" t="s">
        <v>563</v>
      </c>
      <c r="B10" s="27"/>
      <c r="C10" s="324">
        <v>0</v>
      </c>
      <c r="D10" s="324">
        <f>IF('1-Hull'!B4&lt;100,0,1)</f>
        <v>1</v>
      </c>
      <c r="E10" s="340">
        <v>0</v>
      </c>
      <c r="F10" s="354">
        <f>HLOOKUP(B5,V9:X28,2)</f>
        <v>0</v>
      </c>
      <c r="G10" s="23">
        <f>F10*10000+IF(N10=0,0,(N10-1)*F10*10000/2)</f>
        <v>0</v>
      </c>
      <c r="H10" s="22"/>
      <c r="I10" s="22"/>
      <c r="J10" s="22"/>
      <c r="K10" s="22"/>
      <c r="L10" s="22"/>
      <c r="M10" s="22"/>
      <c r="N10" s="206">
        <v>1</v>
      </c>
      <c r="P10" s="78"/>
      <c r="R10" s="891" t="s">
        <v>1707</v>
      </c>
      <c r="V10">
        <f t="shared" ref="V10:V26" si="0">C10</f>
        <v>0</v>
      </c>
      <c r="W10">
        <f t="shared" ref="W10:W26" si="1">E10</f>
        <v>0</v>
      </c>
      <c r="X10">
        <f t="shared" ref="X10:X26" si="2">D10</f>
        <v>1</v>
      </c>
    </row>
    <row r="11" spans="1:24" ht="16" thickBot="1">
      <c r="A11" t="s">
        <v>564</v>
      </c>
      <c r="B11" s="2" t="s">
        <v>503</v>
      </c>
      <c r="C11" s="270">
        <f>IF('Ship Info'!F7,0,1)+H11</f>
        <v>4</v>
      </c>
      <c r="D11" s="270">
        <f>IF('Ship Info'!F7,0,IF('1-Hull'!B4&lt;100,1,3))+H11</f>
        <v>6</v>
      </c>
      <c r="E11" s="235">
        <v>0</v>
      </c>
      <c r="F11" s="355">
        <f>HLOOKUP(B5,V9:X26,3)+K11</f>
        <v>4</v>
      </c>
      <c r="G11" s="4">
        <f>F11*6000+IF(N11=0,0,(N11-1)*F11*6000/2)</f>
        <v>24000</v>
      </c>
      <c r="H11" s="289">
        <v>3</v>
      </c>
      <c r="I11" t="s">
        <v>1516</v>
      </c>
      <c r="K11" s="235">
        <v>0</v>
      </c>
      <c r="L11" t="s">
        <v>2145</v>
      </c>
      <c r="N11" s="197">
        <v>1</v>
      </c>
      <c r="P11" s="472" t="s">
        <v>1706</v>
      </c>
      <c r="R11" s="892"/>
      <c r="V11">
        <f t="shared" si="0"/>
        <v>4</v>
      </c>
      <c r="W11">
        <f t="shared" si="1"/>
        <v>0</v>
      </c>
      <c r="X11">
        <f t="shared" si="2"/>
        <v>6</v>
      </c>
    </row>
    <row r="12" spans="1:24" ht="16" thickBot="1">
      <c r="A12" s="22" t="s">
        <v>565</v>
      </c>
      <c r="B12" s="27" t="s">
        <v>511</v>
      </c>
      <c r="C12" s="324">
        <f>IF('2-Drives'!H25&gt;0,1,0)</f>
        <v>1</v>
      </c>
      <c r="D12" s="324">
        <f>IF('2-Drives'!H25&gt;0,1,0)</f>
        <v>1</v>
      </c>
      <c r="E12" s="340">
        <v>0</v>
      </c>
      <c r="F12" s="354">
        <f>HLOOKUP(B5,V9:X26,4)+K12</f>
        <v>1</v>
      </c>
      <c r="G12" s="23">
        <f>F12*5000+IF(N12=0,0,(N12-1)*F12*5000/2)</f>
        <v>5000</v>
      </c>
      <c r="H12" s="22"/>
      <c r="I12" s="22"/>
      <c r="J12" s="22"/>
      <c r="K12" s="340">
        <v>0</v>
      </c>
      <c r="L12" s="22" t="s">
        <v>2147</v>
      </c>
      <c r="M12" s="22"/>
      <c r="N12" s="206">
        <v>1</v>
      </c>
      <c r="O12" s="22"/>
      <c r="P12" s="80"/>
      <c r="Q12" s="22"/>
      <c r="R12" s="137"/>
      <c r="V12">
        <f t="shared" si="0"/>
        <v>1</v>
      </c>
      <c r="W12">
        <f t="shared" si="1"/>
        <v>0</v>
      </c>
      <c r="X12">
        <f t="shared" si="2"/>
        <v>1</v>
      </c>
    </row>
    <row r="13" spans="1:24" ht="16" thickBot="1">
      <c r="A13" t="s">
        <v>566</v>
      </c>
      <c r="B13" s="2" t="s">
        <v>504</v>
      </c>
      <c r="C13" s="270">
        <f>IF('1-Hull'!B4&lt;100,0,ROUNDUP(R13*'Ship Info'!H31*SUM(H13,'3-Pwr Plant'!H11,'3-Pwr Plant'!H12,'2-Drives'!H11,'2-Drives'!H15,'2-Drives'!H25,'2-Drives'!H28,'2-Drives'!H33,'2-Drives'!H40)/35,0))</f>
        <v>1</v>
      </c>
      <c r="D13" s="270">
        <f>IF('1-Hull'!B4&lt;100,0,ROUNDUP(R13*'Ship Info'!H31*SUM(H13,'3-Pwr Plant'!H11,'3-Pwr Plant'!H12,'2-Drives'!H11,'2-Drives'!H15,'2-Drives'!H25,'2-Drives'!H28,'2-Drives'!H33,'2-Drives'!H40)/35,0))</f>
        <v>1</v>
      </c>
      <c r="E13" s="235">
        <v>0</v>
      </c>
      <c r="F13" s="355">
        <f>HLOOKUP(B5,V9:X26,5)+K13</f>
        <v>1</v>
      </c>
      <c r="G13" s="4">
        <f>F13*4000+IF(N13=0,0,(N13-1)*F13*4000/2)</f>
        <v>4000</v>
      </c>
      <c r="H13" s="289">
        <v>6</v>
      </c>
      <c r="I13" t="s">
        <v>1517</v>
      </c>
      <c r="K13" s="235">
        <v>0</v>
      </c>
      <c r="L13" t="s">
        <v>2146</v>
      </c>
      <c r="N13" s="197">
        <v>1</v>
      </c>
      <c r="P13" s="197" t="s">
        <v>99</v>
      </c>
      <c r="Q13" s="473"/>
      <c r="R13" s="88">
        <f>IF(P13=$V$5,1,$W$33)</f>
        <v>1</v>
      </c>
      <c r="V13">
        <f t="shared" si="0"/>
        <v>1</v>
      </c>
      <c r="W13">
        <f t="shared" si="1"/>
        <v>0</v>
      </c>
      <c r="X13">
        <f t="shared" si="2"/>
        <v>1</v>
      </c>
    </row>
    <row r="14" spans="1:24" ht="16" thickBot="1">
      <c r="A14" s="22" t="s">
        <v>567</v>
      </c>
      <c r="B14" s="27" t="s">
        <v>512</v>
      </c>
      <c r="C14" s="324">
        <f>IF('1-Hull'!B4&lt;100,0,ROUNDUP(R14*'Ship Info'!H31*SUM('9a-Optional'!T39,'9a-Optional'!T41,J6)/1000,0))</f>
        <v>1</v>
      </c>
      <c r="D14" s="324">
        <f>IF('1-Hull'!B4&lt;100,0,ROUNDUP(R14*'Ship Info'!H31*SUM('9a-Optional'!T39,'9a-Optional'!T41,J6)/500,0))</f>
        <v>1</v>
      </c>
      <c r="E14" s="340">
        <v>0</v>
      </c>
      <c r="F14" s="354">
        <f>HLOOKUP(B5,V9:X26,6)+K14</f>
        <v>1</v>
      </c>
      <c r="G14" s="23">
        <f>F14*1000+IF(N14=0,0,(N14-1)*F14*1000/2)</f>
        <v>1000</v>
      </c>
      <c r="H14" s="22"/>
      <c r="I14" s="22"/>
      <c r="J14" s="22"/>
      <c r="K14" s="340">
        <v>0</v>
      </c>
      <c r="L14" s="22" t="s">
        <v>2148</v>
      </c>
      <c r="M14" s="22"/>
      <c r="N14" s="206">
        <v>1</v>
      </c>
      <c r="O14" s="22"/>
      <c r="P14" s="206" t="s">
        <v>99</v>
      </c>
      <c r="Q14" s="22"/>
      <c r="R14" s="474">
        <f>IF(P14=$V$5,1,$W$33)</f>
        <v>1</v>
      </c>
      <c r="V14">
        <f t="shared" si="0"/>
        <v>1</v>
      </c>
      <c r="W14">
        <f t="shared" si="1"/>
        <v>0</v>
      </c>
      <c r="X14">
        <f t="shared" si="2"/>
        <v>1</v>
      </c>
    </row>
    <row r="15" spans="1:24" ht="16" thickBot="1">
      <c r="A15" t="s">
        <v>568</v>
      </c>
      <c r="B15" s="2" t="s">
        <v>505</v>
      </c>
      <c r="C15" s="270">
        <f>IF('1-Hull'!B4&lt;100,0,ROUNDUP(SUM('9b-Optional'!C91:C94,C10:C14,C16:C28,C37:C40)/120,0))</f>
        <v>1</v>
      </c>
      <c r="D15" s="270">
        <f>IF('1-Hull'!B4&lt;100,0,ROUNDUP(SUM('9b-Optional'!C91:C94,D10:D14,D16:D28,C37:C40)/120,0))</f>
        <v>1</v>
      </c>
      <c r="E15" s="235">
        <v>0</v>
      </c>
      <c r="F15" s="355">
        <f>HLOOKUP(B5,V9:X26,7)+K15</f>
        <v>1</v>
      </c>
      <c r="G15" s="4">
        <f>F15*4000+IF(N15=0,0,(N15-1)*F15*4000/2)</f>
        <v>4000</v>
      </c>
      <c r="K15" s="235">
        <v>0</v>
      </c>
      <c r="L15" t="s">
        <v>2149</v>
      </c>
      <c r="N15" s="197">
        <v>1</v>
      </c>
      <c r="P15" s="78"/>
      <c r="R15" s="88"/>
      <c r="V15">
        <f t="shared" si="0"/>
        <v>1</v>
      </c>
      <c r="W15">
        <f t="shared" si="1"/>
        <v>0</v>
      </c>
      <c r="X15">
        <f t="shared" si="2"/>
        <v>1</v>
      </c>
    </row>
    <row r="16" spans="1:24" ht="16" thickBot="1">
      <c r="A16" s="22" t="s">
        <v>569</v>
      </c>
      <c r="B16" s="27" t="s">
        <v>506</v>
      </c>
      <c r="C16" s="324">
        <f>IF(OR(AND('Ship Info'!F7,'Ship Info'!C5&gt;=100),'1-Hull'!B4&gt;99.9999),ROUNDUP(R16*'Ship Info'!H31*SUM('8a-Weapons'!AG15,'8a-Weapons'!D37,'8b-Screens'!E9:E39,'8a-Weapons'!V75,X8),0),IF('1-Hull'!B4&lt;100,0,SUM('8a-Weapons'!AG15,'8a-Weapons'!D37,'8b-Screens'!E9:E39)*'Ship Info'!H31))</f>
        <v>1</v>
      </c>
      <c r="D16" s="324">
        <f>IF('1-Hull'!B4&lt;100,0,ROUNDUP(R16*'Ship Info'!H31*SUM('8a-Weapons'!AH15,'8a-Weapons'!D37,'8a-Weapons'!V75,'8b-Screens'!E9:E39,'8b-Screens'!E9:E39,X8),0))</f>
        <v>3</v>
      </c>
      <c r="E16" s="340">
        <v>0</v>
      </c>
      <c r="F16" s="354">
        <f>HLOOKUP(B5,V9:X26,8)+K16</f>
        <v>1</v>
      </c>
      <c r="G16" s="23">
        <f>F16*2000+IF(N16=0,0,(N16-1)*F16*2000/2)</f>
        <v>2000</v>
      </c>
      <c r="H16" s="22"/>
      <c r="I16" s="22"/>
      <c r="J16" s="22"/>
      <c r="K16" s="340">
        <v>0</v>
      </c>
      <c r="L16" s="22" t="s">
        <v>2150</v>
      </c>
      <c r="M16" s="22"/>
      <c r="N16" s="206">
        <v>1</v>
      </c>
      <c r="O16" s="22"/>
      <c r="P16" s="206" t="s">
        <v>99</v>
      </c>
      <c r="Q16" s="22"/>
      <c r="R16" s="474">
        <f t="shared" ref="R16:R17" si="3">IF(P16=$V$5,1,$W$33)</f>
        <v>1</v>
      </c>
      <c r="V16">
        <f t="shared" si="0"/>
        <v>1</v>
      </c>
      <c r="W16">
        <f t="shared" si="1"/>
        <v>0</v>
      </c>
      <c r="X16">
        <f t="shared" si="2"/>
        <v>3</v>
      </c>
    </row>
    <row r="17" spans="1:24" ht="16" thickBot="1">
      <c r="A17" t="s">
        <v>1375</v>
      </c>
      <c r="B17" s="2" t="s">
        <v>1376</v>
      </c>
      <c r="C17" s="350">
        <f>IF(SUM('7-Sensors'!C8,'7-Sensors'!C11:C12,'7-Sensors'!B16:B31)=0,0,IF(V2,IF(Tonnage&lt;100,0,MAX(ROUNDUP('7-Sensors'!C12+R17*'Ship Info'!H31*ROUNDUP(Tonnage/7500,0),0),'7-Sensors'!C12+1+'5-Bridge'!C13+'5-Bridge'!C17)),0))</f>
        <v>2</v>
      </c>
      <c r="D17" s="356">
        <f>3*C17</f>
        <v>6</v>
      </c>
      <c r="E17" s="353">
        <v>0</v>
      </c>
      <c r="F17" s="355">
        <f>HLOOKUP(B5,V9:X26,9)+K17</f>
        <v>2</v>
      </c>
      <c r="G17" s="248">
        <f>F17*4000+IF(N17=0,0,(N17-1)*F17*4000/2)</f>
        <v>8000</v>
      </c>
      <c r="K17" s="235">
        <v>0</v>
      </c>
      <c r="L17" t="s">
        <v>2151</v>
      </c>
      <c r="N17" s="197">
        <v>1</v>
      </c>
      <c r="P17" s="197" t="s">
        <v>99</v>
      </c>
      <c r="R17" s="88">
        <f t="shared" si="3"/>
        <v>1</v>
      </c>
      <c r="V17">
        <f t="shared" si="0"/>
        <v>2</v>
      </c>
      <c r="W17">
        <f t="shared" si="1"/>
        <v>0</v>
      </c>
      <c r="X17">
        <f t="shared" si="2"/>
        <v>6</v>
      </c>
    </row>
    <row r="18" spans="1:24" ht="16" thickBot="1">
      <c r="A18" s="22" t="s">
        <v>570</v>
      </c>
      <c r="B18" s="27" t="s">
        <v>507</v>
      </c>
      <c r="C18" s="324">
        <f>ROUNDUP('Ship Info'!H31*(C39/100+C40/10),0)+K18</f>
        <v>0</v>
      </c>
      <c r="D18" s="324">
        <f>ROUNDUP('Ship Info'!H31*(C39/100+C40/10),0)+K18</f>
        <v>0</v>
      </c>
      <c r="E18" s="340">
        <v>0</v>
      </c>
      <c r="F18" s="354">
        <f>HLOOKUP(B5,V9:X26,10)</f>
        <v>0</v>
      </c>
      <c r="G18" s="23">
        <f>F18*2000+IF(N18=0,0,(N18-1)*F18*2000/2)</f>
        <v>0</v>
      </c>
      <c r="H18" s="22"/>
      <c r="I18" s="22"/>
      <c r="J18" s="22"/>
      <c r="K18" s="340">
        <v>0</v>
      </c>
      <c r="L18" s="22" t="s">
        <v>1522</v>
      </c>
      <c r="M18" s="22"/>
      <c r="N18" s="206">
        <v>1</v>
      </c>
      <c r="O18" s="22"/>
      <c r="P18" s="80"/>
      <c r="Q18" s="22"/>
      <c r="R18" s="474"/>
      <c r="V18">
        <f t="shared" si="0"/>
        <v>0</v>
      </c>
      <c r="W18">
        <f t="shared" si="1"/>
        <v>0</v>
      </c>
      <c r="X18">
        <f t="shared" si="2"/>
        <v>0</v>
      </c>
    </row>
    <row r="19" spans="1:24" ht="16" thickBot="1">
      <c r="A19" s="249" t="s">
        <v>571</v>
      </c>
      <c r="B19" s="250" t="s">
        <v>513</v>
      </c>
      <c r="C19" s="351">
        <f>ROUNDUP(R19*'Ship Info'!H31*ROUNDDOWN(J6/2000,0),0)</f>
        <v>0</v>
      </c>
      <c r="D19" s="356">
        <f>ROUNDUP(R19*ROUNDDOWN(J6*'Ship Info'!H31/1000,0),0)</f>
        <v>0</v>
      </c>
      <c r="E19" s="488">
        <v>0</v>
      </c>
      <c r="F19" s="355">
        <f>HLOOKUP(B5,V9:X26,11)+K19</f>
        <v>0</v>
      </c>
      <c r="G19" s="248">
        <f>F19*1500+IF(N19=0,0,(N19-1)*F19*1500/2)</f>
        <v>0</v>
      </c>
      <c r="K19" s="235">
        <v>0</v>
      </c>
      <c r="L19" t="s">
        <v>2152</v>
      </c>
      <c r="N19" s="197">
        <v>1</v>
      </c>
      <c r="P19" s="475" t="s">
        <v>99</v>
      </c>
      <c r="R19" s="88">
        <f>IF(P19=$V$5,1,$W$33)</f>
        <v>1</v>
      </c>
      <c r="V19">
        <f t="shared" si="0"/>
        <v>0</v>
      </c>
      <c r="W19">
        <f t="shared" si="1"/>
        <v>0</v>
      </c>
      <c r="X19">
        <f t="shared" si="2"/>
        <v>0</v>
      </c>
    </row>
    <row r="20" spans="1:24" ht="17" thickTop="1" thickBot="1">
      <c r="A20" s="22" t="s">
        <v>572</v>
      </c>
      <c r="B20" s="22"/>
      <c r="C20" s="324">
        <f>E20</f>
        <v>0</v>
      </c>
      <c r="D20" s="324">
        <f>E20</f>
        <v>0</v>
      </c>
      <c r="E20" s="490">
        <v>0</v>
      </c>
      <c r="F20" s="354">
        <f>E20</f>
        <v>0</v>
      </c>
      <c r="G20" s="23">
        <f>F20*IF(H20=0,1500,H20)+IF(N20=0,0,(N20-1)*F20*IF(H20=0,1500,H20)/2)</f>
        <v>0</v>
      </c>
      <c r="H20" s="386">
        <v>0</v>
      </c>
      <c r="I20" s="22" t="s">
        <v>1518</v>
      </c>
      <c r="J20" s="22"/>
      <c r="K20" s="22"/>
      <c r="L20" s="22"/>
      <c r="M20" s="22"/>
      <c r="N20" s="206">
        <v>1</v>
      </c>
      <c r="P20" s="143" t="s">
        <v>2133</v>
      </c>
      <c r="Q20" s="45"/>
      <c r="R20" s="45"/>
      <c r="S20" s="47"/>
      <c r="V20">
        <f t="shared" si="0"/>
        <v>0</v>
      </c>
      <c r="W20">
        <f t="shared" si="1"/>
        <v>0</v>
      </c>
      <c r="X20">
        <f t="shared" si="2"/>
        <v>0</v>
      </c>
    </row>
    <row r="21" spans="1:24" ht="17" thickTop="1" thickBot="1">
      <c r="A21" s="145" t="s">
        <v>2128</v>
      </c>
      <c r="B21" s="210"/>
      <c r="C21" s="352">
        <f>E21</f>
        <v>0</v>
      </c>
      <c r="D21" s="486">
        <f>E21</f>
        <v>0</v>
      </c>
      <c r="E21" s="491">
        <v>0</v>
      </c>
      <c r="F21" s="355">
        <f>E21</f>
        <v>0</v>
      </c>
      <c r="G21" s="248">
        <f>F21*IF(H21=0,1000,H21)+IF(N21=0,0,(N21-1)*F21*IF(H21=0,1000,H21)/2)</f>
        <v>0</v>
      </c>
      <c r="H21" s="221">
        <v>0</v>
      </c>
      <c r="I21" t="s">
        <v>1518</v>
      </c>
      <c r="N21" s="197">
        <v>1</v>
      </c>
      <c r="P21" s="197" t="s">
        <v>99</v>
      </c>
      <c r="Q21" s="476" t="s">
        <v>2134</v>
      </c>
      <c r="S21" s="46"/>
      <c r="V21">
        <f t="shared" si="0"/>
        <v>0</v>
      </c>
      <c r="W21">
        <f t="shared" si="1"/>
        <v>0</v>
      </c>
      <c r="X21">
        <f t="shared" si="2"/>
        <v>0</v>
      </c>
    </row>
    <row r="22" spans="1:24" ht="17" thickTop="1" thickBot="1">
      <c r="A22" s="22" t="s">
        <v>2129</v>
      </c>
      <c r="B22" s="206"/>
      <c r="C22" s="471">
        <f t="shared" ref="C22:C25" si="4">E22</f>
        <v>0</v>
      </c>
      <c r="D22" s="487">
        <f t="shared" ref="D22:D25" si="5">E22</f>
        <v>0</v>
      </c>
      <c r="E22" s="490">
        <v>0</v>
      </c>
      <c r="F22" s="354">
        <f>E22</f>
        <v>0</v>
      </c>
      <c r="G22" s="23">
        <f t="shared" ref="G22:G25" si="6">F22*IF(H22=0,1000,H22)+IF(N22=0,0,(N22-1)*F22*IF(H22=0,1000,H22)/2)</f>
        <v>0</v>
      </c>
      <c r="H22" s="386">
        <v>0</v>
      </c>
      <c r="I22" s="22" t="s">
        <v>1518</v>
      </c>
      <c r="J22" s="22"/>
      <c r="K22" s="22"/>
      <c r="L22" s="22"/>
      <c r="M22" s="22"/>
      <c r="N22" s="206">
        <v>1</v>
      </c>
      <c r="O22" s="22"/>
      <c r="P22" s="206" t="s">
        <v>99</v>
      </c>
      <c r="Q22" s="476" t="s">
        <v>2135</v>
      </c>
      <c r="S22" s="46"/>
      <c r="V22">
        <f t="shared" ref="V22:V25" si="7">C22</f>
        <v>0</v>
      </c>
      <c r="W22">
        <f t="shared" ref="W22:W25" si="8">E22</f>
        <v>0</v>
      </c>
      <c r="X22">
        <f t="shared" ref="X22:X25" si="9">D22</f>
        <v>0</v>
      </c>
    </row>
    <row r="23" spans="1:24" ht="17" thickTop="1" thickBot="1">
      <c r="A23" s="145" t="s">
        <v>2130</v>
      </c>
      <c r="B23" s="210"/>
      <c r="C23" s="352">
        <f t="shared" si="4"/>
        <v>0</v>
      </c>
      <c r="D23" s="486">
        <f t="shared" si="5"/>
        <v>0</v>
      </c>
      <c r="E23" s="491">
        <v>0</v>
      </c>
      <c r="F23" s="355">
        <f t="shared" ref="F23:F25" si="10">E23</f>
        <v>0</v>
      </c>
      <c r="G23" s="248">
        <f t="shared" si="6"/>
        <v>0</v>
      </c>
      <c r="H23" s="221">
        <v>0</v>
      </c>
      <c r="I23" t="s">
        <v>1518</v>
      </c>
      <c r="N23" s="197">
        <v>1</v>
      </c>
      <c r="P23" s="197" t="s">
        <v>99</v>
      </c>
      <c r="Q23" s="476" t="s">
        <v>2136</v>
      </c>
      <c r="S23" s="46"/>
      <c r="V23">
        <f t="shared" si="7"/>
        <v>0</v>
      </c>
      <c r="W23">
        <f t="shared" si="8"/>
        <v>0</v>
      </c>
      <c r="X23">
        <f t="shared" si="9"/>
        <v>0</v>
      </c>
    </row>
    <row r="24" spans="1:24" ht="17" thickTop="1" thickBot="1">
      <c r="A24" s="22" t="s">
        <v>2131</v>
      </c>
      <c r="B24" s="206"/>
      <c r="C24" s="471">
        <f t="shared" si="4"/>
        <v>0</v>
      </c>
      <c r="D24" s="487">
        <f t="shared" si="5"/>
        <v>0</v>
      </c>
      <c r="E24" s="490">
        <v>0</v>
      </c>
      <c r="F24" s="354">
        <f>E24</f>
        <v>0</v>
      </c>
      <c r="G24" s="23">
        <f t="shared" si="6"/>
        <v>0</v>
      </c>
      <c r="H24" s="386">
        <v>0</v>
      </c>
      <c r="I24" s="22" t="s">
        <v>1518</v>
      </c>
      <c r="J24" s="22"/>
      <c r="K24" s="22"/>
      <c r="L24" s="22"/>
      <c r="M24" s="22"/>
      <c r="N24" s="206">
        <v>1</v>
      </c>
      <c r="O24" s="22"/>
      <c r="P24" s="206" t="s">
        <v>99</v>
      </c>
      <c r="Q24" s="476" t="s">
        <v>2137</v>
      </c>
      <c r="S24" s="46"/>
      <c r="V24">
        <f t="shared" si="7"/>
        <v>0</v>
      </c>
      <c r="W24">
        <f t="shared" si="8"/>
        <v>0</v>
      </c>
      <c r="X24">
        <f t="shared" si="9"/>
        <v>0</v>
      </c>
    </row>
    <row r="25" spans="1:24" ht="17" thickTop="1" thickBot="1">
      <c r="A25" s="145" t="s">
        <v>2132</v>
      </c>
      <c r="B25" s="210"/>
      <c r="C25" s="352">
        <f t="shared" si="4"/>
        <v>0</v>
      </c>
      <c r="D25" s="486">
        <f t="shared" si="5"/>
        <v>0</v>
      </c>
      <c r="E25" s="491">
        <v>0</v>
      </c>
      <c r="F25" s="355">
        <f t="shared" si="10"/>
        <v>0</v>
      </c>
      <c r="G25" s="248">
        <f t="shared" si="6"/>
        <v>0</v>
      </c>
      <c r="H25" s="221">
        <v>0</v>
      </c>
      <c r="I25" t="s">
        <v>1518</v>
      </c>
      <c r="N25" s="197">
        <v>1</v>
      </c>
      <c r="P25" s="197" t="s">
        <v>99</v>
      </c>
      <c r="Q25" s="477" t="s">
        <v>2138</v>
      </c>
      <c r="R25" s="28"/>
      <c r="S25" s="79"/>
      <c r="V25">
        <f t="shared" si="7"/>
        <v>0</v>
      </c>
      <c r="W25">
        <f t="shared" si="8"/>
        <v>0</v>
      </c>
      <c r="X25">
        <f t="shared" si="9"/>
        <v>0</v>
      </c>
    </row>
    <row r="26" spans="1:24" ht="16" thickBot="1">
      <c r="A26" s="22" t="s">
        <v>573</v>
      </c>
      <c r="B26" s="27" t="s">
        <v>514</v>
      </c>
      <c r="C26" s="324">
        <f>IF('1-Hull'!B4&lt;100,0,ROUNDDOWN((SUM(C11:C14,C16:C21)+SUM('9b-Optional'!C91:C94,C10:C14,C16:C21,C27:C28,C37:C40)/120)/20,0))</f>
        <v>0</v>
      </c>
      <c r="D26" s="324">
        <f>IF('1-Hull'!B4&lt;100,0,ROUNDDOWN((SUM(D11:D14,D16:D21)+SUM(D10:D14,D16:D21)/120)/10,0))</f>
        <v>1</v>
      </c>
      <c r="E26" s="489">
        <v>0</v>
      </c>
      <c r="F26" s="354">
        <f>HLOOKUP(B5,V9:X28,18)+K26</f>
        <v>0</v>
      </c>
      <c r="G26" s="23">
        <f>F26*5000+IF(N26=0,0,(N26-1)*F26*5000/2)</f>
        <v>0</v>
      </c>
      <c r="H26" s="22"/>
      <c r="I26" s="22"/>
      <c r="J26" s="22"/>
      <c r="K26" s="340">
        <v>0</v>
      </c>
      <c r="L26" s="22" t="s">
        <v>2153</v>
      </c>
      <c r="M26" s="22"/>
      <c r="N26" s="206">
        <v>1</v>
      </c>
      <c r="P26" s="78"/>
      <c r="Q26" s="46"/>
      <c r="V26">
        <f t="shared" si="0"/>
        <v>0</v>
      </c>
      <c r="W26">
        <f t="shared" si="1"/>
        <v>0</v>
      </c>
      <c r="X26">
        <f t="shared" si="2"/>
        <v>1</v>
      </c>
    </row>
    <row r="27" spans="1:24" ht="16" thickBot="1">
      <c r="A27" s="145" t="s">
        <v>1514</v>
      </c>
      <c r="B27" s="2" t="s">
        <v>1521</v>
      </c>
      <c r="C27" s="270">
        <f>('9b-Optional'!A103+'9b-Optional'!A111+'9b-Optional'!A120+'9b-Optional'!A125)</f>
        <v>0</v>
      </c>
      <c r="D27" s="270">
        <f>C27</f>
        <v>0</v>
      </c>
      <c r="E27" s="353">
        <v>0</v>
      </c>
      <c r="F27" s="355">
        <f>MAX(0,HLOOKUP(B5,V9:X28,19)+K27-V41)</f>
        <v>0</v>
      </c>
      <c r="G27" s="4">
        <f>F27*1000+IF(N27=0,0,(N27-1)*F27*1000/2)</f>
        <v>0</v>
      </c>
      <c r="K27" s="235">
        <v>0</v>
      </c>
      <c r="L27" t="s">
        <v>2154</v>
      </c>
      <c r="N27" s="197">
        <v>1</v>
      </c>
      <c r="O27" s="478"/>
      <c r="P27" s="28"/>
      <c r="Q27" s="79"/>
      <c r="V27" s="263">
        <f>C27</f>
        <v>0</v>
      </c>
      <c r="W27" s="263">
        <f>E27</f>
        <v>0</v>
      </c>
      <c r="X27" s="263">
        <f>V27</f>
        <v>0</v>
      </c>
    </row>
    <row r="28" spans="1:24" ht="16" thickBot="1">
      <c r="A28" s="22" t="s">
        <v>1515</v>
      </c>
      <c r="B28" s="27" t="s">
        <v>1520</v>
      </c>
      <c r="C28" s="324">
        <f>(K28+'9b-Optional'!B87)</f>
        <v>2</v>
      </c>
      <c r="D28" s="324">
        <f>C28</f>
        <v>2</v>
      </c>
      <c r="E28" s="340">
        <v>0</v>
      </c>
      <c r="F28" s="354">
        <f>HLOOKUP(B5,V9:X28,20)</f>
        <v>2</v>
      </c>
      <c r="G28" s="23">
        <f>F28*IF(H28=0,4000,H28)+IF(N28=0,0,(N28-1)*F28*IF(H28=0,4000,H28)/2)</f>
        <v>8000</v>
      </c>
      <c r="H28" s="386">
        <v>0</v>
      </c>
      <c r="I28" s="22" t="s">
        <v>1518</v>
      </c>
      <c r="J28" s="22"/>
      <c r="K28" s="340">
        <v>2</v>
      </c>
      <c r="L28" s="22" t="s">
        <v>1519</v>
      </c>
      <c r="M28" s="22"/>
      <c r="N28" s="206">
        <v>1</v>
      </c>
      <c r="V28" s="263">
        <f t="shared" ref="V28" si="11">C28</f>
        <v>2</v>
      </c>
      <c r="W28" s="263">
        <f>E28</f>
        <v>0</v>
      </c>
      <c r="X28" s="263">
        <f>V28</f>
        <v>2</v>
      </c>
    </row>
    <row r="30" spans="1:24">
      <c r="V30" t="s">
        <v>1200</v>
      </c>
    </row>
    <row r="31" spans="1:24">
      <c r="A31" t="s">
        <v>515</v>
      </c>
      <c r="G31" s="8" t="s">
        <v>517</v>
      </c>
      <c r="V31" s="107" t="str">
        <f>IF(F10=0,"","CAPTAIN")&amp;""&amp;IF(F11=0,"",IF(F10=0,"",", ")&amp;A11&amp;" x"&amp;F11)&amp;""&amp;IF(F12=0,"",", "&amp;A12&amp;" x"&amp;F12)&amp;""&amp;IF(F13=0,"",", "&amp;A13&amp;" x"&amp;F13)&amp;""&amp;IF(F14=0,"",", "&amp;A14&amp;" x"&amp;F14)&amp;""&amp;IF(F15=0,"",", "&amp;A15&amp;" x"&amp;F15)&amp;""&amp;IF(F16=0,"",", "&amp;A16&amp;" x"&amp;F16)&amp;""&amp;IF(F17=0,"",", "&amp;A17&amp;" x"&amp;F17)&amp;""&amp;IF(F18=0,"",", "&amp;A18&amp;" x"&amp;F18)&amp;""&amp;IF(F19=0,"",", "&amp;A19&amp;" x"&amp;F19)&amp;""&amp;IF(F20=0,"",", "&amp;A20&amp;" x"&amp;F20)&amp;""&amp;IF(F21=0,"",IF(B21="",", "&amp;A21&amp;" x"&amp;F21,", "&amp;B21&amp;" x"&amp;F21))&amp;IF(F22=0,"",IF(B22="",", "&amp;A22&amp;" x"&amp;F22,", "&amp;B22&amp;" x"&amp;F22))&amp;IF(F23=0,"",IF(B23="",", "&amp;A23&amp;" x"&amp;F23,", "&amp;B23&amp;" x"&amp;F23))&amp;IF(F24=0,"",IF(B24="",", "&amp;A24&amp;" x"&amp;F24,", "&amp;B24&amp;" x"&amp;F24))&amp;IF(F25=0,"",IF(B25="",", "&amp;A25&amp;" x"&amp;F25,", "&amp;B25&amp;" x"&amp;F25))&amp;""&amp;IF(F26=0,"",", "&amp;A26&amp;" x"&amp;F26)&amp;IF(F27=0,"",", "&amp;A27&amp;" x"&amp;F27)&amp;IF(F28=0,"",", "&amp;A28&amp;" x"&amp;F28)</f>
        <v>PILOT x4, ASTROGATOR x1, ENGINEER x1, MAINTENANCE x1, MEDIC x1, GUNNER x1, SENSOP x2, SCIENTISTS x2</v>
      </c>
    </row>
    <row r="32" spans="1:24">
      <c r="A32" t="s">
        <v>516</v>
      </c>
      <c r="G32" s="26">
        <f>SUM(G10:G30)</f>
        <v>56000</v>
      </c>
    </row>
    <row r="33" spans="1:23">
      <c r="A33" t="s">
        <v>524</v>
      </c>
      <c r="W33" s="3">
        <f>IF(B6=V5,1,IF('Ship Info'!F5,IF(Tonnage&lt;V34,W34,IF(Tonnage&lt;V35,W35,IF(Tonnage&lt;V36,W36,IF(Tonnage&lt;V37,W37,W38)))),1))</f>
        <v>1</v>
      </c>
    </row>
    <row r="34" spans="1:23">
      <c r="A34" t="s">
        <v>1565</v>
      </c>
      <c r="I34" s="881" t="s">
        <v>1647</v>
      </c>
      <c r="J34" s="882"/>
      <c r="K34" s="883"/>
      <c r="L34" s="3"/>
      <c r="M34" s="3"/>
      <c r="N34" s="3"/>
      <c r="V34">
        <v>5001</v>
      </c>
      <c r="W34">
        <v>1</v>
      </c>
    </row>
    <row r="35" spans="1:23">
      <c r="I35" s="884" t="s">
        <v>1648</v>
      </c>
      <c r="J35" s="800"/>
      <c r="K35" s="885"/>
      <c r="L35" s="3"/>
      <c r="M35" s="3"/>
      <c r="N35" s="3"/>
      <c r="V35">
        <v>20000</v>
      </c>
      <c r="W35">
        <v>0.75</v>
      </c>
    </row>
    <row r="36" spans="1:23" ht="16" thickBot="1">
      <c r="B36" s="3" t="s">
        <v>519</v>
      </c>
      <c r="C36" s="1" t="s">
        <v>308</v>
      </c>
      <c r="I36" s="86"/>
      <c r="J36" s="321">
        <f>IF('6-Comp'!B38="",0,'6-Comp'!B39)</f>
        <v>0</v>
      </c>
      <c r="K36" s="485"/>
      <c r="L36" s="270"/>
      <c r="M36" s="270"/>
      <c r="V36">
        <v>50000</v>
      </c>
      <c r="W36">
        <v>0.67</v>
      </c>
    </row>
    <row r="37" spans="1:23" ht="16" thickBot="1">
      <c r="B37" s="2" t="s">
        <v>518</v>
      </c>
      <c r="C37" s="334">
        <v>0</v>
      </c>
      <c r="V37">
        <v>100000</v>
      </c>
      <c r="W37">
        <v>0.5</v>
      </c>
    </row>
    <row r="38" spans="1:23" ht="16" thickBot="1">
      <c r="B38" s="2" t="s">
        <v>522</v>
      </c>
      <c r="C38" s="334">
        <v>0</v>
      </c>
      <c r="W38">
        <v>0.33</v>
      </c>
    </row>
    <row r="39" spans="1:23" ht="16" thickBot="1">
      <c r="B39" s="2" t="s">
        <v>520</v>
      </c>
      <c r="C39" s="334">
        <v>0</v>
      </c>
    </row>
    <row r="40" spans="1:23" ht="16" thickBot="1">
      <c r="B40" s="2" t="s">
        <v>521</v>
      </c>
      <c r="C40" s="334">
        <v>0</v>
      </c>
      <c r="V40" t="s">
        <v>2139</v>
      </c>
    </row>
    <row r="41" spans="1:23" ht="16" thickBot="1">
      <c r="B41" s="2" t="s">
        <v>553</v>
      </c>
      <c r="C41" s="334">
        <v>0</v>
      </c>
      <c r="V41">
        <f>SUM(IF(P21=V5,F21,0),IF(P22=V5,F22,0),IF(P23=V5,F23,0),IF(P24=V5,F24,0),IF(P25=V5,F25,0))</f>
        <v>0</v>
      </c>
    </row>
  </sheetData>
  <sheetProtection algorithmName="SHA-512" hashValue="sc8Au+n7ElV2dVMDEbkDzXQaa4VYxA6frMfLd8h8+SMCFpeY2xE611ml3ynu8cI3LzR+rm6+0lrJDclPss8xuQ==" saltValue="MyF/tHCia6fCOet0q7n19Q==" spinCount="100000" sheet="1" selectLockedCells="1"/>
  <mergeCells count="7">
    <mergeCell ref="I34:K34"/>
    <mergeCell ref="I35:K35"/>
    <mergeCell ref="I4:J4"/>
    <mergeCell ref="O4:P4"/>
    <mergeCell ref="C8:D8"/>
    <mergeCell ref="P8:R9"/>
    <mergeCell ref="R10:R11"/>
  </mergeCells>
  <conditionalFormatting sqref="A17">
    <cfRule type="expression" dxfId="120" priority="4">
      <formula>$B$7="No"</formula>
    </cfRule>
  </conditionalFormatting>
  <conditionalFormatting sqref="C10:C28">
    <cfRule type="expression" dxfId="119" priority="711">
      <formula>$B$5=$V$9</formula>
    </cfRule>
  </conditionalFormatting>
  <conditionalFormatting sqref="C37:C41">
    <cfRule type="cellIs" dxfId="118" priority="7" operator="equal">
      <formula>0</formula>
    </cfRule>
  </conditionalFormatting>
  <conditionalFormatting sqref="C9:E9">
    <cfRule type="cellIs" dxfId="117" priority="8" operator="equal">
      <formula>$B$5</formula>
    </cfRule>
  </conditionalFormatting>
  <conditionalFormatting sqref="D10:D28">
    <cfRule type="expression" dxfId="116" priority="713">
      <formula>$B$5=$X$9</formula>
    </cfRule>
  </conditionalFormatting>
  <conditionalFormatting sqref="E10:E28">
    <cfRule type="expression" dxfId="115" priority="712">
      <formula>$B$5=$W$9</formula>
    </cfRule>
  </conditionalFormatting>
  <conditionalFormatting sqref="I6">
    <cfRule type="expression" dxfId="114" priority="14">
      <formula>$I$6&lt;0</formula>
    </cfRule>
  </conditionalFormatting>
  <conditionalFormatting sqref="K12 K14 K16 K26">
    <cfRule type="expression" dxfId="113" priority="1">
      <formula>$B$5=$W$9</formula>
    </cfRule>
  </conditionalFormatting>
  <conditionalFormatting sqref="K18">
    <cfRule type="expression" dxfId="112" priority="5">
      <formula>$B$5=$W$9</formula>
    </cfRule>
  </conditionalFormatting>
  <conditionalFormatting sqref="K28">
    <cfRule type="expression" dxfId="111" priority="6">
      <formula>$B$5=$W$9</formula>
    </cfRule>
  </conditionalFormatting>
  <conditionalFormatting sqref="O6">
    <cfRule type="expression" dxfId="110" priority="13">
      <formula>$O$6&lt;0</formula>
    </cfRule>
  </conditionalFormatting>
  <conditionalFormatting sqref="P26:Q26 G27:J27 L27:Q27">
    <cfRule type="expression" dxfId="109" priority="2">
      <formula>$V$41&gt;0</formula>
    </cfRule>
  </conditionalFormatting>
  <conditionalFormatting sqref="Q21:Q25">
    <cfRule type="expression" dxfId="108" priority="3">
      <formula>$P21=$V$5</formula>
    </cfRule>
  </conditionalFormatting>
  <dataValidations count="7">
    <dataValidation type="whole" operator="greaterThanOrEqual" allowBlank="1" showInputMessage="1" showErrorMessage="1" sqref="C37:C41 E26:F26 E10:F19 E27:E28 K28 F28 K26 K27" xr:uid="{BBFDCF16-BC4A-4FB6-995D-38A5DCADD73C}">
      <formula1>0</formula1>
    </dataValidation>
    <dataValidation type="whole" operator="greaterThanOrEqual" allowBlank="1" showInputMessage="1" showErrorMessage="1" prompt="Enter the average salary for this crew type" sqref="H28 H20:H25" xr:uid="{C34D4D7D-5AE0-4CBE-96BB-7827237F346B}">
      <formula1>0</formula1>
    </dataValidation>
    <dataValidation type="list" allowBlank="1" showInputMessage="1" showErrorMessage="1" sqref="B5" xr:uid="{F6F528E0-4527-4831-9D5D-A9168C6BDD6E}">
      <formula1>$V$9:$X$9</formula1>
    </dataValidation>
    <dataValidation type="list" allowBlank="1" showInputMessage="1" showErrorMessage="1" sqref="B7 P21:P25 P19 P16:P17 P13:P14" xr:uid="{8A12482E-2599-4606-ACD4-8096527A52BD}">
      <formula1>$V$4:$V$5</formula1>
    </dataValidation>
    <dataValidation type="decimal" operator="greaterThanOrEqual" allowBlank="1" showInputMessage="1" showErrorMessage="1" prompt="Enter total tonnage of docked small craft drives and power plants." sqref="H13" xr:uid="{E2B301A4-1AC3-435D-951B-597442E33B00}">
      <formula1>0</formula1>
    </dataValidation>
    <dataValidation type="whole" operator="greaterThanOrEqual" allowBlank="1" showInputMessage="1" showErrorMessage="1" prompt="Enter number of docked small craft." sqref="H11" xr:uid="{6A381247-7144-4DBF-ACE2-CA038E16270F}">
      <formula1>0</formula1>
    </dataValidation>
    <dataValidation type="decimal" operator="greaterThanOrEqual" allowBlank="1" showInputMessage="1" showErrorMessage="1" sqref="N10:N26" xr:uid="{FA147C47-A67B-4359-8C74-F3C90BF8682D}">
      <formula1>0</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314C-42BF-4A4A-A887-76875C307521}">
  <dimension ref="A1:Y80"/>
  <sheetViews>
    <sheetView workbookViewId="0">
      <selection activeCell="C24" sqref="C24"/>
    </sheetView>
  </sheetViews>
  <sheetFormatPr baseColWidth="10" defaultColWidth="8.83203125" defaultRowHeight="15"/>
  <cols>
    <col min="1" max="1" width="25.83203125" customWidth="1"/>
    <col min="2" max="2" width="32.1640625" customWidth="1"/>
    <col min="3" max="3" width="14.6640625" customWidth="1"/>
    <col min="4" max="4" width="17.1640625" customWidth="1"/>
    <col min="5" max="5" width="3.6640625" customWidth="1"/>
    <col min="6" max="6" width="18" customWidth="1"/>
    <col min="8" max="8" width="13.33203125" customWidth="1"/>
    <col min="9" max="9" width="10.33203125" customWidth="1"/>
    <col min="11" max="11" width="10.6640625" customWidth="1"/>
    <col min="12" max="12" width="11.33203125" customWidth="1"/>
    <col min="16" max="16" width="2.1640625" customWidth="1"/>
    <col min="17" max="18" width="2.6640625" customWidth="1"/>
    <col min="19" max="19" width="26.33203125" hidden="1" customWidth="1"/>
    <col min="20" max="22" width="9.1640625" hidden="1" customWidth="1"/>
    <col min="23" max="23" width="7.33203125" hidden="1" customWidth="1"/>
    <col min="24" max="24" width="11.6640625" hidden="1" customWidth="1"/>
    <col min="25" max="25" width="9.1640625" hidden="1" customWidth="1"/>
    <col min="26" max="31" width="9.1640625" customWidth="1"/>
  </cols>
  <sheetData>
    <row r="1" spans="1:25">
      <c r="A1" s="3" t="str">
        <f>'Ship Info'!A1</f>
        <v>Ship's Class Name</v>
      </c>
      <c r="B1" t="str">
        <f>'Ship Info'!B1</f>
        <v>Zhodani Long Range Scout</v>
      </c>
      <c r="F1" s="1" t="s">
        <v>1</v>
      </c>
    </row>
    <row r="2" spans="1:25" ht="16" thickBot="1">
      <c r="A2" s="3" t="s">
        <v>432</v>
      </c>
      <c r="B2" t="str">
        <f>'Ship Info'!B2</f>
        <v>Scout</v>
      </c>
      <c r="D2" s="3" t="s">
        <v>0</v>
      </c>
      <c r="E2" s="2">
        <f>'Ship Info'!F2</f>
        <v>14</v>
      </c>
      <c r="F2" s="10">
        <f>'Ship Info'!G2</f>
        <v>621511800.00000012</v>
      </c>
      <c r="S2" t="s">
        <v>99</v>
      </c>
    </row>
    <row r="3" spans="1:25" ht="16" thickBot="1">
      <c r="B3" s="9" t="s">
        <v>2415</v>
      </c>
      <c r="C3" s="198" t="s">
        <v>99</v>
      </c>
      <c r="F3" s="10"/>
      <c r="G3" s="79"/>
      <c r="H3" s="506">
        <f>S26</f>
        <v>35</v>
      </c>
      <c r="I3" s="28"/>
      <c r="J3" s="79"/>
      <c r="K3" s="507">
        <f>S30</f>
        <v>0</v>
      </c>
      <c r="S3" t="s">
        <v>100</v>
      </c>
    </row>
    <row r="4" spans="1:25" ht="16" thickBot="1">
      <c r="B4" s="9" t="s">
        <v>1524</v>
      </c>
      <c r="C4" s="198" t="s">
        <v>99</v>
      </c>
      <c r="F4" s="508" t="s">
        <v>45</v>
      </c>
      <c r="H4" s="787" t="s">
        <v>46</v>
      </c>
      <c r="I4" s="787"/>
      <c r="K4" s="787" t="s">
        <v>47</v>
      </c>
      <c r="L4" s="787"/>
      <c r="T4" s="2" t="s">
        <v>541</v>
      </c>
      <c r="U4" s="2" t="s">
        <v>545</v>
      </c>
      <c r="V4" s="2" t="s">
        <v>542</v>
      </c>
      <c r="W4" s="2" t="s">
        <v>543</v>
      </c>
      <c r="X4" s="2" t="s">
        <v>544</v>
      </c>
      <c r="Y4" s="2" t="s">
        <v>562</v>
      </c>
    </row>
    <row r="5" spans="1:25">
      <c r="B5" s="1" t="s">
        <v>2416</v>
      </c>
      <c r="C5" s="1" t="s">
        <v>546</v>
      </c>
      <c r="F5" s="506">
        <f>SUM(F15:F73)</f>
        <v>4712000</v>
      </c>
      <c r="H5" s="1" t="s">
        <v>403</v>
      </c>
      <c r="I5" s="1" t="s">
        <v>27</v>
      </c>
      <c r="K5" s="1" t="s">
        <v>403</v>
      </c>
      <c r="L5" s="1" t="s">
        <v>27</v>
      </c>
      <c r="S5" t="s">
        <v>530</v>
      </c>
      <c r="T5">
        <v>4</v>
      </c>
      <c r="U5">
        <v>10000</v>
      </c>
      <c r="V5">
        <v>1</v>
      </c>
      <c r="X5">
        <v>250</v>
      </c>
      <c r="Y5">
        <f>H15*X5</f>
        <v>0</v>
      </c>
    </row>
    <row r="6" spans="1:25">
      <c r="A6" t="s">
        <v>1214</v>
      </c>
      <c r="B6" s="270">
        <f>IF(AND(C12="Yes",'Ship Info'!F7),0,SUM('10-Crew'!E5,'10-Crew'!E7,'10-Crew'!C38,'10-Crew'!C39,'10-Crew'!C40))</f>
        <v>13</v>
      </c>
      <c r="C6" s="520">
        <f>IF(C4=S2,SUM(D21:D29),SUM('9b-Optional'!C91:C94,D21:D29))+IF(C3="No",0,SUM(D21:D29,C7,C10))</f>
        <v>14</v>
      </c>
      <c r="G6" s="2"/>
      <c r="H6" s="10">
        <f>'Ship Info'!I3</f>
        <v>2.6000000000000227</v>
      </c>
      <c r="I6" s="270">
        <f>'Ship Info'!J3</f>
        <v>300</v>
      </c>
      <c r="J6" s="2"/>
      <c r="K6" s="270">
        <f>'Ship Info'!L3</f>
        <v>7</v>
      </c>
      <c r="L6" s="270">
        <f>'Ship Info'!M3</f>
        <v>250</v>
      </c>
      <c r="S6" t="s">
        <v>531</v>
      </c>
      <c r="T6">
        <v>1</v>
      </c>
      <c r="U6">
        <v>30000</v>
      </c>
      <c r="V6">
        <v>0.5</v>
      </c>
      <c r="X6">
        <v>250</v>
      </c>
      <c r="Y6">
        <f t="shared" ref="Y6:Y9" si="0">H16*X6</f>
        <v>0</v>
      </c>
    </row>
    <row r="7" spans="1:25">
      <c r="A7" s="208" t="str">
        <f>IF('1-Hull'!B4&lt;100,'5-Bridge'!A9&amp;" seats up to "&amp;'11-Staterooms'!T42&amp;" crew","")</f>
        <v/>
      </c>
      <c r="B7" s="209"/>
      <c r="C7" s="97">
        <f>IF(Tonnage&lt;100,T42,0)</f>
        <v>0</v>
      </c>
      <c r="D7" s="519" t="s">
        <v>558</v>
      </c>
      <c r="E7" s="54"/>
      <c r="F7" s="55">
        <f>SUM(F8:F9)</f>
        <v>21000</v>
      </c>
      <c r="S7" t="s">
        <v>532</v>
      </c>
      <c r="T7">
        <v>1</v>
      </c>
      <c r="U7">
        <v>50000</v>
      </c>
      <c r="V7">
        <v>1.5</v>
      </c>
      <c r="X7">
        <v>250</v>
      </c>
      <c r="Y7">
        <f t="shared" si="0"/>
        <v>0</v>
      </c>
    </row>
    <row r="8" spans="1:25">
      <c r="A8" t="s">
        <v>527</v>
      </c>
      <c r="B8" s="270">
        <f>'10-Crew'!C37</f>
        <v>0</v>
      </c>
      <c r="C8" s="270">
        <f>D18</f>
        <v>0</v>
      </c>
      <c r="D8" s="56" t="s">
        <v>560</v>
      </c>
      <c r="E8" s="57"/>
      <c r="F8" s="58">
        <f>SUM(Y5:Y7,Y9,Y11:Y23)</f>
        <v>7000</v>
      </c>
      <c r="S8" t="s">
        <v>533</v>
      </c>
      <c r="T8">
        <v>1</v>
      </c>
      <c r="U8">
        <v>50000</v>
      </c>
      <c r="V8">
        <v>0.5</v>
      </c>
      <c r="W8">
        <v>0.1</v>
      </c>
      <c r="X8">
        <v>100</v>
      </c>
      <c r="Y8">
        <f t="shared" si="0"/>
        <v>0</v>
      </c>
    </row>
    <row r="9" spans="1:25">
      <c r="B9" s="2"/>
      <c r="C9" s="2"/>
      <c r="D9" s="56" t="s">
        <v>559</v>
      </c>
      <c r="E9" s="57"/>
      <c r="F9" s="58">
        <f>Y28*1000+Y8:Y9</f>
        <v>14000</v>
      </c>
      <c r="S9" t="s">
        <v>539</v>
      </c>
      <c r="T9">
        <v>4</v>
      </c>
      <c r="U9">
        <v>1000000</v>
      </c>
      <c r="V9">
        <v>1</v>
      </c>
      <c r="W9">
        <v>1</v>
      </c>
      <c r="X9">
        <v>100</v>
      </c>
      <c r="Y9">
        <f t="shared" si="0"/>
        <v>0</v>
      </c>
    </row>
    <row r="10" spans="1:25">
      <c r="A10" t="s">
        <v>553</v>
      </c>
      <c r="B10" s="270">
        <f>'10-Crew'!C41</f>
        <v>0</v>
      </c>
      <c r="C10" s="270">
        <f>SUM(D15:D17)</f>
        <v>0</v>
      </c>
      <c r="D10" s="59"/>
      <c r="E10" s="60" t="s">
        <v>561</v>
      </c>
      <c r="F10" s="61"/>
      <c r="S10" t="s">
        <v>540</v>
      </c>
      <c r="T10">
        <v>0</v>
      </c>
      <c r="U10">
        <v>100000</v>
      </c>
      <c r="V10">
        <v>1</v>
      </c>
    </row>
    <row r="11" spans="1:25" ht="16" thickBot="1">
      <c r="B11" s="2"/>
      <c r="C11" s="2"/>
      <c r="S11" t="s">
        <v>529</v>
      </c>
      <c r="T11">
        <v>1</v>
      </c>
      <c r="U11">
        <v>100000</v>
      </c>
      <c r="V11">
        <v>1</v>
      </c>
      <c r="X11">
        <v>500</v>
      </c>
      <c r="Y11">
        <f>(H21+'9b-Optional'!H91)*X11</f>
        <v>0</v>
      </c>
    </row>
    <row r="12" spans="1:25" ht="16" thickBot="1">
      <c r="B12" s="7" t="s">
        <v>1559</v>
      </c>
      <c r="C12" s="198" t="s">
        <v>100</v>
      </c>
      <c r="D12" t="str">
        <f>IF(C12="No","","*Use Custom setting on 10-Crew tab of Modular Ship to include module crew.")</f>
        <v>*Use Custom setting on 10-Crew tab of Modular Ship to include module crew.</v>
      </c>
      <c r="S12" t="s">
        <v>2096</v>
      </c>
      <c r="T12">
        <v>6</v>
      </c>
      <c r="U12">
        <v>2000000</v>
      </c>
      <c r="V12">
        <v>6</v>
      </c>
      <c r="X12">
        <v>500</v>
      </c>
      <c r="Y12">
        <f>H28*X12</f>
        <v>0</v>
      </c>
    </row>
    <row r="13" spans="1:25">
      <c r="S13" t="s">
        <v>2097</v>
      </c>
      <c r="T13">
        <v>12</v>
      </c>
      <c r="U13">
        <v>2000000</v>
      </c>
      <c r="V13">
        <v>6</v>
      </c>
      <c r="X13">
        <v>500</v>
      </c>
    </row>
    <row r="14" spans="1:25" ht="16" thickBot="1">
      <c r="A14" s="3" t="s">
        <v>528</v>
      </c>
      <c r="B14" s="1" t="s">
        <v>171</v>
      </c>
      <c r="C14" s="1" t="s">
        <v>308</v>
      </c>
      <c r="D14" s="1" t="s">
        <v>546</v>
      </c>
      <c r="T14">
        <f>IF(A28=S12,6,12)</f>
        <v>6</v>
      </c>
    </row>
    <row r="15" spans="1:25" ht="16" thickBot="1">
      <c r="A15" t="s">
        <v>530</v>
      </c>
      <c r="B15" s="2" t="s">
        <v>550</v>
      </c>
      <c r="C15" s="235">
        <v>0</v>
      </c>
      <c r="D15" s="270">
        <f>T5*C15</f>
        <v>0</v>
      </c>
      <c r="F15" s="4">
        <f>C15*U5</f>
        <v>0</v>
      </c>
      <c r="H15" s="263">
        <f>C15*V5</f>
        <v>0</v>
      </c>
      <c r="S15" t="s">
        <v>2412</v>
      </c>
      <c r="T15">
        <v>1</v>
      </c>
      <c r="U15">
        <v>25000</v>
      </c>
      <c r="V15">
        <v>0.5</v>
      </c>
      <c r="X15">
        <v>250</v>
      </c>
      <c r="Y15">
        <f>C29*X15</f>
        <v>0</v>
      </c>
    </row>
    <row r="16" spans="1:25" ht="16" thickBot="1">
      <c r="A16" t="s">
        <v>531</v>
      </c>
      <c r="B16" s="2" t="s">
        <v>551</v>
      </c>
      <c r="C16" s="235">
        <v>0</v>
      </c>
      <c r="D16" s="270">
        <f>C16</f>
        <v>0</v>
      </c>
      <c r="F16" s="4">
        <f>C16*U6</f>
        <v>0</v>
      </c>
      <c r="H16" s="263">
        <f t="shared" ref="H16:H21" si="1">C16*V6</f>
        <v>0</v>
      </c>
      <c r="S16" t="s">
        <v>534</v>
      </c>
      <c r="T16">
        <v>1</v>
      </c>
      <c r="U16">
        <v>500000</v>
      </c>
      <c r="V16">
        <v>4</v>
      </c>
      <c r="X16">
        <v>250</v>
      </c>
      <c r="Y16">
        <f>(H22+'9b-Optional'!H92)*X16</f>
        <v>0</v>
      </c>
    </row>
    <row r="17" spans="1:25" ht="16" thickBot="1">
      <c r="A17" t="s">
        <v>532</v>
      </c>
      <c r="B17" s="2" t="s">
        <v>552</v>
      </c>
      <c r="C17" s="235">
        <v>0</v>
      </c>
      <c r="D17" s="270">
        <f>C17</f>
        <v>0</v>
      </c>
      <c r="F17" s="4">
        <f>H17*U7</f>
        <v>0</v>
      </c>
      <c r="H17" s="263">
        <f t="shared" si="1"/>
        <v>0</v>
      </c>
      <c r="S17" t="s">
        <v>535</v>
      </c>
      <c r="T17">
        <v>2</v>
      </c>
      <c r="U17">
        <v>500000</v>
      </c>
      <c r="V17">
        <v>4</v>
      </c>
      <c r="X17">
        <v>250</v>
      </c>
      <c r="Y17">
        <f>H23*X17</f>
        <v>7000</v>
      </c>
    </row>
    <row r="18" spans="1:25" ht="16" thickBot="1">
      <c r="A18" t="s">
        <v>759</v>
      </c>
      <c r="B18" s="2"/>
      <c r="C18" s="235">
        <v>0</v>
      </c>
      <c r="D18" s="270">
        <f>C18</f>
        <v>0</v>
      </c>
      <c r="F18" s="4">
        <f t="shared" ref="F18:F21" si="2">C18*U8</f>
        <v>0</v>
      </c>
      <c r="H18" s="263">
        <f t="shared" si="1"/>
        <v>0</v>
      </c>
      <c r="K18" s="263">
        <f>ROUNDUP(C18*W8,0)</f>
        <v>0</v>
      </c>
      <c r="S18" t="s">
        <v>549</v>
      </c>
      <c r="T18">
        <v>1</v>
      </c>
      <c r="U18">
        <v>800000</v>
      </c>
      <c r="V18">
        <v>6</v>
      </c>
      <c r="X18">
        <v>500</v>
      </c>
      <c r="Y18">
        <f>(H24+'9b-Optional'!H93)*X18</f>
        <v>0</v>
      </c>
    </row>
    <row r="19" spans="1:25" ht="16" thickBot="1">
      <c r="A19" t="s">
        <v>760</v>
      </c>
      <c r="B19" s="2"/>
      <c r="C19" s="235">
        <v>0</v>
      </c>
      <c r="D19" s="270">
        <f>C19*4</f>
        <v>0</v>
      </c>
      <c r="F19" s="4">
        <f t="shared" si="2"/>
        <v>0</v>
      </c>
      <c r="H19" s="263">
        <f t="shared" si="1"/>
        <v>0</v>
      </c>
      <c r="K19" s="263">
        <f>C19</f>
        <v>0</v>
      </c>
      <c r="S19" t="s">
        <v>536</v>
      </c>
      <c r="T19">
        <v>2</v>
      </c>
      <c r="U19">
        <v>800000</v>
      </c>
      <c r="V19">
        <v>6</v>
      </c>
      <c r="X19">
        <v>500</v>
      </c>
      <c r="Y19">
        <f>H25*X19</f>
        <v>0</v>
      </c>
    </row>
    <row r="20" spans="1:25" ht="16" thickBot="1">
      <c r="A20" t="s">
        <v>540</v>
      </c>
      <c r="B20" s="2" t="str">
        <f>"Standard Morale = "&amp;H28/2+ROUNDDOWN(SUM(H21:H27)/4,0)&amp;" tons"</f>
        <v>Standard Morale = 7 tons</v>
      </c>
      <c r="C20" s="235">
        <v>0</v>
      </c>
      <c r="D20" s="2"/>
      <c r="F20" s="4">
        <f t="shared" si="2"/>
        <v>0</v>
      </c>
      <c r="H20" s="263">
        <f t="shared" si="1"/>
        <v>0</v>
      </c>
      <c r="M20" s="3" t="s">
        <v>1414</v>
      </c>
      <c r="S20" t="s">
        <v>537</v>
      </c>
      <c r="T20">
        <v>1</v>
      </c>
      <c r="U20">
        <v>1500000</v>
      </c>
      <c r="V20">
        <v>10</v>
      </c>
      <c r="X20">
        <v>500</v>
      </c>
      <c r="Y20">
        <f>(H26+'9b-Optional'!H94)*X20</f>
        <v>0</v>
      </c>
    </row>
    <row r="21" spans="1:25" ht="16" thickBot="1">
      <c r="A21" t="s">
        <v>529</v>
      </c>
      <c r="B21" s="2" t="s">
        <v>554</v>
      </c>
      <c r="C21" s="235">
        <v>0</v>
      </c>
      <c r="D21" s="270">
        <f>C21</f>
        <v>0</v>
      </c>
      <c r="F21" s="4">
        <f t="shared" si="2"/>
        <v>0</v>
      </c>
      <c r="H21" s="263">
        <f t="shared" si="1"/>
        <v>0</v>
      </c>
      <c r="S21" t="s">
        <v>538</v>
      </c>
      <c r="T21">
        <v>2</v>
      </c>
      <c r="U21">
        <v>1500000</v>
      </c>
      <c r="V21">
        <v>10</v>
      </c>
      <c r="X21">
        <v>500</v>
      </c>
      <c r="Y21">
        <f>H27*X21</f>
        <v>0</v>
      </c>
    </row>
    <row r="22" spans="1:25" ht="16" thickBot="1">
      <c r="A22" t="s">
        <v>534</v>
      </c>
      <c r="B22" s="2"/>
      <c r="C22" s="235">
        <v>0</v>
      </c>
      <c r="D22" s="270">
        <f>C22</f>
        <v>0</v>
      </c>
      <c r="F22" s="4">
        <f t="shared" ref="F22:F27" si="3">C22*U16</f>
        <v>0</v>
      </c>
      <c r="H22" s="263">
        <f t="shared" ref="H22:H27" si="4">C22*V16</f>
        <v>0</v>
      </c>
      <c r="S22" t="s">
        <v>584</v>
      </c>
      <c r="T22">
        <v>20</v>
      </c>
      <c r="U22">
        <v>25000</v>
      </c>
      <c r="V22">
        <v>10</v>
      </c>
      <c r="X22">
        <v>250</v>
      </c>
      <c r="Y22">
        <f>H33*X22</f>
        <v>0</v>
      </c>
    </row>
    <row r="23" spans="1:25" ht="16" thickBot="1">
      <c r="A23" t="s">
        <v>535</v>
      </c>
      <c r="B23" s="2"/>
      <c r="C23" s="235">
        <v>7</v>
      </c>
      <c r="D23" s="270">
        <f>C23*2</f>
        <v>14</v>
      </c>
      <c r="F23" s="4">
        <f t="shared" si="3"/>
        <v>3500000</v>
      </c>
      <c r="H23" s="263">
        <f t="shared" si="4"/>
        <v>28</v>
      </c>
      <c r="S23" t="s">
        <v>547</v>
      </c>
      <c r="T23">
        <v>6</v>
      </c>
      <c r="U23">
        <v>250000</v>
      </c>
      <c r="V23">
        <v>4</v>
      </c>
      <c r="X23">
        <v>250</v>
      </c>
      <c r="Y23">
        <f>H30*X23</f>
        <v>0</v>
      </c>
    </row>
    <row r="24" spans="1:25" ht="16" thickBot="1">
      <c r="A24" t="s">
        <v>549</v>
      </c>
      <c r="B24" s="2"/>
      <c r="C24" s="235">
        <v>0</v>
      </c>
      <c r="D24" s="270">
        <f>C24</f>
        <v>0</v>
      </c>
      <c r="F24" s="4">
        <f t="shared" si="3"/>
        <v>0</v>
      </c>
      <c r="H24" s="263">
        <f t="shared" si="4"/>
        <v>0</v>
      </c>
    </row>
    <row r="25" spans="1:25" ht="16" thickBot="1">
      <c r="A25" t="s">
        <v>536</v>
      </c>
      <c r="B25" s="2"/>
      <c r="C25" s="235">
        <v>0</v>
      </c>
      <c r="D25" s="270">
        <f>C25*2</f>
        <v>0</v>
      </c>
      <c r="F25" s="4">
        <f t="shared" si="3"/>
        <v>0</v>
      </c>
      <c r="H25" s="263">
        <f t="shared" si="4"/>
        <v>0</v>
      </c>
      <c r="S25" t="s">
        <v>399</v>
      </c>
      <c r="Y25" t="s">
        <v>541</v>
      </c>
    </row>
    <row r="26" spans="1:25" ht="16" thickBot="1">
      <c r="A26" t="s">
        <v>537</v>
      </c>
      <c r="C26" s="235">
        <v>0</v>
      </c>
      <c r="D26" s="270">
        <f>C26</f>
        <v>0</v>
      </c>
      <c r="F26" s="4">
        <f t="shared" si="3"/>
        <v>0</v>
      </c>
      <c r="H26" s="263">
        <f t="shared" si="4"/>
        <v>0</v>
      </c>
      <c r="S26" s="263">
        <f>SUM(H15:H71)</f>
        <v>35</v>
      </c>
      <c r="Y26">
        <f>SUM(D21:D28,B9:B11,C33*T22,C32*6,SUM('9b-Optional'!C91:C94))</f>
        <v>14</v>
      </c>
    </row>
    <row r="27" spans="1:25" ht="16" thickBot="1">
      <c r="A27" t="s">
        <v>538</v>
      </c>
      <c r="C27" s="235">
        <v>0</v>
      </c>
      <c r="D27" s="270">
        <f>C27*2</f>
        <v>0</v>
      </c>
      <c r="F27" s="4">
        <f t="shared" si="3"/>
        <v>0</v>
      </c>
      <c r="H27" s="263">
        <f t="shared" si="4"/>
        <v>0</v>
      </c>
      <c r="Y27">
        <f>'9b-Optional'!H19*2</f>
        <v>0</v>
      </c>
    </row>
    <row r="28" spans="1:25" ht="16" thickBot="1">
      <c r="A28" s="197" t="s">
        <v>2096</v>
      </c>
      <c r="B28" s="2" t="str">
        <f>IF(T14=6,"Cramped","Hot Bunked")&amp;" Housing for "&amp;T14</f>
        <v>Cramped Housing for 6</v>
      </c>
      <c r="C28" s="235">
        <v>0</v>
      </c>
      <c r="D28" s="2">
        <f>C28*T14</f>
        <v>0</v>
      </c>
      <c r="F28" s="4">
        <f>C28*U13</f>
        <v>0</v>
      </c>
      <c r="H28" s="263">
        <f>C28*V12</f>
        <v>0</v>
      </c>
      <c r="S28" t="s">
        <v>400</v>
      </c>
      <c r="Y28">
        <f>IF(Y27&gt;Y26,0,Y26-Y27)</f>
        <v>14</v>
      </c>
    </row>
    <row r="29" spans="1:25" ht="16" thickBot="1">
      <c r="A29" t="s">
        <v>2412</v>
      </c>
      <c r="B29" s="2" t="s">
        <v>2413</v>
      </c>
      <c r="C29" s="235">
        <v>0</v>
      </c>
      <c r="D29" s="2">
        <f>C29*T15</f>
        <v>0</v>
      </c>
      <c r="F29" s="4">
        <f>C29*U15</f>
        <v>0</v>
      </c>
      <c r="H29" s="462">
        <f>C29*V15</f>
        <v>0</v>
      </c>
    </row>
    <row r="30" spans="1:25">
      <c r="A30" t="s">
        <v>586</v>
      </c>
      <c r="F30" s="4"/>
      <c r="S30">
        <f>SUM(K15:K77)</f>
        <v>0</v>
      </c>
    </row>
    <row r="31" spans="1:25" ht="16" thickBot="1">
      <c r="F31" s="4"/>
    </row>
    <row r="32" spans="1:25" ht="16" thickBot="1">
      <c r="A32" t="s">
        <v>547</v>
      </c>
      <c r="B32" t="s">
        <v>548</v>
      </c>
      <c r="C32" s="235">
        <v>0</v>
      </c>
      <c r="D32" s="2" t="str">
        <f>C32*6&amp;"("&amp;C32*12&amp;")"</f>
        <v>0(0)</v>
      </c>
      <c r="F32" s="4">
        <f>C32*U23</f>
        <v>0</v>
      </c>
      <c r="H32" s="263">
        <f>C32*V23</f>
        <v>0</v>
      </c>
      <c r="S32" s="263">
        <f>SUM(C6:C11,'9b-Optional'!C91:C94)</f>
        <v>14</v>
      </c>
    </row>
    <row r="33" spans="1:22" ht="16" thickBot="1">
      <c r="A33" t="s">
        <v>496</v>
      </c>
      <c r="B33" t="s">
        <v>585</v>
      </c>
      <c r="C33" s="235">
        <v>0</v>
      </c>
      <c r="D33" s="2" t="str">
        <f>IF(C33&gt;0,C33*T22&amp;"("&amp;C33*T22/2&amp;") Livestock","")</f>
        <v/>
      </c>
      <c r="F33" s="4">
        <f>C33*U22</f>
        <v>0</v>
      </c>
      <c r="H33" s="263">
        <f>C33*V22</f>
        <v>0</v>
      </c>
      <c r="R33" t="s">
        <v>33</v>
      </c>
      <c r="S33" t="str">
        <f>"Capacity: "&amp;S32&amp;IF(C15&gt;0,", "&amp;C15&amp;"x "&amp;A15,"")&amp;IF(C16&gt;0,", "&amp;C16&amp;"x "&amp;A16,"")&amp;IF(C17&gt;0,", "&amp;C17&amp;"x "&amp;A17,"")&amp;IF(C18&gt;0,", "&amp;C18&amp;"x "&amp;A18,"")&amp;IF(C19&gt;0,", "&amp;C19&amp;"x "&amp;A19,"")&amp;IF(C20&gt;0,", "&amp;C20&amp;" tons of "&amp;A20,"")&amp;IF(C21&gt;0,", "&amp;C21&amp;"x "&amp;A21,"")&amp;IF(S35&gt;0,", "&amp;S35&amp;"x Standard Staterooms","")&amp;""&amp;IF(S36&gt;0,", "&amp;S36&amp;"x High Staterooms","")&amp;""&amp;IF(S37&gt;0,", "&amp;S37&amp;"x Luxury Staterooms","")&amp;IF(SUM(T34:T37)=0,"","Residential Zones: "&amp;IF(T34=0,"",T34&amp;"x Low Quality;")&amp;IF(T35=0,"",T35&amp;"x Medium Quality;")&amp;IF(T36=0,"",T36&amp;"x High Quality;")&amp;IF(T37=0,"",T37&amp;"x Luxury Quality"))&amp;IF(C32&gt;0,", "&amp;C32&amp;"x "&amp;A32,"")&amp;""&amp;IF(C34&gt;0,", "&amp;C34&amp;"x tons "&amp;A34,"")&amp;""&amp;IF(C33&gt;0,", "&amp;C33&amp;"x "&amp;A33,"")&amp;""&amp;IF(C58=S3,", Armored Bulkheads","")&amp;""&amp;IF(C59=S3,", EMP Hardened","")&amp;IF(C62=S54,"",", "&amp;C62&amp;" "&amp;B62)&amp;IF(C63=0,"",", "&amp;C63&amp;"x Distillery Units")&amp;IF(C64=0,"",", Gourmet Kitchen, cap: "&amp;C64)&amp;IF(C65=0,"",", Hot Tub for "&amp;C65)&amp;IF(C66=0,"",", "&amp;C66&amp;"x "&amp;B66)&amp;IF(C67=0,"",", "&amp;H67&amp;" dtons "&amp;B67)&amp;IF(C68=0,"",", "&amp;H68&amp;" dton "&amp;B68)&amp;IF(C68=0,"",", "&amp;H69&amp;" dton "&amp;B69)&amp;IF(C70=0,"",", "&amp;C70&amp;"x "&amp;B70)&amp;IF(C71=0,"",", "&amp;C71&amp;" dtons "&amp;B71)</f>
        <v>Capacity: 14, 7x Standard Staterooms, Gourmet Kitchen, cap: 6, Hot Tub for 4</v>
      </c>
    </row>
    <row r="34" spans="1:22" ht="16" thickBot="1">
      <c r="A34" t="s">
        <v>555</v>
      </c>
      <c r="B34" t="s">
        <v>556</v>
      </c>
      <c r="C34" s="235">
        <v>0</v>
      </c>
      <c r="F34" s="4"/>
      <c r="T34" s="263">
        <f>'9b-Optional'!C91</f>
        <v>0</v>
      </c>
      <c r="U34" t="s">
        <v>518</v>
      </c>
    </row>
    <row r="35" spans="1:22">
      <c r="B35" t="s">
        <v>557</v>
      </c>
      <c r="F35" s="4">
        <f>H35*500000</f>
        <v>0</v>
      </c>
      <c r="H35" s="4">
        <f>C34*0.05</f>
        <v>0</v>
      </c>
      <c r="K35" s="263">
        <f>H35</f>
        <v>0</v>
      </c>
      <c r="S35">
        <f>SUM(C22:C23)</f>
        <v>7</v>
      </c>
      <c r="T35">
        <f>'9b-Optional'!C92</f>
        <v>0</v>
      </c>
      <c r="U35" t="s">
        <v>328</v>
      </c>
    </row>
    <row r="36" spans="1:22" ht="16" thickBot="1">
      <c r="A36" s="3" t="s">
        <v>2434</v>
      </c>
      <c r="C36" s="2">
        <f>C34-C37-C38-C39-C40*4-C41*6-C42*10-C43*4-C44*10-C45-C46-C48-C49-C50-C51-C52-C53-C54-C55-C56</f>
        <v>0</v>
      </c>
      <c r="S36">
        <f>SUM(C24:C25)</f>
        <v>0</v>
      </c>
      <c r="T36">
        <f>'9b-Optional'!C93</f>
        <v>0</v>
      </c>
      <c r="U36" t="s">
        <v>521</v>
      </c>
    </row>
    <row r="37" spans="1:22" ht="16" thickBot="1">
      <c r="A37" t="str">
        <f>"Available: "&amp;'12-Cargo'!$D$54</f>
        <v>Available: 13</v>
      </c>
      <c r="B37" t="s">
        <v>2429</v>
      </c>
      <c r="C37" s="235">
        <v>0</v>
      </c>
      <c r="F37" s="4"/>
      <c r="S37">
        <f>SUM(C26:C27)</f>
        <v>0</v>
      </c>
      <c r="T37">
        <f>'9b-Optional'!C94</f>
        <v>0</v>
      </c>
      <c r="U37" t="s">
        <v>1397</v>
      </c>
    </row>
    <row r="38" spans="1:22" ht="16" thickBot="1">
      <c r="A38" s="22" t="str">
        <f>"Available: "&amp;C21</f>
        <v>Available: 0</v>
      </c>
      <c r="B38" s="22" t="s">
        <v>529</v>
      </c>
      <c r="C38" s="205">
        <v>0</v>
      </c>
    </row>
    <row r="39" spans="1:22" ht="16" thickBot="1">
      <c r="A39" t="str">
        <f>"Available: "&amp;C20</f>
        <v>Available: 0</v>
      </c>
      <c r="B39" t="s">
        <v>2430</v>
      </c>
      <c r="C39" s="235">
        <v>0</v>
      </c>
      <c r="S39" t="s">
        <v>926</v>
      </c>
      <c r="T39">
        <f>IF(U39&gt;V39,1,0)</f>
        <v>0</v>
      </c>
      <c r="U39">
        <f>SUM(B6:B11)</f>
        <v>13</v>
      </c>
      <c r="V39">
        <f>SUM(C6:C11)+IF(OR('2-Drives'!B25='2-Drives'!S5,B10&gt;0),C6,0)</f>
        <v>14</v>
      </c>
    </row>
    <row r="40" spans="1:22" ht="16" thickBot="1">
      <c r="A40" s="22" t="str">
        <f>"Available: "&amp;SUM(C22:C23)</f>
        <v>Available: 7</v>
      </c>
      <c r="B40" s="22" t="s">
        <v>2431</v>
      </c>
      <c r="C40" s="340">
        <v>0</v>
      </c>
    </row>
    <row r="41" spans="1:22" ht="16" thickBot="1">
      <c r="A41" t="str">
        <f>"Available: "&amp;SUM(C24:C25)</f>
        <v>Available: 0</v>
      </c>
      <c r="B41" t="s">
        <v>2432</v>
      </c>
      <c r="C41" s="235">
        <v>0</v>
      </c>
    </row>
    <row r="42" spans="1:22" ht="16" thickBot="1">
      <c r="A42" s="22" t="str">
        <f>"Available: "&amp;SUM(C26:C27)</f>
        <v>Available: 0</v>
      </c>
      <c r="B42" s="22" t="s">
        <v>2433</v>
      </c>
      <c r="C42" s="340">
        <v>0</v>
      </c>
      <c r="S42" t="s">
        <v>1222</v>
      </c>
      <c r="T42">
        <f>VLOOKUP('5-Bridge'!A9,'11-Staterooms'!S43:T48,2)</f>
        <v>3</v>
      </c>
    </row>
    <row r="43" spans="1:22" ht="16" thickBot="1">
      <c r="A43" t="str">
        <f>"Available: "&amp;C32</f>
        <v>Available: 0</v>
      </c>
      <c r="B43" t="s">
        <v>2435</v>
      </c>
      <c r="C43" s="198">
        <v>0</v>
      </c>
      <c r="S43" t="s">
        <v>81</v>
      </c>
      <c r="T43">
        <v>1</v>
      </c>
    </row>
    <row r="44" spans="1:22" ht="16" thickBot="1">
      <c r="A44" s="22" t="str">
        <f>"Available: "&amp;C33</f>
        <v>Available: 0</v>
      </c>
      <c r="B44" s="22" t="s">
        <v>2440</v>
      </c>
      <c r="C44" s="524">
        <v>0</v>
      </c>
      <c r="S44" t="s">
        <v>82</v>
      </c>
    </row>
    <row r="45" spans="1:22" ht="16" thickBot="1">
      <c r="A45" t="str">
        <f t="shared" ref="A45:A51" si="5">"Available: "&amp;U74</f>
        <v>Available: 48</v>
      </c>
      <c r="B45" t="s">
        <v>2441</v>
      </c>
      <c r="C45" s="198">
        <v>0</v>
      </c>
      <c r="S45" t="s">
        <v>129</v>
      </c>
      <c r="T45">
        <v>3</v>
      </c>
    </row>
    <row r="46" spans="1:22" ht="16" thickBot="1">
      <c r="A46" s="22" t="str">
        <f t="shared" si="5"/>
        <v>Available: 20</v>
      </c>
      <c r="B46" s="22" t="s">
        <v>2442</v>
      </c>
      <c r="C46" s="205">
        <v>0</v>
      </c>
      <c r="S46" t="s">
        <v>84</v>
      </c>
      <c r="T46">
        <v>2</v>
      </c>
    </row>
    <row r="47" spans="1:22" ht="16" thickBot="1">
      <c r="A47" t="str">
        <f t="shared" si="5"/>
        <v>Available: 32</v>
      </c>
      <c r="B47" t="s">
        <v>2450</v>
      </c>
      <c r="C47" s="198">
        <v>0</v>
      </c>
      <c r="S47" t="s">
        <v>85</v>
      </c>
      <c r="T47">
        <v>2</v>
      </c>
    </row>
    <row r="48" spans="1:22" ht="16" thickBot="1">
      <c r="A48" s="22" t="str">
        <f t="shared" si="5"/>
        <v>Available: 3</v>
      </c>
      <c r="B48" s="22" t="s">
        <v>2443</v>
      </c>
      <c r="C48" s="205">
        <v>0</v>
      </c>
      <c r="S48" t="s">
        <v>79</v>
      </c>
      <c r="T48">
        <v>3</v>
      </c>
    </row>
    <row r="49" spans="1:21" ht="16" thickBot="1">
      <c r="A49" t="str">
        <f t="shared" si="5"/>
        <v>Available: 0</v>
      </c>
      <c r="B49" t="s">
        <v>2445</v>
      </c>
      <c r="C49" s="198">
        <v>0</v>
      </c>
    </row>
    <row r="50" spans="1:21" ht="16" thickBot="1">
      <c r="A50" s="22" t="str">
        <f t="shared" si="5"/>
        <v>Available: 28</v>
      </c>
      <c r="B50" s="22" t="s">
        <v>2444</v>
      </c>
      <c r="C50" s="205">
        <v>0</v>
      </c>
      <c r="S50" t="s">
        <v>1223</v>
      </c>
      <c r="T50">
        <f>'10-Crew'!E5+'10-Crew'!E7-IF('1-Hull'!B4&lt;100,T42,0)</f>
        <v>13</v>
      </c>
    </row>
    <row r="51" spans="1:21" ht="16" thickBot="1">
      <c r="A51" t="str">
        <f t="shared" si="5"/>
        <v>Available: 21</v>
      </c>
      <c r="B51" t="s">
        <v>2449</v>
      </c>
      <c r="C51" s="198">
        <v>0</v>
      </c>
      <c r="S51" t="s">
        <v>1213</v>
      </c>
      <c r="T51" s="3">
        <f>IF(T50&lt;0,0,T50)</f>
        <v>13</v>
      </c>
    </row>
    <row r="52" spans="1:21" ht="16" thickBot="1">
      <c r="A52" s="413" t="s">
        <v>2447</v>
      </c>
      <c r="B52" s="206"/>
      <c r="C52" s="205">
        <v>0</v>
      </c>
    </row>
    <row r="53" spans="1:21" ht="16" thickBot="1">
      <c r="A53" s="9" t="s">
        <v>2447</v>
      </c>
      <c r="B53" s="197"/>
      <c r="C53" s="198">
        <v>0</v>
      </c>
      <c r="S53" t="s">
        <v>1394</v>
      </c>
    </row>
    <row r="54" spans="1:21" ht="16" thickBot="1">
      <c r="A54" s="413" t="s">
        <v>2447</v>
      </c>
      <c r="B54" s="206"/>
      <c r="C54" s="205">
        <v>0</v>
      </c>
      <c r="S54" t="s">
        <v>89</v>
      </c>
      <c r="T54">
        <v>0</v>
      </c>
      <c r="U54">
        <v>0</v>
      </c>
    </row>
    <row r="55" spans="1:21" ht="16" thickBot="1">
      <c r="A55" s="9" t="s">
        <v>2447</v>
      </c>
      <c r="B55" s="197"/>
      <c r="C55" s="198">
        <v>0</v>
      </c>
      <c r="S55" t="s">
        <v>1395</v>
      </c>
      <c r="T55">
        <v>100</v>
      </c>
      <c r="U55">
        <v>1</v>
      </c>
    </row>
    <row r="56" spans="1:21" ht="16" thickBot="1">
      <c r="A56" s="413" t="s">
        <v>2447</v>
      </c>
      <c r="B56" s="206"/>
      <c r="C56" s="205">
        <v>0</v>
      </c>
      <c r="S56" t="s">
        <v>1399</v>
      </c>
      <c r="T56">
        <v>500</v>
      </c>
      <c r="U56">
        <v>3</v>
      </c>
    </row>
    <row r="57" spans="1:21" ht="16" thickBot="1">
      <c r="S57" t="s">
        <v>1396</v>
      </c>
      <c r="T57">
        <v>1250</v>
      </c>
      <c r="U57">
        <v>5</v>
      </c>
    </row>
    <row r="58" spans="1:21" ht="16" thickBot="1">
      <c r="B58" s="7" t="s">
        <v>98</v>
      </c>
      <c r="C58" s="198" t="s">
        <v>99</v>
      </c>
      <c r="F58" s="4">
        <f>200000*H58</f>
        <v>0</v>
      </c>
      <c r="H58" s="263">
        <f>IF(C58="Yes",0.1*SUM(H15:H35,H62:H71),0)</f>
        <v>0</v>
      </c>
      <c r="S58" t="s">
        <v>1400</v>
      </c>
      <c r="T58">
        <v>5000</v>
      </c>
      <c r="U58">
        <v>7</v>
      </c>
    </row>
    <row r="59" spans="1:21" ht="16" thickBot="1">
      <c r="B59" s="7" t="s">
        <v>423</v>
      </c>
      <c r="C59" s="198" t="s">
        <v>99</v>
      </c>
      <c r="F59" s="4">
        <f>IF(C59="Yes",SUM(F18:F19,F35)*0.5,0)</f>
        <v>0</v>
      </c>
      <c r="S59" t="s">
        <v>1401</v>
      </c>
      <c r="T59">
        <v>8000</v>
      </c>
      <c r="U59">
        <v>9</v>
      </c>
    </row>
    <row r="60" spans="1:21">
      <c r="F60" s="4"/>
      <c r="S60" t="s">
        <v>1397</v>
      </c>
      <c r="T60">
        <v>10000</v>
      </c>
      <c r="U60" t="s">
        <v>1405</v>
      </c>
    </row>
    <row r="61" spans="1:21" ht="20" thickBot="1">
      <c r="B61" s="262" t="s">
        <v>1393</v>
      </c>
      <c r="C61" s="2"/>
    </row>
    <row r="62" spans="1:21" ht="16" thickBot="1">
      <c r="B62" s="261" t="s">
        <v>1398</v>
      </c>
      <c r="C62" s="198" t="s">
        <v>89</v>
      </c>
      <c r="D62" t="str">
        <f>"Attracts SOC: "&amp;INDEX(S54:U60,MATCH(C62,S54:S60,0),3)&amp;"*"</f>
        <v>Attracts SOC: 0*</v>
      </c>
      <c r="F62" s="4">
        <f>INDEX(S54:T60,MATCH(C62,S54:S60,0),2)</f>
        <v>0</v>
      </c>
      <c r="H62" s="263">
        <v>0</v>
      </c>
    </row>
    <row r="63" spans="1:21" ht="16" thickBot="1">
      <c r="B63" s="2" t="s">
        <v>1402</v>
      </c>
      <c r="C63" s="235">
        <v>0</v>
      </c>
      <c r="D63" t="str">
        <f>IF(C63=0,"# of Units",C63&amp;"xD6 liters/week")</f>
        <v># of Units</v>
      </c>
      <c r="F63" s="4">
        <f>C63*100000</f>
        <v>0</v>
      </c>
      <c r="H63" s="263">
        <f>C63*0.5</f>
        <v>0</v>
      </c>
      <c r="S63" t="s">
        <v>2067</v>
      </c>
      <c r="T63">
        <f>SUM(T64:T77)</f>
        <v>0</v>
      </c>
    </row>
    <row r="64" spans="1:21" ht="16" thickBot="1">
      <c r="B64" s="2" t="s">
        <v>1403</v>
      </c>
      <c r="C64" s="235">
        <v>6</v>
      </c>
      <c r="D64" t="str">
        <f>C64&amp;" diner capacity"</f>
        <v>6 diner capacity</v>
      </c>
      <c r="F64" s="4">
        <f>H64*200000</f>
        <v>1200000</v>
      </c>
      <c r="H64" s="263">
        <f>C64</f>
        <v>6</v>
      </c>
      <c r="S64" t="s">
        <v>2068</v>
      </c>
      <c r="T64">
        <f>IF(OR(B6&gt;C6+C7,B8&gt;C8,B10&gt;(C10+C7+C6-B6)),1,0)</f>
        <v>0</v>
      </c>
    </row>
    <row r="65" spans="2:21" ht="16" thickBot="1">
      <c r="B65" s="2" t="s">
        <v>1404</v>
      </c>
      <c r="C65" s="235">
        <v>4</v>
      </c>
      <c r="D65" t="str">
        <f>"Seating for "&amp;C65</f>
        <v>Seating for 4</v>
      </c>
      <c r="F65" s="4">
        <f>H65*12000</f>
        <v>12000</v>
      </c>
      <c r="H65" s="263">
        <f>C65*0.25</f>
        <v>1</v>
      </c>
      <c r="S65" t="s">
        <v>2436</v>
      </c>
      <c r="T65">
        <f>IF(C36&lt;0,1,0)</f>
        <v>0</v>
      </c>
    </row>
    <row r="66" spans="2:21" ht="16" thickBot="1">
      <c r="B66" s="2" t="s">
        <v>1407</v>
      </c>
      <c r="C66" s="235">
        <v>0</v>
      </c>
      <c r="D66" t="str">
        <f>"Room for "&amp;C66</f>
        <v>Room for 0</v>
      </c>
      <c r="F66" s="4">
        <f>C66*50000</f>
        <v>0</v>
      </c>
      <c r="H66" s="263">
        <f>C66*2</f>
        <v>0</v>
      </c>
      <c r="S66" t="s">
        <v>2437</v>
      </c>
      <c r="T66">
        <f>IF(C37&gt;'12-Cargo'!$D$54,1,0)</f>
        <v>0</v>
      </c>
    </row>
    <row r="67" spans="2:21" ht="16" thickBot="1">
      <c r="B67" s="2" t="s">
        <v>1406</v>
      </c>
      <c r="C67" s="235">
        <v>0</v>
      </c>
      <c r="D67" t="s">
        <v>1408</v>
      </c>
      <c r="F67" s="4">
        <f>H67*200000</f>
        <v>0</v>
      </c>
      <c r="H67" s="263">
        <f>IF(AND(C67&gt;0,C67&lt;4),4,C67)</f>
        <v>0</v>
      </c>
      <c r="S67" t="s">
        <v>2438</v>
      </c>
      <c r="T67">
        <f>IF(C38&gt;C21,1,0)</f>
        <v>0</v>
      </c>
    </row>
    <row r="68" spans="2:21" ht="16" thickBot="1">
      <c r="B68" s="2" t="s">
        <v>1409</v>
      </c>
      <c r="C68" s="235">
        <v>0</v>
      </c>
      <c r="D68" t="s">
        <v>1408</v>
      </c>
      <c r="F68" s="4">
        <f>H68*100000</f>
        <v>0</v>
      </c>
      <c r="H68" s="263">
        <f>IF(AND(C68&gt;0,C68&lt;8),8,C68)</f>
        <v>0</v>
      </c>
      <c r="S68" t="s">
        <v>2439</v>
      </c>
      <c r="T68">
        <f>IF(C39&gt;C20,1,0)</f>
        <v>0</v>
      </c>
    </row>
    <row r="69" spans="2:21" ht="16" thickBot="1">
      <c r="B69" s="2" t="s">
        <v>1410</v>
      </c>
      <c r="C69" s="235">
        <v>0</v>
      </c>
      <c r="D69" t="s">
        <v>1408</v>
      </c>
      <c r="F69" s="4">
        <f>H69*200000</f>
        <v>0</v>
      </c>
      <c r="H69" s="263">
        <f>IF(AND(C69&gt;0,C69&lt;8),8,C69)</f>
        <v>0</v>
      </c>
      <c r="S69" t="s">
        <v>520</v>
      </c>
      <c r="T69">
        <f>IF(C40&gt;SUM(C22:C23),1,0)</f>
        <v>0</v>
      </c>
    </row>
    <row r="70" spans="2:21" ht="16" thickBot="1">
      <c r="B70" s="2" t="s">
        <v>1411</v>
      </c>
      <c r="C70" s="235">
        <v>0</v>
      </c>
      <c r="D70" t="s">
        <v>308</v>
      </c>
      <c r="F70" s="4">
        <f>C70*2000</f>
        <v>0</v>
      </c>
      <c r="H70" s="263">
        <v>0</v>
      </c>
      <c r="S70" t="s">
        <v>521</v>
      </c>
      <c r="T70">
        <f>IF(C41&gt;SUM(C24:C25),1,0)</f>
        <v>0</v>
      </c>
    </row>
    <row r="71" spans="2:21" ht="16" thickBot="1">
      <c r="B71" s="2" t="s">
        <v>1412</v>
      </c>
      <c r="C71" s="235">
        <v>0</v>
      </c>
      <c r="D71" t="s">
        <v>1408</v>
      </c>
      <c r="F71" s="4">
        <f>IF(H71=0,0,50000)</f>
        <v>0</v>
      </c>
      <c r="H71" s="263">
        <f>C71</f>
        <v>0</v>
      </c>
      <c r="S71" t="s">
        <v>1397</v>
      </c>
      <c r="T71">
        <f>IF(C42&gt;SUM(C26:C27),1,0)</f>
        <v>0</v>
      </c>
    </row>
    <row r="72" spans="2:21">
      <c r="B72" s="2"/>
      <c r="C72" s="2"/>
      <c r="F72" s="4"/>
      <c r="S72" t="s">
        <v>547</v>
      </c>
      <c r="T72">
        <f>IF(C43&gt;C32,1,0)</f>
        <v>0</v>
      </c>
    </row>
    <row r="73" spans="2:21">
      <c r="B73" s="16" t="s">
        <v>1413</v>
      </c>
      <c r="C73" s="2"/>
      <c r="F73" s="4"/>
      <c r="S73" t="s">
        <v>496</v>
      </c>
      <c r="T73">
        <f>IF(C44&gt;C33,1,0)</f>
        <v>0</v>
      </c>
    </row>
    <row r="74" spans="2:21">
      <c r="S74" t="s">
        <v>49</v>
      </c>
      <c r="T74">
        <f>IF(C45&gt;U74,1,0)</f>
        <v>0</v>
      </c>
      <c r="U74">
        <f>ROUNDUP('2-Drives'!S63+'3-Pwr Plant'!S38,0)</f>
        <v>48</v>
      </c>
    </row>
    <row r="75" spans="2:21">
      <c r="S75" t="s">
        <v>78</v>
      </c>
      <c r="T75">
        <f t="shared" ref="T75:T80" si="6">IF(C46&gt;U75,1,0)</f>
        <v>0</v>
      </c>
      <c r="U75">
        <f>ROUNDUP('5-Bridge'!S17,0)</f>
        <v>20</v>
      </c>
    </row>
    <row r="76" spans="2:21">
      <c r="S76" t="s">
        <v>609</v>
      </c>
      <c r="T76">
        <f t="shared" si="6"/>
        <v>0</v>
      </c>
      <c r="U76">
        <f>ROUNDUP('7-Sensors'!S14,0)</f>
        <v>32</v>
      </c>
    </row>
    <row r="77" spans="2:21">
      <c r="S77" t="s">
        <v>307</v>
      </c>
      <c r="T77">
        <f t="shared" si="6"/>
        <v>0</v>
      </c>
      <c r="U77" s="4">
        <f>ROUNDUP('8a-Weapons'!N9,0)</f>
        <v>3</v>
      </c>
    </row>
    <row r="78" spans="2:21">
      <c r="S78" t="s">
        <v>408</v>
      </c>
      <c r="T78">
        <f t="shared" si="6"/>
        <v>0</v>
      </c>
      <c r="U78" s="263">
        <f>ROUNDUP('8b-Screens'!S40,0)</f>
        <v>0</v>
      </c>
    </row>
    <row r="79" spans="2:21">
      <c r="S79" t="s">
        <v>2448</v>
      </c>
      <c r="T79">
        <f t="shared" si="6"/>
        <v>0</v>
      </c>
      <c r="U79">
        <f>ROUNDUP('9a-Optional'!S29,0)</f>
        <v>28</v>
      </c>
    </row>
    <row r="80" spans="2:21">
      <c r="S80" t="s">
        <v>2446</v>
      </c>
      <c r="T80">
        <f t="shared" si="6"/>
        <v>0</v>
      </c>
      <c r="U80">
        <f>ROUNDUP('9b-Optional'!S10,0)</f>
        <v>21</v>
      </c>
    </row>
  </sheetData>
  <sheetProtection algorithmName="SHA-512" hashValue="81Ny0DfGY2I6o2rItgcFpI99qQ9Ybvyseb5wT3cUgY+4HZ5ljwqNgBCZNqa+nkAWVZf5LtMx9NfXs2eVr3P/Ag==" saltValue="CnMXrBRtUUC1paHi/zAPww==" spinCount="100000" sheet="1" selectLockedCells="1"/>
  <mergeCells count="2">
    <mergeCell ref="H4:I4"/>
    <mergeCell ref="K4:L4"/>
  </mergeCells>
  <conditionalFormatting sqref="A15:B15">
    <cfRule type="expression" dxfId="107" priority="45">
      <formula>$C$15&gt;0</formula>
    </cfRule>
  </conditionalFormatting>
  <conditionalFormatting sqref="A16:B16">
    <cfRule type="expression" dxfId="106" priority="44">
      <formula>$C$16&gt;0</formula>
    </cfRule>
  </conditionalFormatting>
  <conditionalFormatting sqref="A17:B17">
    <cfRule type="expression" dxfId="105" priority="43">
      <formula>$C$17&gt;0</formula>
    </cfRule>
  </conditionalFormatting>
  <conditionalFormatting sqref="A18:B18">
    <cfRule type="expression" dxfId="104" priority="42">
      <formula>$C$18&gt;0</formula>
    </cfRule>
  </conditionalFormatting>
  <conditionalFormatting sqref="A19:B19">
    <cfRule type="expression" dxfId="103" priority="41">
      <formula>$C$19&gt;0</formula>
    </cfRule>
  </conditionalFormatting>
  <conditionalFormatting sqref="A20:B20">
    <cfRule type="expression" dxfId="102" priority="544" stopIfTrue="1">
      <formula>$C$20&lt;SUM($H$21:$H$27)/4</formula>
    </cfRule>
    <cfRule type="expression" dxfId="101" priority="543" stopIfTrue="1">
      <formula>$C$20=0</formula>
    </cfRule>
    <cfRule type="expression" dxfId="100" priority="545">
      <formula>$C$20&gt;(SUM($H$21:$H$27)/4)-1</formula>
    </cfRule>
  </conditionalFormatting>
  <conditionalFormatting sqref="A21:B21">
    <cfRule type="expression" dxfId="99" priority="36">
      <formula>$C$21&gt;0</formula>
    </cfRule>
  </conditionalFormatting>
  <conditionalFormatting sqref="A22:B22">
    <cfRule type="expression" dxfId="98" priority="32">
      <formula>$C$22&gt;0</formula>
    </cfRule>
  </conditionalFormatting>
  <conditionalFormatting sqref="A23:B23">
    <cfRule type="expression" dxfId="97" priority="31">
      <formula>$C$23&gt;0</formula>
    </cfRule>
  </conditionalFormatting>
  <conditionalFormatting sqref="A24:B24">
    <cfRule type="expression" dxfId="96" priority="30">
      <formula>$C$24&gt;0</formula>
    </cfRule>
  </conditionalFormatting>
  <conditionalFormatting sqref="A25:B25">
    <cfRule type="expression" dxfId="95" priority="29">
      <formula>$C$25&gt;0</formula>
    </cfRule>
  </conditionalFormatting>
  <conditionalFormatting sqref="A26:B26">
    <cfRule type="expression" dxfId="94" priority="28">
      <formula>$C$26&gt;0</formula>
    </cfRule>
  </conditionalFormatting>
  <conditionalFormatting sqref="A27:B27">
    <cfRule type="expression" dxfId="93" priority="27">
      <formula>$C$27&gt;0</formula>
    </cfRule>
  </conditionalFormatting>
  <conditionalFormatting sqref="A28:B28">
    <cfRule type="expression" dxfId="92" priority="16">
      <formula>$C$28&gt;0</formula>
    </cfRule>
  </conditionalFormatting>
  <conditionalFormatting sqref="A29:B29">
    <cfRule type="expression" dxfId="91" priority="15">
      <formula>$C$29&gt;0</formula>
    </cfRule>
  </conditionalFormatting>
  <conditionalFormatting sqref="A32:B32">
    <cfRule type="expression" dxfId="90" priority="26">
      <formula>$C$32&gt;0</formula>
    </cfRule>
  </conditionalFormatting>
  <conditionalFormatting sqref="A33:B33">
    <cfRule type="expression" dxfId="89" priority="24">
      <formula>$C$33&gt;0</formula>
    </cfRule>
  </conditionalFormatting>
  <conditionalFormatting sqref="A34:B34 B35">
    <cfRule type="expression" dxfId="88" priority="25">
      <formula>$C$34&gt;0</formula>
    </cfRule>
  </conditionalFormatting>
  <conditionalFormatting sqref="A36:C36">
    <cfRule type="expression" dxfId="87" priority="12">
      <formula>$C$36&lt;0</formula>
    </cfRule>
  </conditionalFormatting>
  <conditionalFormatting sqref="B62">
    <cfRule type="expression" dxfId="86" priority="18">
      <formula>$C$62=$S$54</formula>
    </cfRule>
  </conditionalFormatting>
  <conditionalFormatting sqref="B63:B71">
    <cfRule type="expression" dxfId="85" priority="19">
      <formula>$C63&gt;0</formula>
    </cfRule>
  </conditionalFormatting>
  <conditionalFormatting sqref="B38:C38">
    <cfRule type="expression" dxfId="83" priority="6">
      <formula>$C$38&gt;$C$21</formula>
    </cfRule>
  </conditionalFormatting>
  <conditionalFormatting sqref="B39:C39">
    <cfRule type="expression" dxfId="82" priority="10">
      <formula>$C$39&gt;$C$20</formula>
    </cfRule>
  </conditionalFormatting>
  <conditionalFormatting sqref="B40:C40">
    <cfRule type="expression" dxfId="81" priority="9">
      <formula>$C$40&gt;SUM($C$22:$C$23)</formula>
    </cfRule>
  </conditionalFormatting>
  <conditionalFormatting sqref="B41:C41">
    <cfRule type="expression" dxfId="80" priority="8">
      <formula>$C$41&gt;SUM($C$24:$C$25)</formula>
    </cfRule>
  </conditionalFormatting>
  <conditionalFormatting sqref="B42:C42">
    <cfRule type="expression" dxfId="79" priority="7">
      <formula>$C$42&gt;SUM($C$26:$C$27)</formula>
    </cfRule>
  </conditionalFormatting>
  <conditionalFormatting sqref="B43:C43">
    <cfRule type="expression" dxfId="78" priority="5">
      <formula>$C$43&gt;$C$32</formula>
    </cfRule>
  </conditionalFormatting>
  <conditionalFormatting sqref="B44:C44">
    <cfRule type="expression" dxfId="77" priority="4">
      <formula>$C$44&gt;$C$33</formula>
    </cfRule>
  </conditionalFormatting>
  <conditionalFormatting sqref="B45:C51">
    <cfRule type="expression" dxfId="76" priority="1">
      <formula>$T74&gt;0</formula>
    </cfRule>
  </conditionalFormatting>
  <conditionalFormatting sqref="C6">
    <cfRule type="expression" dxfId="75" priority="20">
      <formula>$C$6+$C$7&lt;$B$6</formula>
    </cfRule>
  </conditionalFormatting>
  <conditionalFormatting sqref="C8">
    <cfRule type="expression" dxfId="74" priority="14">
      <formula>$B$8&gt;$C$8</formula>
    </cfRule>
  </conditionalFormatting>
  <conditionalFormatting sqref="C10">
    <cfRule type="expression" dxfId="73" priority="13">
      <formula>AND($B$10&gt;0,$B$10&gt;($C$10+$C$7+$C$6-$B$6))</formula>
    </cfRule>
  </conditionalFormatting>
  <conditionalFormatting sqref="H6">
    <cfRule type="expression" dxfId="72" priority="23">
      <formula>$H$6&lt;0</formula>
    </cfRule>
  </conditionalFormatting>
  <conditionalFormatting sqref="K6">
    <cfRule type="expression" dxfId="71" priority="22">
      <formula>$K$6&lt;0</formula>
    </cfRule>
  </conditionalFormatting>
  <conditionalFormatting sqref="M20:R20 Z20">
    <cfRule type="expression" dxfId="70" priority="17">
      <formula>$C$20&gt;0</formula>
    </cfRule>
  </conditionalFormatting>
  <dataValidations count="8">
    <dataValidation type="whole" operator="greaterThanOrEqual" allowBlank="1" showInputMessage="1" showErrorMessage="1" sqref="C32 C15:C19 C63:C66 C21:C29" xr:uid="{955ABFB7-A698-4B29-AD28-9BA7027ADC55}">
      <formula1>0</formula1>
    </dataValidation>
    <dataValidation type="decimal" operator="greaterThanOrEqual" allowBlank="1" showInputMessage="1" showErrorMessage="1" prompt="Quantity is tons of usable part of the ship capable of supporting Multi-Environment conditions. player and referee must designate which areas are Multi-Environment on their ship's layouts at the rate of two squares per ton of M.E. Space." sqref="C34" xr:uid="{6445F43A-9D1F-460E-87DF-2F0226B4E53A}">
      <formula1>0</formula1>
    </dataValidation>
    <dataValidation type="list" allowBlank="1" showInputMessage="1" showErrorMessage="1" sqref="C58:C59 C3:C4 C12" xr:uid="{2C6836D4-D65A-4A3E-9CA9-83D837A69A2D}">
      <formula1>$S$2:$S$3</formula1>
    </dataValidation>
    <dataValidation type="whole" operator="greaterThanOrEqual" allowBlank="1" showInputMessage="1" showErrorMessage="1" prompt="Number of 10 ton stables." sqref="C33" xr:uid="{1471198A-51F7-4BA3-BAB7-A81F098F08B6}">
      <formula1>0</formula1>
    </dataValidation>
    <dataValidation type="decimal" operator="greaterThanOrEqual" allowBlank="1" showInputMessage="1" showErrorMessage="1" sqref="C20 C67:C69 C71" xr:uid="{8662BF93-9CB4-446E-A114-DD92E4D9A63B}">
      <formula1>0</formula1>
    </dataValidation>
    <dataValidation type="list" allowBlank="1" showInputMessage="1" showErrorMessage="1" sqref="C62" xr:uid="{C9C2C96F-69FC-40E0-A4B1-E9B7F28EFB05}">
      <formula1>$S$54:$S$60</formula1>
    </dataValidation>
    <dataValidation type="whole" allowBlank="1" showInputMessage="1" showErrorMessage="1" error="Limited by common area" prompt="Max = Common Area tonnage" sqref="C70" xr:uid="{E5226AD1-7CA0-4215-B0D5-112EC7342A77}">
      <formula1>0</formula1>
      <formula2>C20</formula2>
    </dataValidation>
    <dataValidation type="list" allowBlank="1" showInputMessage="1" showErrorMessage="1" sqref="A28" xr:uid="{D53BF1EE-C910-45AC-83ED-56D93727A854}">
      <formula1>$S$12:$S$13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1" id="{3F980D94-C669-4189-82FE-E51C21788364}">
            <xm:f>$C$37&gt;'12-Cargo'!$D$54</xm:f>
            <x14:dxf>
              <fill>
                <patternFill>
                  <bgColor rgb="FFFF0000"/>
                </patternFill>
              </fill>
            </x14:dxf>
          </x14:cfRule>
          <xm:sqref>B37:C37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AAFC-26F2-4ADE-8944-9FC7E01AC7AE}">
  <dimension ref="A1:U54"/>
  <sheetViews>
    <sheetView workbookViewId="0">
      <selection activeCell="B18" sqref="B1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2.6640625" customWidth="1"/>
    <col min="9" max="9" width="11" customWidth="1"/>
    <col min="11" max="11" width="11.6640625" customWidth="1"/>
    <col min="12" max="12" width="10.6640625" customWidth="1"/>
    <col min="19" max="19" width="27.6640625" hidden="1" customWidth="1"/>
    <col min="20" max="20" width="10.83203125" hidden="1" customWidth="1"/>
    <col min="21" max="21" width="9.1640625" hidden="1" customWidth="1"/>
    <col min="22" max="24" width="9.1640625" customWidth="1"/>
  </cols>
  <sheetData>
    <row r="1" spans="1:21">
      <c r="A1" s="3" t="str">
        <f>'Ship Info'!A1</f>
        <v>Ship's Class Name</v>
      </c>
      <c r="B1" t="str">
        <f>'Ship Info'!B1</f>
        <v>Zhodani Long Range Scout</v>
      </c>
      <c r="F1" s="1" t="s">
        <v>1</v>
      </c>
    </row>
    <row r="2" spans="1:21">
      <c r="A2" s="3" t="s">
        <v>432</v>
      </c>
      <c r="B2" t="str">
        <f>'Ship Info'!B2</f>
        <v>Scout</v>
      </c>
      <c r="D2" s="3" t="s">
        <v>0</v>
      </c>
      <c r="E2" s="2">
        <f>'Ship Info'!F2</f>
        <v>14</v>
      </c>
      <c r="F2" s="10">
        <f>'Ship Info'!G2</f>
        <v>621511800.00000012</v>
      </c>
    </row>
    <row r="3" spans="1:21">
      <c r="F3" s="10"/>
      <c r="G3" s="79"/>
      <c r="H3" s="506">
        <f>S19</f>
        <v>13.5</v>
      </c>
      <c r="I3" s="28"/>
      <c r="J3" s="79"/>
      <c r="K3" s="507">
        <f>S22</f>
        <v>0</v>
      </c>
      <c r="S3" t="s">
        <v>113</v>
      </c>
      <c r="T3" t="s">
        <v>99</v>
      </c>
    </row>
    <row r="4" spans="1:21">
      <c r="F4" s="508" t="s">
        <v>45</v>
      </c>
      <c r="H4" s="787" t="s">
        <v>46</v>
      </c>
      <c r="I4" s="787"/>
      <c r="K4" s="787" t="s">
        <v>47</v>
      </c>
      <c r="L4" s="787"/>
      <c r="S4" t="s">
        <v>283</v>
      </c>
      <c r="T4" t="s">
        <v>100</v>
      </c>
    </row>
    <row r="5" spans="1:21">
      <c r="F5" s="506">
        <f>SUM(F9:F50)</f>
        <v>100000</v>
      </c>
      <c r="H5" s="1" t="s">
        <v>403</v>
      </c>
      <c r="I5" s="1" t="s">
        <v>27</v>
      </c>
      <c r="K5" s="1" t="s">
        <v>403</v>
      </c>
      <c r="L5" s="1" t="s">
        <v>27</v>
      </c>
    </row>
    <row r="6" spans="1:21">
      <c r="C6" s="7" t="s">
        <v>598</v>
      </c>
      <c r="D6" s="270">
        <f>SUM(D15,D54)</f>
        <v>13</v>
      </c>
      <c r="G6" s="2"/>
      <c r="H6" s="10">
        <f>'Ship Info'!I3</f>
        <v>2.6000000000000227</v>
      </c>
      <c r="I6" s="270">
        <f>'Ship Info'!J3</f>
        <v>300</v>
      </c>
      <c r="J6" s="2"/>
      <c r="K6" s="270">
        <f>'Ship Info'!L3</f>
        <v>7</v>
      </c>
      <c r="L6" s="270">
        <f>'Ship Info'!M3</f>
        <v>250</v>
      </c>
    </row>
    <row r="7" spans="1:21">
      <c r="A7" s="22"/>
      <c r="B7" s="22"/>
      <c r="C7" s="22"/>
      <c r="D7" s="22"/>
      <c r="E7" s="22"/>
      <c r="F7" s="22"/>
      <c r="G7" s="22"/>
      <c r="H7" s="22"/>
      <c r="I7" s="22"/>
      <c r="J7" s="22"/>
      <c r="K7" s="22"/>
      <c r="L7" s="22"/>
      <c r="S7" t="s">
        <v>375</v>
      </c>
      <c r="T7">
        <v>0</v>
      </c>
      <c r="U7">
        <v>0</v>
      </c>
    </row>
    <row r="8" spans="1:21" ht="16" thickBot="1">
      <c r="A8" s="3" t="s">
        <v>436</v>
      </c>
      <c r="C8" s="1" t="s">
        <v>308</v>
      </c>
      <c r="D8" s="7" t="s">
        <v>588</v>
      </c>
      <c r="S8" t="s">
        <v>596</v>
      </c>
      <c r="T8">
        <v>7</v>
      </c>
      <c r="U8">
        <v>3000</v>
      </c>
    </row>
    <row r="9" spans="1:21" ht="16" thickBot="1">
      <c r="A9" s="251" t="s">
        <v>498</v>
      </c>
      <c r="B9" s="198" t="s">
        <v>283</v>
      </c>
      <c r="C9" s="235">
        <v>0</v>
      </c>
      <c r="D9" s="2"/>
      <c r="F9" s="4">
        <f>200000*H9</f>
        <v>0</v>
      </c>
      <c r="H9" s="263">
        <f>IF(B9=S3,C9*5,0)</f>
        <v>0</v>
      </c>
      <c r="S9" t="s">
        <v>595</v>
      </c>
      <c r="T9">
        <v>12</v>
      </c>
      <c r="U9">
        <v>10000</v>
      </c>
    </row>
    <row r="10" spans="1:21" ht="16" thickBot="1">
      <c r="A10" s="251" t="s">
        <v>497</v>
      </c>
      <c r="B10" s="198" t="s">
        <v>283</v>
      </c>
      <c r="C10" s="270">
        <f>IF(B10=S3,1,0)</f>
        <v>0</v>
      </c>
      <c r="D10" s="2"/>
      <c r="F10" s="4">
        <f>500000*C10</f>
        <v>0</v>
      </c>
      <c r="H10" s="263">
        <f>2*C10</f>
        <v>0</v>
      </c>
    </row>
    <row r="11" spans="1:21" ht="16" thickBot="1">
      <c r="A11" s="251" t="s">
        <v>499</v>
      </c>
      <c r="B11" s="198" t="s">
        <v>283</v>
      </c>
      <c r="C11" s="2"/>
      <c r="D11" s="357">
        <v>0</v>
      </c>
      <c r="F11" s="4">
        <f>IF(B11=S3,1000*D11,0)</f>
        <v>0</v>
      </c>
      <c r="T11">
        <f>IF(B11=S3,D11,0)</f>
        <v>0</v>
      </c>
    </row>
    <row r="12" spans="1:21" ht="16" thickBot="1">
      <c r="A12" s="251" t="s">
        <v>587</v>
      </c>
      <c r="B12" s="198" t="s">
        <v>283</v>
      </c>
      <c r="C12" s="270">
        <f>IF(B12=S3,1,0)</f>
        <v>0</v>
      </c>
      <c r="D12" s="357">
        <v>0</v>
      </c>
      <c r="E12" t="str">
        <f>IF(B12=S3,8," ")</f>
        <v xml:space="preserve"> </v>
      </c>
      <c r="F12" s="4">
        <f>100000*H12</f>
        <v>0</v>
      </c>
      <c r="H12" s="263">
        <f>C12*D12/100</f>
        <v>0</v>
      </c>
      <c r="T12">
        <f>IF(B12=S3,D12,0)</f>
        <v>0</v>
      </c>
    </row>
    <row r="13" spans="1:21" ht="16" thickBot="1">
      <c r="A13" s="251" t="s">
        <v>500</v>
      </c>
      <c r="B13" s="198" t="s">
        <v>283</v>
      </c>
      <c r="C13" s="270">
        <f>IF(B13=S3,1,0)</f>
        <v>0</v>
      </c>
      <c r="D13" s="357">
        <v>0</v>
      </c>
      <c r="E13" t="str">
        <f>IF(B13=S3,10," ")</f>
        <v xml:space="preserve"> </v>
      </c>
      <c r="F13" s="4">
        <f>300000*H13</f>
        <v>0</v>
      </c>
      <c r="H13" s="263">
        <f>C13*D13/100</f>
        <v>0</v>
      </c>
      <c r="S13" t="str">
        <f>IF(SUM(D18:D26)=0,""," (")</f>
        <v xml:space="preserve"> (</v>
      </c>
      <c r="T13">
        <f>IF(B13=S3,D13,0)</f>
        <v>0</v>
      </c>
    </row>
    <row r="14" spans="1:21">
      <c r="B14" s="2"/>
      <c r="F14" s="4"/>
      <c r="S14" t="str">
        <f>IF(H18=0,"",C18&amp;" @ "&amp;D18)</f>
        <v>1 @ 5</v>
      </c>
      <c r="T14" t="str">
        <f>IF(H18=0,"",IF(B19=S4," N/"," C/")&amp;IF(B20=S7,"N/",IF(B20=S8,"L/","AL/"))&amp;IF(B21=S4,"N","AB"))</f>
        <v xml:space="preserve"> N/N/N</v>
      </c>
      <c r="U14" t="str">
        <f>IF(AND(S15="",S16=""),"",", ")</f>
        <v xml:space="preserve">, </v>
      </c>
    </row>
    <row r="15" spans="1:21">
      <c r="B15" s="2"/>
      <c r="C15" s="7" t="s">
        <v>589</v>
      </c>
      <c r="D15">
        <f>SUM(T11:T13)</f>
        <v>0</v>
      </c>
      <c r="F15" s="4"/>
      <c r="S15" t="str">
        <f>IF(H22=0,"",C22&amp;" @ "&amp;D22)</f>
        <v>1 @ 5</v>
      </c>
      <c r="T15" t="str">
        <f>IF(H22=0,"",IF(B23=S4," N/"," C/")&amp;IF(B24=S7,"N/",IF(B24=S8,"L/","AL/"))&amp;IF(B25=S4,"N","AB"))</f>
        <v xml:space="preserve"> N/N/AB</v>
      </c>
      <c r="U15" t="str">
        <f>IF(S15="","",IF(S16="","",", "))</f>
        <v/>
      </c>
    </row>
    <row r="16" spans="1:21">
      <c r="A16" s="22"/>
      <c r="B16" s="27"/>
      <c r="C16" s="22"/>
      <c r="D16" s="22"/>
      <c r="E16" s="22"/>
      <c r="F16" s="23"/>
      <c r="G16" s="22"/>
      <c r="H16" s="22"/>
      <c r="I16" s="22"/>
      <c r="J16" s="22"/>
      <c r="K16" s="22"/>
      <c r="L16" s="22"/>
      <c r="S16" t="str">
        <f>IF(H26=0,"",C26&amp;" @ "&amp;D26)</f>
        <v/>
      </c>
      <c r="T16" t="str">
        <f>IF(H26=0,"",IF(B27=S4," N/"," C/")&amp;IF(B28=S7,"N/",IF(B28=S8,"L/","AL/"))&amp;IF(B29=S4,"N","AB"))</f>
        <v/>
      </c>
      <c r="U16" t="str">
        <f>IF(SUM(D18:D26)=0,"",")")</f>
        <v>)</v>
      </c>
    </row>
    <row r="17" spans="1:21" ht="16" thickBot="1">
      <c r="A17" s="3" t="s">
        <v>590</v>
      </c>
      <c r="B17" s="2"/>
      <c r="C17" s="1" t="s">
        <v>308</v>
      </c>
      <c r="D17" s="7" t="s">
        <v>588</v>
      </c>
      <c r="F17" s="4"/>
    </row>
    <row r="18" spans="1:21" ht="16" thickBot="1">
      <c r="A18" s="251" t="s">
        <v>591</v>
      </c>
      <c r="B18" s="525" t="s">
        <v>2460</v>
      </c>
      <c r="C18" s="235">
        <v>1</v>
      </c>
      <c r="D18" s="221">
        <v>5</v>
      </c>
      <c r="F18" s="4"/>
      <c r="H18" s="4">
        <f>D18*C18</f>
        <v>5</v>
      </c>
      <c r="S18" t="s">
        <v>603</v>
      </c>
    </row>
    <row r="19" spans="1:21" ht="16" thickBot="1">
      <c r="A19" s="257" t="s">
        <v>592</v>
      </c>
      <c r="B19" s="198" t="s">
        <v>283</v>
      </c>
      <c r="C19" s="2"/>
      <c r="F19" s="4">
        <f>1000000*H19</f>
        <v>0</v>
      </c>
      <c r="H19" s="4">
        <f>IF(B19="Installed",(2.5+0.5*ROUNDUP((D18/150),0))*C18,0)</f>
        <v>0</v>
      </c>
      <c r="S19">
        <f>SUM(H9:H48,H50)</f>
        <v>13.5</v>
      </c>
    </row>
    <row r="20" spans="1:21" ht="16" thickBot="1">
      <c r="A20" s="257" t="s">
        <v>593</v>
      </c>
      <c r="B20" s="198" t="s">
        <v>375</v>
      </c>
      <c r="C20" s="235">
        <v>0</v>
      </c>
      <c r="D20" t="s">
        <v>33</v>
      </c>
      <c r="E20">
        <f>VLOOKUP(B20,S7:T9,2)</f>
        <v>0</v>
      </c>
      <c r="F20" s="4">
        <f>VLOOKUP(B20,S7:U9,3)*C18*C20</f>
        <v>0</v>
      </c>
      <c r="H20" s="4">
        <f>IF(B20=S7,0,C18)*C20</f>
        <v>0</v>
      </c>
      <c r="K20" s="263">
        <f>IF(H20&gt;0,H20,0)</f>
        <v>0</v>
      </c>
    </row>
    <row r="21" spans="1:21" ht="16" thickBot="1">
      <c r="A21" s="9" t="s">
        <v>431</v>
      </c>
      <c r="B21" s="523" t="s">
        <v>283</v>
      </c>
      <c r="C21" s="2"/>
      <c r="F21" s="4">
        <f>200000*H21</f>
        <v>0</v>
      </c>
      <c r="H21" s="4">
        <f>IF(B21=$S$3,0.1*SUM(H18:H20),0)</f>
        <v>0</v>
      </c>
      <c r="S21" t="s">
        <v>400</v>
      </c>
    </row>
    <row r="22" spans="1:21" ht="16" thickBot="1">
      <c r="A22" s="251" t="s">
        <v>591</v>
      </c>
      <c r="B22" s="525" t="s">
        <v>2459</v>
      </c>
      <c r="C22" s="340">
        <v>1</v>
      </c>
      <c r="D22" s="386">
        <v>5</v>
      </c>
      <c r="E22" s="22"/>
      <c r="F22" s="23"/>
      <c r="G22" s="22"/>
      <c r="H22" s="23">
        <f>D22*C22</f>
        <v>5</v>
      </c>
      <c r="I22" s="22"/>
      <c r="J22" s="22"/>
      <c r="K22" s="22"/>
      <c r="S22">
        <f>SUM(K20:K28)</f>
        <v>0</v>
      </c>
    </row>
    <row r="23" spans="1:21" ht="16" thickBot="1">
      <c r="A23" s="257" t="s">
        <v>592</v>
      </c>
      <c r="B23" s="205" t="s">
        <v>283</v>
      </c>
      <c r="C23" s="27"/>
      <c r="D23" s="22"/>
      <c r="E23" s="22"/>
      <c r="F23" s="23">
        <f>1000000*H23</f>
        <v>0</v>
      </c>
      <c r="G23" s="22"/>
      <c r="H23" s="23">
        <f>IF(B23="Installed",(2.5+0.5*ROUNDUP((D22/150),0))*C22,0)</f>
        <v>0</v>
      </c>
      <c r="I23" s="22"/>
      <c r="J23" s="22"/>
      <c r="K23" s="22"/>
    </row>
    <row r="24" spans="1:21" ht="16" thickBot="1">
      <c r="A24" s="257" t="s">
        <v>593</v>
      </c>
      <c r="B24" s="205" t="s">
        <v>375</v>
      </c>
      <c r="C24" s="340">
        <v>0</v>
      </c>
      <c r="D24" s="22"/>
      <c r="E24" s="22">
        <f>VLOOKUP(B24,S7:T9,2)</f>
        <v>0</v>
      </c>
      <c r="F24" s="23">
        <f>VLOOKUP(B24,S7:U9,3)*C22*C24</f>
        <v>0</v>
      </c>
      <c r="G24" s="22"/>
      <c r="H24" s="23">
        <f>IF(B24=S7,0,C22)*C24</f>
        <v>0</v>
      </c>
      <c r="I24" s="22"/>
      <c r="J24" s="22"/>
      <c r="K24" s="335">
        <f>IF(H24&gt;0,H24,0)</f>
        <v>0</v>
      </c>
    </row>
    <row r="25" spans="1:21" ht="16" thickBot="1">
      <c r="A25" s="9" t="s">
        <v>431</v>
      </c>
      <c r="B25" s="524" t="s">
        <v>113</v>
      </c>
      <c r="C25" s="27"/>
      <c r="D25" s="22"/>
      <c r="E25" s="22"/>
      <c r="F25" s="23">
        <f>200000*H25</f>
        <v>100000</v>
      </c>
      <c r="G25" s="22"/>
      <c r="H25" s="23">
        <f>IF(B25=$S$3,0.1*SUM(H22:H24),0)</f>
        <v>0.5</v>
      </c>
      <c r="I25" s="22"/>
      <c r="J25" s="22"/>
      <c r="K25" s="22"/>
      <c r="S25" t="str">
        <f>C6&amp;" "&amp;D6&amp;" tons"&amp;IF(SUM(D18:D26)=0,"",", Bay(s): "&amp;SUM(C18*D18,C22*D22,C26*D26)&amp;" tons")&amp;IF(T27=1,", Cargo Crane","")&amp;""&amp;IF(T28=1,", Loading Belt","")&amp;""&amp;IF(U28=1,", Advanced Loading Belt","")&amp;IF(B21=S3,", Armored Bulkhead","")&amp;S13&amp;S14&amp;T14&amp;U14&amp;S15&amp;T15&amp;U15&amp;S16&amp;T16&amp;U16&amp;""&amp;IF(D15&gt;0,", "&amp;C15&amp;" "&amp;D15&amp;" tons","")&amp;""&amp;IF(B9=S3,", "&amp;A9,"")&amp;""&amp;IF(B10=S3,", "&amp;A10,"")&amp;""&amp;IF(B11=S3,", "&amp;A11,"")&amp;""&amp;IF(B12=S3,", "&amp;A12,"")&amp;""&amp;IF(B13=S3,", "&amp;A13,"")&amp;""&amp;IF(D30&gt;0,", "&amp;A30&amp;": "&amp;D30&amp;" tons","")&amp;""&amp;IF(D32&gt;0,", "&amp;A32&amp;": "&amp;D32&amp;" tons","")&amp;""&amp;IF(SUM(D38:D48)&gt;0," "&amp;A38&amp;": ","")&amp;IF(D38&gt;0," "&amp;B38&amp;": "&amp;D38&amp;" tons","")&amp;IF(H39=0,"","-Armored")&amp;IF(D40&gt;0,", "&amp;B40&amp;": "&amp;D40&amp;" tons","")&amp;IF(H41=0,"","-Armored")&amp;IF(D42&gt;0,", "&amp;B42&amp;": "&amp;D42&amp;" tons","")&amp;IF(H43=0,"","-Armored")&amp;IF(D44&gt;0,", "&amp;B44&amp;": "&amp;D44&amp;" tons","")&amp;IF(H45=0,"","-Armored")&amp;IF(D46&gt;0,", "&amp;B46&amp;": "&amp;D46&amp;" tons","")&amp;IF(H47=0,"","-Armored")&amp;IF(D48&gt;0,", "&amp;B48&amp;": "&amp;D48&amp;" tons","")&amp;IF(H49=0,"","-Armored")&amp;IF(T42&gt;0,", "&amp;'4-Fuel'!B25&amp;" x "&amp;'4-Fuel'!C25&amp;" Tons "&amp;'4-Fuel'!A24,"")</f>
        <v>Cargo: 13 tons, Bay(s): 10 tons (1 @ 5 N/N/N, 1 @ 5 N/N/AB)</v>
      </c>
    </row>
    <row r="26" spans="1:21" ht="16" thickBot="1">
      <c r="A26" s="251" t="s">
        <v>591</v>
      </c>
      <c r="B26" s="525"/>
      <c r="C26" s="235">
        <v>0</v>
      </c>
      <c r="D26" s="221">
        <v>0</v>
      </c>
      <c r="F26" s="4"/>
      <c r="H26" s="4">
        <f>D26*C26</f>
        <v>0</v>
      </c>
    </row>
    <row r="27" spans="1:21" ht="16" thickBot="1">
      <c r="A27" s="257" t="s">
        <v>592</v>
      </c>
      <c r="B27" s="198" t="s">
        <v>283</v>
      </c>
      <c r="C27" s="2"/>
      <c r="F27" s="4">
        <f>1000000*H27</f>
        <v>0</v>
      </c>
      <c r="H27" s="4">
        <f>IF(B27="Installed",(2.5+0.5*ROUNDUP((D26/150),0))*C26,0)</f>
        <v>0</v>
      </c>
      <c r="S27" t="s">
        <v>611</v>
      </c>
      <c r="T27">
        <f>IF(B19=S3,1,IF(B23=S3,1,IF(B27=S3,1,0)))</f>
        <v>0</v>
      </c>
    </row>
    <row r="28" spans="1:21" ht="16" thickBot="1">
      <c r="A28" s="257" t="s">
        <v>593</v>
      </c>
      <c r="B28" s="198" t="s">
        <v>375</v>
      </c>
      <c r="C28" s="235">
        <v>0</v>
      </c>
      <c r="E28">
        <f>VLOOKUP(B28,S7:T9,2)</f>
        <v>0</v>
      </c>
      <c r="F28" s="4">
        <f>VLOOKUP(B28,S7:U9,3)*C26*C28</f>
        <v>0</v>
      </c>
      <c r="H28" s="4">
        <f>IF(B28=S7,0,C26)*C28</f>
        <v>0</v>
      </c>
      <c r="K28" s="263">
        <f>IF(H28&gt;0,H28,0)</f>
        <v>0</v>
      </c>
      <c r="S28" t="s">
        <v>612</v>
      </c>
      <c r="T28">
        <f>IF(E20=7,1,IF(E24=7,1,IF(E28=7,1,0)))</f>
        <v>0</v>
      </c>
      <c r="U28">
        <f>IF(E20=12,1,IF(E24=12,1,IF(E28=12,1,0)))</f>
        <v>0</v>
      </c>
    </row>
    <row r="29" spans="1:21" ht="16" thickBot="1">
      <c r="A29" s="9" t="s">
        <v>431</v>
      </c>
      <c r="B29" s="198" t="s">
        <v>283</v>
      </c>
      <c r="C29" s="2"/>
      <c r="F29" s="4">
        <f>200000*H29</f>
        <v>0</v>
      </c>
      <c r="H29" s="4">
        <f>IF(B29=$S$3,0.1*SUM(H26:H28),0)</f>
        <v>0</v>
      </c>
    </row>
    <row r="30" spans="1:21" ht="16" thickBot="1">
      <c r="A30" s="251" t="s">
        <v>495</v>
      </c>
      <c r="B30" s="72"/>
      <c r="C30" s="2"/>
      <c r="D30" s="221">
        <v>0</v>
      </c>
      <c r="F30" s="4">
        <f>200000*H30</f>
        <v>0</v>
      </c>
      <c r="H30" s="360">
        <f>D30</f>
        <v>0</v>
      </c>
    </row>
    <row r="31" spans="1:21" ht="16" thickBot="1">
      <c r="B31" s="72"/>
      <c r="C31" s="2"/>
      <c r="D31" s="498"/>
      <c r="F31" s="4"/>
      <c r="H31" s="360"/>
    </row>
    <row r="32" spans="1:21" ht="16" thickBot="1">
      <c r="A32" s="251" t="s">
        <v>594</v>
      </c>
      <c r="B32" s="72"/>
      <c r="D32" s="221">
        <v>0</v>
      </c>
      <c r="H32" s="360">
        <f>D32</f>
        <v>0</v>
      </c>
    </row>
    <row r="33" spans="1:20" ht="16" thickBot="1">
      <c r="S33" t="s">
        <v>2185</v>
      </c>
    </row>
    <row r="34" spans="1:20" ht="16" thickBot="1">
      <c r="A34" s="251" t="s">
        <v>2183</v>
      </c>
      <c r="B34" s="499" t="s">
        <v>2184</v>
      </c>
      <c r="C34" s="2"/>
      <c r="D34" s="221">
        <v>3</v>
      </c>
      <c r="E34" t="str">
        <f>"  ("&amp;ROUND(D34*100/(Tonnage/100),2)&amp;" Days)"</f>
        <v xml:space="preserve">  (100 Days)</v>
      </c>
      <c r="H34" s="360">
        <f>D34</f>
        <v>3</v>
      </c>
      <c r="S34">
        <f>Tonnage/100</f>
        <v>3</v>
      </c>
    </row>
    <row r="35" spans="1:20">
      <c r="A35" s="894" t="str">
        <f>"Supplies, Stores and Spares - Dtons Needed for "&amp;IF('4-Fuel'!C10*7&gt;100,'4-Fuel'!C10*7,100)&amp;" Days of Supply Units:"</f>
        <v>Supplies, Stores and Spares - Dtons Needed for 100 Days of Supply Units:</v>
      </c>
      <c r="B35" s="895"/>
      <c r="C35" s="896"/>
      <c r="D35" s="500">
        <f>IF('11-Staterooms'!C6=0,0,IF(((Tonnage/10000)*'4-Fuel'!C10*7)&gt;(Tonnage/100),((Tonnage/10000)*'4-Fuel'!C10*7),(Tonnage/100)))</f>
        <v>3</v>
      </c>
      <c r="H35" s="360"/>
    </row>
    <row r="36" spans="1:20" ht="16">
      <c r="A36" s="893" t="s">
        <v>2182</v>
      </c>
      <c r="B36" s="893"/>
      <c r="C36" s="893"/>
      <c r="D36" s="893"/>
      <c r="H36" s="360"/>
    </row>
    <row r="37" spans="1:20" ht="16" thickBot="1">
      <c r="H37" s="360"/>
      <c r="S37" t="s">
        <v>600</v>
      </c>
      <c r="T37">
        <f>0.01*'4-Fuel'!C19</f>
        <v>0</v>
      </c>
    </row>
    <row r="38" spans="1:20" ht="16" thickBot="1">
      <c r="A38" s="143" t="s">
        <v>597</v>
      </c>
      <c r="B38" s="409" t="s">
        <v>705</v>
      </c>
      <c r="C38" s="373"/>
      <c r="D38" s="386">
        <v>0</v>
      </c>
      <c r="E38" s="373"/>
      <c r="F38" s="373"/>
      <c r="G38" s="373"/>
      <c r="H38" s="412">
        <f t="shared" ref="H38" si="0">D38</f>
        <v>0</v>
      </c>
      <c r="S38" t="s">
        <v>601</v>
      </c>
      <c r="T38">
        <f>'4-Fuel'!C19</f>
        <v>0</v>
      </c>
    </row>
    <row r="39" spans="1:20" ht="16" thickBot="1">
      <c r="A39" s="418"/>
      <c r="B39" s="22"/>
      <c r="C39" s="413" t="s">
        <v>1075</v>
      </c>
      <c r="D39" s="417" t="s">
        <v>99</v>
      </c>
      <c r="E39" s="22"/>
      <c r="F39" s="23">
        <f>200000*H39</f>
        <v>0</v>
      </c>
      <c r="G39" s="22"/>
      <c r="H39" s="137">
        <f>IF(D39=T3,0,0.1*H38)</f>
        <v>0</v>
      </c>
    </row>
    <row r="40" spans="1:20" ht="16" thickBot="1">
      <c r="A40" s="418"/>
      <c r="B40" s="2" t="s">
        <v>659</v>
      </c>
      <c r="D40" s="221">
        <v>0</v>
      </c>
      <c r="H40" s="414">
        <f>D40</f>
        <v>0</v>
      </c>
      <c r="S40" t="str">
        <f>'4-Fuel'!A19</f>
        <v>Not installed</v>
      </c>
    </row>
    <row r="41" spans="1:20" ht="16" thickBot="1">
      <c r="A41" s="418"/>
      <c r="C41" s="9" t="s">
        <v>1075</v>
      </c>
      <c r="D41" s="221" t="s">
        <v>99</v>
      </c>
      <c r="F41" s="4">
        <f>200000*H41</f>
        <v>0</v>
      </c>
      <c r="H41" s="46">
        <f>IF(D41=T3,0,0.1*H40)</f>
        <v>0</v>
      </c>
      <c r="S41" t="str">
        <f>'4-Fuel'!A22</f>
        <v>Not installed</v>
      </c>
      <c r="T41">
        <f>'4-Fuel'!C22</f>
        <v>0</v>
      </c>
    </row>
    <row r="42" spans="1:20" ht="16" thickBot="1">
      <c r="A42" s="418"/>
      <c r="B42" s="27" t="s">
        <v>1663</v>
      </c>
      <c r="C42" s="22"/>
      <c r="D42" s="386">
        <v>0</v>
      </c>
      <c r="E42" s="22"/>
      <c r="F42" s="22"/>
      <c r="G42" s="22"/>
      <c r="H42" s="415">
        <f>D42</f>
        <v>0</v>
      </c>
      <c r="S42" t="s">
        <v>1651</v>
      </c>
      <c r="T42">
        <f>D53</f>
        <v>0</v>
      </c>
    </row>
    <row r="43" spans="1:20" ht="16" thickBot="1">
      <c r="A43" s="418"/>
      <c r="B43" s="22"/>
      <c r="C43" s="413" t="s">
        <v>1075</v>
      </c>
      <c r="D43" s="386" t="s">
        <v>99</v>
      </c>
      <c r="E43" s="22"/>
      <c r="F43" s="23">
        <f>200000*H43</f>
        <v>0</v>
      </c>
      <c r="G43" s="22"/>
      <c r="H43" s="137">
        <f>IF(D43=T3,0,0.1*H42)</f>
        <v>0</v>
      </c>
    </row>
    <row r="44" spans="1:20" ht="16" thickBot="1">
      <c r="A44" s="411"/>
      <c r="B44" s="2" t="s">
        <v>1664</v>
      </c>
      <c r="D44" s="221">
        <v>0</v>
      </c>
      <c r="H44" s="414">
        <f>D44</f>
        <v>0</v>
      </c>
    </row>
    <row r="45" spans="1:20" ht="16" thickBot="1">
      <c r="A45" s="78"/>
      <c r="C45" s="9" t="s">
        <v>1075</v>
      </c>
      <c r="D45" s="221" t="s">
        <v>99</v>
      </c>
      <c r="F45" s="4">
        <f>200000*H45</f>
        <v>0</v>
      </c>
      <c r="H45" s="46">
        <f>IF(D45=T3,0,0.1*H44)</f>
        <v>0</v>
      </c>
    </row>
    <row r="46" spans="1:20" ht="16" thickBot="1">
      <c r="A46" s="78"/>
      <c r="B46" s="27" t="s">
        <v>390</v>
      </c>
      <c r="C46" s="22"/>
      <c r="D46" s="386">
        <v>0</v>
      </c>
      <c r="E46" s="22"/>
      <c r="F46" s="22"/>
      <c r="G46" s="22"/>
      <c r="H46" s="415">
        <f>D46</f>
        <v>0</v>
      </c>
    </row>
    <row r="47" spans="1:20" ht="16" thickBot="1">
      <c r="A47" s="78"/>
      <c r="B47" s="22"/>
      <c r="C47" s="413" t="s">
        <v>1075</v>
      </c>
      <c r="D47" s="386" t="s">
        <v>99</v>
      </c>
      <c r="E47" s="22"/>
      <c r="F47" s="23">
        <f>200000*H47</f>
        <v>0</v>
      </c>
      <c r="G47" s="22"/>
      <c r="H47" s="137">
        <f>IF(D47=T3,0,0.1*H46)</f>
        <v>0</v>
      </c>
    </row>
    <row r="48" spans="1:20" ht="16" thickBot="1">
      <c r="A48" s="78"/>
      <c r="B48" s="2" t="s">
        <v>1665</v>
      </c>
      <c r="D48" s="416">
        <v>0</v>
      </c>
      <c r="H48" s="414">
        <f>D48</f>
        <v>0</v>
      </c>
    </row>
    <row r="49" spans="1:8" ht="16" thickBot="1">
      <c r="A49" s="86"/>
      <c r="B49" s="28"/>
      <c r="C49" s="101" t="s">
        <v>1075</v>
      </c>
      <c r="D49" s="221" t="s">
        <v>99</v>
      </c>
      <c r="E49" s="28"/>
      <c r="F49" s="403">
        <f>200000*H49</f>
        <v>0</v>
      </c>
      <c r="G49" s="28"/>
      <c r="H49" s="79">
        <f>IF(D49=T3,0,0.1*H48)</f>
        <v>0</v>
      </c>
    </row>
    <row r="50" spans="1:8">
      <c r="C50" s="7"/>
      <c r="F50" s="4"/>
      <c r="H50" s="263"/>
    </row>
    <row r="51" spans="1:8" ht="16" thickBot="1">
      <c r="A51" s="251" t="s">
        <v>599</v>
      </c>
      <c r="B51" s="408" t="s">
        <v>600</v>
      </c>
      <c r="D51" s="263">
        <f>IF(S40="Installed",VLOOKUP(B51,S37:T38,2),0)</f>
        <v>0</v>
      </c>
    </row>
    <row r="52" spans="1:8">
      <c r="A52" t="s">
        <v>1713</v>
      </c>
      <c r="D52" s="263">
        <f>IF(S41="Installed",T41,0)</f>
        <v>0</v>
      </c>
    </row>
    <row r="53" spans="1:8">
      <c r="A53" t="s">
        <v>1650</v>
      </c>
      <c r="D53" s="263">
        <f>'4-Fuel'!B25*'4-Fuel'!C25</f>
        <v>0</v>
      </c>
    </row>
    <row r="54" spans="1:8">
      <c r="C54" s="7" t="s">
        <v>602</v>
      </c>
      <c r="D54" s="263">
        <f>SUM(C18*D18,C22*D22,C26*D26,D30:D34,D38:D48)</f>
        <v>13</v>
      </c>
    </row>
  </sheetData>
  <sheetProtection algorithmName="SHA-512" hashValue="UquTOIT4vVui5Ln6UYIOicK1JrLA5ijMuUrEOe6Q/+xqzk6DizKR1UKuwq+hV++zkeVLnrQe52zpIjyRhjy6hw==" saltValue="L8gGrA9BoB0llR47YeDn2w==" spinCount="100000" sheet="1" selectLockedCells="1"/>
  <mergeCells count="4">
    <mergeCell ref="H4:I4"/>
    <mergeCell ref="K4:L4"/>
    <mergeCell ref="A36:D36"/>
    <mergeCell ref="A35:C35"/>
  </mergeCells>
  <conditionalFormatting sqref="A9:A17 A19:A20 A23:A24 A27:A28 A36">
    <cfRule type="expression" dxfId="69" priority="33">
      <formula>$B9="Not Installed"</formula>
    </cfRule>
  </conditionalFormatting>
  <conditionalFormatting sqref="A18 A22 A26 A30 A32">
    <cfRule type="expression" dxfId="68" priority="4">
      <formula>$D18=0</formula>
    </cfRule>
  </conditionalFormatting>
  <conditionalFormatting sqref="A20 A24 A28">
    <cfRule type="expression" dxfId="67" priority="32">
      <formula>$B20=" Not Installed"</formula>
    </cfRule>
  </conditionalFormatting>
  <conditionalFormatting sqref="A21">
    <cfRule type="expression" dxfId="66" priority="27">
      <formula>$B$21=$S$3</formula>
    </cfRule>
  </conditionalFormatting>
  <conditionalFormatting sqref="A25">
    <cfRule type="expression" dxfId="65" priority="26">
      <formula>$B$25=$S$3</formula>
    </cfRule>
  </conditionalFormatting>
  <conditionalFormatting sqref="A29">
    <cfRule type="expression" dxfId="64" priority="25">
      <formula>$B$29=$S$3</formula>
    </cfRule>
  </conditionalFormatting>
  <conditionalFormatting sqref="A38:A49">
    <cfRule type="expression" dxfId="62" priority="20">
      <formula>SUM($H$38:$H$49)&gt;0</formula>
    </cfRule>
  </conditionalFormatting>
  <conditionalFormatting sqref="A51 A52:D52">
    <cfRule type="expression" dxfId="61" priority="36" stopIfTrue="1">
      <formula>$D$52&gt;SUM($D$18,$D$22,$D$26)</formula>
    </cfRule>
  </conditionalFormatting>
  <conditionalFormatting sqref="A51">
    <cfRule type="expression" dxfId="59" priority="37">
      <formula>$B$51="Empty"</formula>
    </cfRule>
  </conditionalFormatting>
  <conditionalFormatting sqref="A34:D34 A35 D35">
    <cfRule type="expression" dxfId="56" priority="1255">
      <formula>$D$35&gt;SUM($H$18,$H$22,$H$26,$H$30,$H$32,$H$34)</formula>
    </cfRule>
  </conditionalFormatting>
  <conditionalFormatting sqref="B19 B20:C20 B21">
    <cfRule type="expression" dxfId="54" priority="3">
      <formula>$H$18=0</formula>
    </cfRule>
  </conditionalFormatting>
  <conditionalFormatting sqref="B19:B21 B25 B29 C18:D18">
    <cfRule type="expression" dxfId="53" priority="30">
      <formula>$B$18=$S$4</formula>
    </cfRule>
  </conditionalFormatting>
  <conditionalFormatting sqref="B23 B24:C24 B25">
    <cfRule type="expression" dxfId="52" priority="2">
      <formula>$H$22=0</formula>
    </cfRule>
  </conditionalFormatting>
  <conditionalFormatting sqref="B23:B24 C22:D22">
    <cfRule type="expression" dxfId="51" priority="45">
      <formula>$B$22=$S$4</formula>
    </cfRule>
  </conditionalFormatting>
  <conditionalFormatting sqref="B27 B28:C28 B29">
    <cfRule type="expression" dxfId="50" priority="1">
      <formula>$H$26=0</formula>
    </cfRule>
  </conditionalFormatting>
  <conditionalFormatting sqref="B27:B28 C26:D26">
    <cfRule type="expression" dxfId="49" priority="44">
      <formula>$B$26=$S$4</formula>
    </cfRule>
  </conditionalFormatting>
  <conditionalFormatting sqref="B38">
    <cfRule type="expression" dxfId="48" priority="1014">
      <formula>$H38&gt;0</formula>
    </cfRule>
  </conditionalFormatting>
  <conditionalFormatting sqref="B40">
    <cfRule type="expression" dxfId="47" priority="24">
      <formula>$H28+$H$40&gt;0</formula>
    </cfRule>
  </conditionalFormatting>
  <conditionalFormatting sqref="B42">
    <cfRule type="expression" dxfId="46" priority="23">
      <formula>$H$42&gt;0</formula>
    </cfRule>
  </conditionalFormatting>
  <conditionalFormatting sqref="B44">
    <cfRule type="expression" dxfId="45" priority="22">
      <formula>$H$44&gt;0</formula>
    </cfRule>
  </conditionalFormatting>
  <conditionalFormatting sqref="B46">
    <cfRule type="expression" dxfId="44" priority="21">
      <formula>$H$46&gt;0</formula>
    </cfRule>
  </conditionalFormatting>
  <conditionalFormatting sqref="B48">
    <cfRule type="expression" dxfId="43" priority="19">
      <formula>$H$48&gt;0</formula>
    </cfRule>
  </conditionalFormatting>
  <conditionalFormatting sqref="B51">
    <cfRule type="expression" dxfId="42" priority="40">
      <formula>$S$40="Not Installed"</formula>
    </cfRule>
  </conditionalFormatting>
  <conditionalFormatting sqref="C9">
    <cfRule type="expression" dxfId="41" priority="50">
      <formula>$B$9=$S$4</formula>
    </cfRule>
  </conditionalFormatting>
  <conditionalFormatting sqref="C20 C24 C28">
    <cfRule type="expression" dxfId="40" priority="1269">
      <formula>$B$18=$S$4</formula>
    </cfRule>
    <cfRule type="expression" dxfId="39" priority="1268">
      <formula>AND($C20=0,$B20&lt;&gt;" Not Installed")</formula>
    </cfRule>
  </conditionalFormatting>
  <conditionalFormatting sqref="D11">
    <cfRule type="expression" dxfId="38" priority="48">
      <formula>$B$11=$S$4</formula>
    </cfRule>
  </conditionalFormatting>
  <conditionalFormatting sqref="D12">
    <cfRule type="expression" dxfId="37" priority="49">
      <formula>$B$12=$S$4</formula>
    </cfRule>
  </conditionalFormatting>
  <conditionalFormatting sqref="D13">
    <cfRule type="expression" dxfId="36" priority="47">
      <formula>$B$13=$S$4</formula>
    </cfRule>
  </conditionalFormatting>
  <conditionalFormatting sqref="D30:D31">
    <cfRule type="expression" dxfId="35" priority="43" stopIfTrue="1">
      <formula>$B$30=$S$4</formula>
    </cfRule>
    <cfRule type="expression" dxfId="34" priority="54">
      <formula>$D$30&gt;$I$6*0.05</formula>
    </cfRule>
  </conditionalFormatting>
  <conditionalFormatting sqref="D32 D34">
    <cfRule type="expression" dxfId="33" priority="1243">
      <formula>$B$32=$S$4</formula>
    </cfRule>
  </conditionalFormatting>
  <conditionalFormatting sqref="D38:D49">
    <cfRule type="expression" priority="1061">
      <formula>$B$48=$S$4</formula>
    </cfRule>
  </conditionalFormatting>
  <conditionalFormatting sqref="D39 D41 D43 D45 D47 D49">
    <cfRule type="expression" dxfId="32" priority="12">
      <formula>AND($D39=$T$4,$H39=0)</formula>
    </cfRule>
  </conditionalFormatting>
  <conditionalFormatting sqref="D39">
    <cfRule type="expression" dxfId="31" priority="18">
      <formula>$H$39&gt;0</formula>
    </cfRule>
  </conditionalFormatting>
  <conditionalFormatting sqref="D41">
    <cfRule type="expression" dxfId="30" priority="17">
      <formula>$H$41&gt;0</formula>
    </cfRule>
  </conditionalFormatting>
  <conditionalFormatting sqref="D43">
    <cfRule type="expression" dxfId="29" priority="16">
      <formula>$H$43&gt;0</formula>
    </cfRule>
  </conditionalFormatting>
  <conditionalFormatting sqref="D45">
    <cfRule type="expression" dxfId="28" priority="15">
      <formula>$H$45&gt;0</formula>
    </cfRule>
  </conditionalFormatting>
  <conditionalFormatting sqref="D47">
    <cfRule type="expression" dxfId="27" priority="14">
      <formula>$H$47&gt;0</formula>
    </cfRule>
  </conditionalFormatting>
  <conditionalFormatting sqref="D49">
    <cfRule type="expression" dxfId="26" priority="13">
      <formula>$H$49&gt;0</formula>
    </cfRule>
  </conditionalFormatting>
  <conditionalFormatting sqref="D50">
    <cfRule type="cellIs" dxfId="25" priority="35" operator="equal">
      <formula>"No"</formula>
    </cfRule>
  </conditionalFormatting>
  <conditionalFormatting sqref="E20">
    <cfRule type="expression" dxfId="24" priority="53">
      <formula>$E$20&gt;$E$2</formula>
    </cfRule>
  </conditionalFormatting>
  <conditionalFormatting sqref="E24">
    <cfRule type="expression" dxfId="23" priority="52">
      <formula>$E$24&gt;$E$2</formula>
    </cfRule>
  </conditionalFormatting>
  <conditionalFormatting sqref="E28">
    <cfRule type="expression" dxfId="22" priority="51">
      <formula>$E$28&gt;$E$2</formula>
    </cfRule>
  </conditionalFormatting>
  <conditionalFormatting sqref="H6">
    <cfRule type="expression" dxfId="21" priority="39">
      <formula>$H$6&lt;0</formula>
    </cfRule>
  </conditionalFormatting>
  <conditionalFormatting sqref="K6">
    <cfRule type="expression" dxfId="20" priority="38">
      <formula>$K$6&lt;0</formula>
    </cfRule>
  </conditionalFormatting>
  <dataValidations count="20">
    <dataValidation type="list" allowBlank="1" showInputMessage="1" showErrorMessage="1" sqref="B13 B23 B27 B19 B21 B25 B29" xr:uid="{805E2083-B748-47B3-AEAB-F22F9A9B4A62}">
      <formula1>$S$3:$S$4</formula1>
    </dataValidation>
    <dataValidation type="list" allowBlank="1" showInputMessage="1" showErrorMessage="1" prompt="Cannot be installed on streamlined ships or ships configured as dispersed structure" sqref="B11" xr:uid="{18ACA6C2-B028-4C4B-A804-6CE947255DC8}">
      <formula1>$S$3:$S$4</formula1>
    </dataValidation>
    <dataValidation type="list" allowBlank="1" showInputMessage="1" showErrorMessage="1" prompt="Cargo retrieval net deployed by 4 drones" sqref="B9" xr:uid="{5629C93B-DF48-4EE0-B23D-FD3267270C70}">
      <formula1>$S$3:$S$4</formula1>
    </dataValidation>
    <dataValidation type="whole" operator="greaterThanOrEqual" allowBlank="1" showInputMessage="1" showErrorMessage="1" sqref="C9 C22 C26 C18 C20 C24 C28" xr:uid="{9C2204E6-886D-4692-B460-4FBF016F415B}">
      <formula1>0</formula1>
    </dataValidation>
    <dataValidation type="list" allowBlank="1" showInputMessage="1" showErrorMessage="1" prompt="Hard mounted Cargo retrieval controlled by pilot" sqref="B10" xr:uid="{A6A72876-6266-4ECD-9851-2E672FB5E53A}">
      <formula1>$S$3:$S$4</formula1>
    </dataValidation>
    <dataValidation type="list" allowBlank="1" showInputMessage="1" showErrorMessage="1" prompt="The hauling ship cannot Jump with this net deployed." sqref="B12" xr:uid="{D9C402FA-910D-4DB6-8A80-66E54E458248}">
      <formula1>$S$3:$S$4</formula1>
    </dataValidation>
    <dataValidation allowBlank="1" showInputMessage="1" showErrorMessage="1" prompt="External Cargo capacity in tons._x000a_Thrust and/or Jump Ratings must be recalculated based on the added cargo carried/towed." sqref="D12:D13" xr:uid="{36E5F2CC-D200-43F3-8FA5-ED5C4C3AAAB2}"/>
    <dataValidation type="whole" operator="greaterThanOrEqual" allowBlank="1" showInputMessage="1" showErrorMessage="1" prompt="External Cargo capacity in tons._x000a_Thrust and/or Jump Ratings must be recalculated based on the added cargo carried/towed." sqref="D11" xr:uid="{892BB4F9-6D7A-44C4-A698-8956B901253B}">
      <formula1>0</formula1>
    </dataValidation>
    <dataValidation type="decimal" operator="greaterThanOrEqual" allowBlank="1" showInputMessage="1" showErrorMessage="1" prompt="Cannot exceed 5% of hull value._x000a_Tonnage be separated into multiple compartments." sqref="D30:D31" xr:uid="{88F062ED-37F8-4663-802D-27717D5542F2}">
      <formula1>0</formula1>
    </dataValidation>
    <dataValidation type="decimal" operator="greaterThanOrEqual" allowBlank="1" showInputMessage="1" showErrorMessage="1" sqref="D26 D18 D22 D32 D34" xr:uid="{DD0E21F0-6029-41CB-8474-C1BB3DD7F12F}">
      <formula1>0</formula1>
    </dataValidation>
    <dataValidation type="list" allowBlank="1" showInputMessage="1" showErrorMessage="1" sqref="B24 B28 B20" xr:uid="{F45A3071-4E0F-469E-8E2D-F7AA521531B8}">
      <formula1>$S$7:$S$9</formula1>
    </dataValidation>
    <dataValidation type="decimal" operator="greaterThanOrEqual" allowBlank="1" showInputMessage="1" showErrorMessage="1" promptTitle="Mass Driver" prompt="Small Bay: 2 tons/shot_x000a_Medium Bay: 4 tons/shot_x000a_Large Bay: 20 tons/shot_x000a_Spinal Mount: 50 tons/shot" sqref="D48" xr:uid="{CD2A42B1-98F4-44DD-ABDA-AD889FB84049}">
      <formula1>0</formula1>
    </dataValidation>
    <dataValidation type="list" allowBlank="1" showInputMessage="1" showErrorMessage="1" sqref="B51" xr:uid="{A9A0C1AA-01A7-435F-B497-FDC2267198BE}">
      <formula1>$S$37:$S$38</formula1>
    </dataValidation>
    <dataValidation type="decimal" operator="greaterThanOrEqual" allowBlank="1" showInputMessage="1" showErrorMessage="1" promptTitle="Missile" prompt="1 ton holds 12 missiles" sqref="D38" xr:uid="{66BD8D64-8839-49E2-A1C3-078921B7F51C}">
      <formula1>0</formula1>
    </dataValidation>
    <dataValidation type="decimal" operator="greaterThanOrEqual" allowBlank="1" showInputMessage="1" showErrorMessage="1" promptTitle="Torpedo" prompt="1 ton holds 3 torpedos" sqref="D40" xr:uid="{CBB35FE0-FAC4-4DC1-ACD8-DD7ABB0FF7BA}">
      <formula1>0</formula1>
    </dataValidation>
    <dataValidation type="decimal" operator="greaterThanOrEqual" allowBlank="1" showInputMessage="1" showErrorMessage="1" promptTitle="Sand Cannisters" prompt="1 ton holds 20 sand cannisters" sqref="D42" xr:uid="{30688CF7-AAC2-412F-910A-93210007420E}">
      <formula1>0</formula1>
    </dataValidation>
    <dataValidation type="decimal" operator="greaterThanOrEqual" allowBlank="1" showInputMessage="1" showErrorMessage="1" promptTitle="Special Munitions" prompt="Use for alternate or specialized loadouts. 1 ton holds 12 missiles, 3 torpedos or 20 sand cannisters" sqref="D44" xr:uid="{F9A3B5D0-3476-4BE2-ADBE-84BD6C6F8B06}">
      <formula1>0</formula1>
    </dataValidation>
    <dataValidation type="decimal" operator="greaterThanOrEqual" allowBlank="1" showInputMessage="1" showErrorMessage="1" promptTitle="Railgun Ammunition" prompt="Turret: 1 ton/12 shots_x000a_Barbette: 2 tons/12 shots_x000a_Small Bay: 1 ton/shot_x000a_Medium Bay: 2 tons/shot_x000a_Large Bay: 5 tons/shot_x000a_Spinal Mount: 20 tons/shot" sqref="D46" xr:uid="{034E8556-C606-4FE6-AD79-2D14258A6A73}">
      <formula1>0</formula1>
    </dataValidation>
    <dataValidation type="list" operator="greaterThanOrEqual" allowBlank="1" showInputMessage="1" showErrorMessage="1" sqref="D39 D41 D43 D45 D47 D49" xr:uid="{CEBA026E-C9DF-4DB9-A0DB-77C596C6FEB8}">
      <formula1>$T$3:$T$4</formula1>
    </dataValidation>
    <dataValidation allowBlank="1" showInputMessage="1" showErrorMessage="1" prompt="Cargo Bay Group Description" sqref="B18 B22 B26" xr:uid="{A876C30A-CE37-49AD-BB98-C257FB1493AC}"/>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stopIfTrue="1" id="{0465760A-4A15-4973-A2E0-4948E71AB313}">
            <xm:f>'11-Staterooms'!$C$6=0</xm:f>
            <x14:dxf>
              <fill>
                <patternFill>
                  <bgColor theme="1" tint="0.499984740745262"/>
                </patternFill>
              </fill>
            </x14:dxf>
          </x14:cfRule>
          <xm:sqref>A35 D35</xm:sqref>
        </x14:conditionalFormatting>
        <x14:conditionalFormatting xmlns:xm="http://schemas.microsoft.com/office/excel/2006/main">
          <x14:cfRule type="expression" priority="34" stopIfTrue="1" id="{F3BBABC5-DC96-4C6D-95BC-7D6A9AAC8C4B}">
            <xm:f>'4-Fuel'!$U$25&gt;0</xm:f>
            <x14:dxf>
              <fill>
                <patternFill>
                  <bgColor rgb="FFFF0000"/>
                </patternFill>
              </fill>
            </x14:dxf>
          </x14:cfRule>
          <xm:sqref>A51 D51:D52</xm:sqref>
        </x14:conditionalFormatting>
        <x14:conditionalFormatting xmlns:xm="http://schemas.microsoft.com/office/excel/2006/main">
          <x14:cfRule type="expression" priority="55" id="{F80CB1AB-0C39-4DEE-893A-530814F81697}">
            <xm:f>'1-Hull'!$B$6='1-Hull'!$S$6</xm:f>
            <x14:dxf>
              <fill>
                <patternFill>
                  <bgColor theme="0" tint="-0.499984740745262"/>
                </patternFill>
              </fill>
            </x14:dxf>
          </x14:cfRule>
          <x14:cfRule type="expression" priority="56" id="{196F74C9-868D-44D5-9CDF-01FFD00812AC}">
            <xm:f>'1-Hull'!$B$7='1-Hull'!$T$4</xm:f>
            <x14:dxf>
              <fill>
                <patternFill>
                  <bgColor theme="0" tint="-0.499984740745262"/>
                </patternFill>
              </fill>
            </x14:dxf>
          </x14:cfRule>
          <xm:sqref>A11:D11</xm:sqref>
        </x14:conditionalFormatting>
        <x14:conditionalFormatting xmlns:xm="http://schemas.microsoft.com/office/excel/2006/main">
          <x14:cfRule type="expression" priority="1252" stopIfTrue="1" id="{B4B33A4B-9E55-47F8-90AF-D7632636C260}">
            <xm:f>AND('10-Crew'!$B$5="Military",$D$35&gt;SUM($H$18,+$H$22,$H$26,$H$30,$H$32,$H$34))</xm:f>
            <x14:dxf>
              <font>
                <color theme="1"/>
              </font>
              <fill>
                <patternFill>
                  <bgColor rgb="FFFF0000"/>
                </patternFill>
              </fill>
            </x14:dxf>
          </x14:cfRule>
          <xm:sqref>A34:D34 A35:A36 D35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2B8F4-9E9F-4F62-B419-753E6EBA08E5}">
  <dimension ref="A1:DV160"/>
  <sheetViews>
    <sheetView view="pageLayout" topLeftCell="A50" zoomScale="98" zoomScaleNormal="110" zoomScalePageLayoutView="98" workbookViewId="0">
      <selection activeCell="BH121" sqref="BH121:BR121"/>
    </sheetView>
  </sheetViews>
  <sheetFormatPr baseColWidth="10" defaultColWidth="9.1640625" defaultRowHeight="15"/>
  <cols>
    <col min="1" max="126" width="1" customWidth="1"/>
  </cols>
  <sheetData>
    <row r="1" spans="1:125" ht="19">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Scout</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Zhodani Long Range Scout</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c r="A2" s="590" t="str">
        <f>"Armor: "&amp;'1-Hull'!$D$9&amp;""&amp;IF('1-Hull'!$AB$34=TRUE,"/"&amp;'1-Hull'!$D$9+3&amp;" vs. Lasers","")</f>
        <v>Armor: 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14</v>
      </c>
      <c r="CA2" s="591"/>
      <c r="CB2" s="591"/>
      <c r="CC2" s="591"/>
      <c r="CD2" s="591"/>
      <c r="CE2" s="591"/>
      <c r="CF2" s="591"/>
      <c r="CG2" s="591"/>
      <c r="CH2" s="591"/>
      <c r="CI2" s="19"/>
      <c r="CJ2" s="19"/>
      <c r="CK2" s="19"/>
      <c r="CL2" s="590" t="str">
        <f>"Thrust: "&amp;'2-Drives'!$D$11&amp;IF('2-Drives'!$B$11='2-Drives'!$S$4,", "&amp;'4-Fuel'!$D$8&amp;" Thrust Points","")</f>
        <v>Thrust: 2</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6" thickBot="1">
      <c r="A3" s="588" t="str">
        <f>"Hull Points: "&amp;'1-Hull'!$D$7</f>
        <v>Hull Points: 120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300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Needle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13</v>
      </c>
      <c r="DJ3" s="591"/>
      <c r="DK3" s="591"/>
      <c r="DL3" s="591"/>
      <c r="DM3" s="591"/>
      <c r="DN3" s="591"/>
      <c r="DO3" s="591"/>
      <c r="DP3" s="591"/>
      <c r="DQ3" s="591"/>
      <c r="DR3" s="591"/>
      <c r="DS3" s="591"/>
      <c r="DT3" s="591"/>
      <c r="DU3" s="19"/>
    </row>
    <row r="4" spans="1:125" ht="5.75" customHeight="1" thickBot="1">
      <c r="A4" s="31">
        <v>1</v>
      </c>
      <c r="B4" s="32">
        <f>A4+1</f>
        <v>2</v>
      </c>
      <c r="C4" s="32">
        <f t="shared" ref="C4:BN19"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8"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U4" s="30"/>
    </row>
    <row r="5" spans="1:125" ht="5.75" customHeight="1">
      <c r="A5" s="36">
        <v>121</v>
      </c>
      <c r="B5" s="37">
        <f>A5+1</f>
        <v>122</v>
      </c>
      <c r="C5" s="37">
        <f t="shared" si="0"/>
        <v>123</v>
      </c>
      <c r="D5" s="37">
        <f t="shared" si="0"/>
        <v>124</v>
      </c>
      <c r="E5" s="37">
        <f t="shared" si="0"/>
        <v>125</v>
      </c>
      <c r="F5" s="37">
        <f t="shared" si="0"/>
        <v>126</v>
      </c>
      <c r="G5" s="37">
        <f t="shared" si="0"/>
        <v>127</v>
      </c>
      <c r="H5" s="37">
        <f t="shared" si="0"/>
        <v>128</v>
      </c>
      <c r="I5" s="37">
        <f t="shared" si="0"/>
        <v>129</v>
      </c>
      <c r="J5" s="38">
        <f t="shared" si="0"/>
        <v>130</v>
      </c>
      <c r="K5" s="36">
        <f t="shared" si="0"/>
        <v>131</v>
      </c>
      <c r="L5" s="37">
        <f t="shared" si="0"/>
        <v>132</v>
      </c>
      <c r="M5" s="37">
        <f t="shared" si="0"/>
        <v>133</v>
      </c>
      <c r="N5" s="37">
        <f t="shared" si="0"/>
        <v>134</v>
      </c>
      <c r="O5" s="37">
        <f t="shared" si="0"/>
        <v>135</v>
      </c>
      <c r="P5" s="37">
        <f t="shared" si="0"/>
        <v>136</v>
      </c>
      <c r="Q5" s="37">
        <f t="shared" si="0"/>
        <v>137</v>
      </c>
      <c r="R5" s="37">
        <f t="shared" si="0"/>
        <v>138</v>
      </c>
      <c r="S5" s="37">
        <f t="shared" si="0"/>
        <v>139</v>
      </c>
      <c r="T5" s="38">
        <f t="shared" si="0"/>
        <v>140</v>
      </c>
      <c r="U5" s="36">
        <f t="shared" si="0"/>
        <v>141</v>
      </c>
      <c r="V5" s="37">
        <f t="shared" si="0"/>
        <v>142</v>
      </c>
      <c r="W5" s="37">
        <f t="shared" si="0"/>
        <v>143</v>
      </c>
      <c r="X5" s="37">
        <f t="shared" si="0"/>
        <v>144</v>
      </c>
      <c r="Y5" s="37">
        <f t="shared" si="0"/>
        <v>145</v>
      </c>
      <c r="Z5" s="37">
        <f t="shared" si="0"/>
        <v>146</v>
      </c>
      <c r="AA5" s="37">
        <f t="shared" si="0"/>
        <v>147</v>
      </c>
      <c r="AB5" s="37">
        <f t="shared" si="0"/>
        <v>148</v>
      </c>
      <c r="AC5" s="37">
        <f t="shared" si="0"/>
        <v>149</v>
      </c>
      <c r="AD5" s="38">
        <f t="shared" si="0"/>
        <v>150</v>
      </c>
      <c r="AE5" s="36">
        <f t="shared" si="0"/>
        <v>151</v>
      </c>
      <c r="AF5" s="37">
        <f t="shared" si="0"/>
        <v>152</v>
      </c>
      <c r="AG5" s="37">
        <f t="shared" si="0"/>
        <v>153</v>
      </c>
      <c r="AH5" s="37">
        <f t="shared" si="0"/>
        <v>154</v>
      </c>
      <c r="AI5" s="37">
        <f t="shared" si="0"/>
        <v>155</v>
      </c>
      <c r="AJ5" s="37">
        <f t="shared" si="0"/>
        <v>156</v>
      </c>
      <c r="AK5" s="37">
        <f t="shared" si="0"/>
        <v>157</v>
      </c>
      <c r="AL5" s="37">
        <f t="shared" si="0"/>
        <v>158</v>
      </c>
      <c r="AM5" s="37">
        <f t="shared" si="0"/>
        <v>159</v>
      </c>
      <c r="AN5" s="38">
        <f t="shared" si="0"/>
        <v>160</v>
      </c>
      <c r="AO5" s="36">
        <f t="shared" si="0"/>
        <v>161</v>
      </c>
      <c r="AP5" s="37">
        <f t="shared" si="0"/>
        <v>162</v>
      </c>
      <c r="AQ5" s="37">
        <f t="shared" si="0"/>
        <v>163</v>
      </c>
      <c r="AR5" s="37">
        <f t="shared" si="0"/>
        <v>164</v>
      </c>
      <c r="AS5" s="37">
        <f t="shared" si="0"/>
        <v>165</v>
      </c>
      <c r="AT5" s="37">
        <f t="shared" si="0"/>
        <v>166</v>
      </c>
      <c r="AU5" s="37">
        <f t="shared" si="0"/>
        <v>167</v>
      </c>
      <c r="AV5" s="37">
        <f t="shared" si="0"/>
        <v>168</v>
      </c>
      <c r="AW5" s="37">
        <f t="shared" si="0"/>
        <v>169</v>
      </c>
      <c r="AX5" s="38">
        <f t="shared" si="0"/>
        <v>170</v>
      </c>
      <c r="AY5" s="36">
        <f t="shared" si="0"/>
        <v>171</v>
      </c>
      <c r="AZ5" s="37">
        <f t="shared" si="0"/>
        <v>172</v>
      </c>
      <c r="BA5" s="37">
        <f t="shared" si="0"/>
        <v>173</v>
      </c>
      <c r="BB5" s="37">
        <f t="shared" si="0"/>
        <v>174</v>
      </c>
      <c r="BC5" s="37">
        <f t="shared" si="0"/>
        <v>175</v>
      </c>
      <c r="BD5" s="37">
        <f t="shared" si="0"/>
        <v>176</v>
      </c>
      <c r="BE5" s="37">
        <f t="shared" si="0"/>
        <v>177</v>
      </c>
      <c r="BF5" s="37">
        <f t="shared" si="0"/>
        <v>178</v>
      </c>
      <c r="BG5" s="37">
        <f t="shared" si="0"/>
        <v>179</v>
      </c>
      <c r="BH5" s="38">
        <f t="shared" si="0"/>
        <v>180</v>
      </c>
      <c r="BI5" s="36">
        <f t="shared" si="0"/>
        <v>181</v>
      </c>
      <c r="BJ5" s="37">
        <f t="shared" si="0"/>
        <v>182</v>
      </c>
      <c r="BK5" s="37">
        <f t="shared" si="0"/>
        <v>183</v>
      </c>
      <c r="BL5" s="37">
        <f t="shared" si="0"/>
        <v>184</v>
      </c>
      <c r="BM5" s="37">
        <f t="shared" si="0"/>
        <v>185</v>
      </c>
      <c r="BN5" s="37">
        <f t="shared" si="0"/>
        <v>186</v>
      </c>
      <c r="BO5" s="37">
        <f t="shared" si="1"/>
        <v>187</v>
      </c>
      <c r="BP5" s="37">
        <f t="shared" si="1"/>
        <v>188</v>
      </c>
      <c r="BQ5" s="37">
        <f t="shared" si="1"/>
        <v>189</v>
      </c>
      <c r="BR5" s="39">
        <f t="shared" si="1"/>
        <v>190</v>
      </c>
      <c r="BS5" s="36">
        <f t="shared" si="1"/>
        <v>191</v>
      </c>
      <c r="BT5" s="37">
        <f t="shared" si="1"/>
        <v>192</v>
      </c>
      <c r="BU5" s="37">
        <f t="shared" si="1"/>
        <v>193</v>
      </c>
      <c r="BV5" s="37">
        <f t="shared" si="1"/>
        <v>194</v>
      </c>
      <c r="BW5" s="37">
        <f t="shared" si="1"/>
        <v>195</v>
      </c>
      <c r="BX5" s="37">
        <f t="shared" si="1"/>
        <v>196</v>
      </c>
      <c r="BY5" s="37">
        <f t="shared" si="1"/>
        <v>197</v>
      </c>
      <c r="BZ5" s="37">
        <f t="shared" si="1"/>
        <v>198</v>
      </c>
      <c r="CA5" s="37">
        <f t="shared" si="1"/>
        <v>199</v>
      </c>
      <c r="CB5" s="38">
        <f t="shared" si="1"/>
        <v>200</v>
      </c>
      <c r="CC5" s="40">
        <f t="shared" si="1"/>
        <v>201</v>
      </c>
      <c r="CD5" s="37">
        <f t="shared" si="1"/>
        <v>202</v>
      </c>
      <c r="CE5" s="37">
        <f t="shared" si="1"/>
        <v>203</v>
      </c>
      <c r="CF5" s="37">
        <f t="shared" si="1"/>
        <v>204</v>
      </c>
      <c r="CG5" s="37">
        <f t="shared" si="1"/>
        <v>205</v>
      </c>
      <c r="CH5" s="37">
        <f t="shared" si="1"/>
        <v>206</v>
      </c>
      <c r="CI5" s="37">
        <f t="shared" si="1"/>
        <v>207</v>
      </c>
      <c r="CJ5" s="37">
        <f t="shared" si="1"/>
        <v>208</v>
      </c>
      <c r="CK5" s="37">
        <f t="shared" si="1"/>
        <v>209</v>
      </c>
      <c r="CL5" s="39">
        <f t="shared" si="1"/>
        <v>210</v>
      </c>
      <c r="CM5" s="36">
        <f t="shared" si="1"/>
        <v>211</v>
      </c>
      <c r="CN5" s="37">
        <f t="shared" si="1"/>
        <v>212</v>
      </c>
      <c r="CO5" s="37">
        <f t="shared" si="1"/>
        <v>213</v>
      </c>
      <c r="CP5" s="37">
        <f t="shared" si="1"/>
        <v>214</v>
      </c>
      <c r="CQ5" s="37">
        <f t="shared" si="1"/>
        <v>215</v>
      </c>
      <c r="CR5" s="37">
        <f t="shared" si="1"/>
        <v>216</v>
      </c>
      <c r="CS5" s="37">
        <f t="shared" si="1"/>
        <v>217</v>
      </c>
      <c r="CT5" s="37">
        <f t="shared" si="1"/>
        <v>218</v>
      </c>
      <c r="CU5" s="37">
        <f t="shared" si="1"/>
        <v>219</v>
      </c>
      <c r="CV5" s="38">
        <f t="shared" si="1"/>
        <v>220</v>
      </c>
      <c r="CW5" s="40">
        <f t="shared" si="1"/>
        <v>221</v>
      </c>
      <c r="CX5" s="37">
        <f t="shared" si="1"/>
        <v>222</v>
      </c>
      <c r="CY5" s="37">
        <f t="shared" si="1"/>
        <v>223</v>
      </c>
      <c r="CZ5" s="37">
        <f t="shared" si="1"/>
        <v>224</v>
      </c>
      <c r="DA5" s="37">
        <f t="shared" si="1"/>
        <v>225</v>
      </c>
      <c r="DB5" s="37">
        <f t="shared" si="1"/>
        <v>226</v>
      </c>
      <c r="DC5" s="37">
        <f t="shared" si="1"/>
        <v>227</v>
      </c>
      <c r="DD5" s="37">
        <f t="shared" si="1"/>
        <v>228</v>
      </c>
      <c r="DE5" s="37">
        <f t="shared" si="1"/>
        <v>229</v>
      </c>
      <c r="DF5" s="39">
        <f t="shared" si="1"/>
        <v>230</v>
      </c>
      <c r="DG5" s="36">
        <f t="shared" si="1"/>
        <v>231</v>
      </c>
      <c r="DH5" s="37">
        <f t="shared" si="1"/>
        <v>232</v>
      </c>
      <c r="DI5" s="37">
        <f t="shared" si="1"/>
        <v>233</v>
      </c>
      <c r="DJ5" s="37">
        <f t="shared" si="1"/>
        <v>234</v>
      </c>
      <c r="DK5" s="37">
        <f t="shared" si="1"/>
        <v>235</v>
      </c>
      <c r="DL5" s="37">
        <f t="shared" si="1"/>
        <v>236</v>
      </c>
      <c r="DM5" s="37">
        <f t="shared" si="1"/>
        <v>237</v>
      </c>
      <c r="DN5" s="37">
        <f t="shared" si="1"/>
        <v>238</v>
      </c>
      <c r="DO5" s="37">
        <f t="shared" si="1"/>
        <v>239</v>
      </c>
      <c r="DP5" s="38">
        <f t="shared" si="1"/>
        <v>240</v>
      </c>
      <c r="DQ5" s="30"/>
      <c r="DR5" s="972">
        <v>0</v>
      </c>
      <c r="DS5" s="973"/>
      <c r="DT5" s="973"/>
      <c r="DU5" s="974"/>
    </row>
    <row r="6" spans="1:125" ht="5.75" customHeight="1">
      <c r="A6" s="36">
        <v>241</v>
      </c>
      <c r="B6" s="37">
        <f>A6+1</f>
        <v>242</v>
      </c>
      <c r="C6" s="37">
        <f t="shared" si="0"/>
        <v>243</v>
      </c>
      <c r="D6" s="37">
        <f t="shared" si="0"/>
        <v>244</v>
      </c>
      <c r="E6" s="37">
        <f t="shared" si="0"/>
        <v>245</v>
      </c>
      <c r="F6" s="37">
        <f t="shared" si="0"/>
        <v>246</v>
      </c>
      <c r="G6" s="37">
        <f t="shared" si="0"/>
        <v>247</v>
      </c>
      <c r="H6" s="37">
        <f t="shared" si="0"/>
        <v>248</v>
      </c>
      <c r="I6" s="37">
        <f t="shared" si="0"/>
        <v>249</v>
      </c>
      <c r="J6" s="38">
        <f t="shared" si="0"/>
        <v>250</v>
      </c>
      <c r="K6" s="36">
        <f t="shared" si="0"/>
        <v>251</v>
      </c>
      <c r="L6" s="37">
        <f t="shared" si="0"/>
        <v>252</v>
      </c>
      <c r="M6" s="37">
        <f t="shared" si="0"/>
        <v>253</v>
      </c>
      <c r="N6" s="37">
        <f t="shared" si="0"/>
        <v>254</v>
      </c>
      <c r="O6" s="37">
        <f t="shared" si="0"/>
        <v>255</v>
      </c>
      <c r="P6" s="37">
        <f t="shared" si="0"/>
        <v>256</v>
      </c>
      <c r="Q6" s="37">
        <f t="shared" si="0"/>
        <v>257</v>
      </c>
      <c r="R6" s="37">
        <f t="shared" si="0"/>
        <v>258</v>
      </c>
      <c r="S6" s="37">
        <f t="shared" si="0"/>
        <v>259</v>
      </c>
      <c r="T6" s="38">
        <f t="shared" si="0"/>
        <v>260</v>
      </c>
      <c r="U6" s="36">
        <f t="shared" si="0"/>
        <v>261</v>
      </c>
      <c r="V6" s="37">
        <f t="shared" si="0"/>
        <v>262</v>
      </c>
      <c r="W6" s="37">
        <f t="shared" si="0"/>
        <v>263</v>
      </c>
      <c r="X6" s="37">
        <f t="shared" si="0"/>
        <v>264</v>
      </c>
      <c r="Y6" s="37">
        <f t="shared" si="0"/>
        <v>265</v>
      </c>
      <c r="Z6" s="37">
        <f t="shared" si="0"/>
        <v>266</v>
      </c>
      <c r="AA6" s="37">
        <f t="shared" si="0"/>
        <v>267</v>
      </c>
      <c r="AB6" s="37">
        <f t="shared" si="0"/>
        <v>268</v>
      </c>
      <c r="AC6" s="37">
        <f t="shared" si="0"/>
        <v>269</v>
      </c>
      <c r="AD6" s="38">
        <f t="shared" si="0"/>
        <v>270</v>
      </c>
      <c r="AE6" s="36">
        <f t="shared" si="0"/>
        <v>271</v>
      </c>
      <c r="AF6" s="37">
        <f t="shared" si="0"/>
        <v>272</v>
      </c>
      <c r="AG6" s="37">
        <f t="shared" si="0"/>
        <v>273</v>
      </c>
      <c r="AH6" s="37">
        <f t="shared" si="0"/>
        <v>274</v>
      </c>
      <c r="AI6" s="37">
        <f t="shared" si="0"/>
        <v>275</v>
      </c>
      <c r="AJ6" s="37">
        <f t="shared" si="0"/>
        <v>276</v>
      </c>
      <c r="AK6" s="37">
        <f t="shared" si="0"/>
        <v>277</v>
      </c>
      <c r="AL6" s="37">
        <f t="shared" si="0"/>
        <v>278</v>
      </c>
      <c r="AM6" s="37">
        <f t="shared" si="0"/>
        <v>279</v>
      </c>
      <c r="AN6" s="38">
        <f t="shared" si="0"/>
        <v>280</v>
      </c>
      <c r="AO6" s="36">
        <f t="shared" si="0"/>
        <v>281</v>
      </c>
      <c r="AP6" s="37">
        <f t="shared" si="0"/>
        <v>282</v>
      </c>
      <c r="AQ6" s="37">
        <f t="shared" si="0"/>
        <v>283</v>
      </c>
      <c r="AR6" s="37">
        <f t="shared" si="0"/>
        <v>284</v>
      </c>
      <c r="AS6" s="37">
        <f t="shared" si="0"/>
        <v>285</v>
      </c>
      <c r="AT6" s="37">
        <f t="shared" si="0"/>
        <v>286</v>
      </c>
      <c r="AU6" s="37">
        <f t="shared" si="0"/>
        <v>287</v>
      </c>
      <c r="AV6" s="37">
        <f t="shared" si="0"/>
        <v>288</v>
      </c>
      <c r="AW6" s="37">
        <f t="shared" si="0"/>
        <v>289</v>
      </c>
      <c r="AX6" s="38">
        <f t="shared" si="0"/>
        <v>290</v>
      </c>
      <c r="AY6" s="36">
        <f t="shared" si="0"/>
        <v>291</v>
      </c>
      <c r="AZ6" s="37">
        <f t="shared" si="0"/>
        <v>292</v>
      </c>
      <c r="BA6" s="37">
        <f t="shared" si="0"/>
        <v>293</v>
      </c>
      <c r="BB6" s="37">
        <f t="shared" si="0"/>
        <v>294</v>
      </c>
      <c r="BC6" s="37">
        <f t="shared" si="0"/>
        <v>295</v>
      </c>
      <c r="BD6" s="37">
        <f t="shared" si="0"/>
        <v>296</v>
      </c>
      <c r="BE6" s="37">
        <f t="shared" si="0"/>
        <v>297</v>
      </c>
      <c r="BF6" s="37">
        <f t="shared" si="0"/>
        <v>298</v>
      </c>
      <c r="BG6" s="37">
        <f t="shared" si="0"/>
        <v>299</v>
      </c>
      <c r="BH6" s="38">
        <f t="shared" si="0"/>
        <v>300</v>
      </c>
      <c r="BI6" s="36">
        <f t="shared" si="0"/>
        <v>301</v>
      </c>
      <c r="BJ6" s="37">
        <f t="shared" si="0"/>
        <v>302</v>
      </c>
      <c r="BK6" s="37">
        <f t="shared" si="0"/>
        <v>303</v>
      </c>
      <c r="BL6" s="37">
        <f t="shared" si="0"/>
        <v>304</v>
      </c>
      <c r="BM6" s="37">
        <f t="shared" si="0"/>
        <v>305</v>
      </c>
      <c r="BN6" s="37">
        <f t="shared" si="0"/>
        <v>306</v>
      </c>
      <c r="BO6" s="37">
        <f t="shared" si="1"/>
        <v>307</v>
      </c>
      <c r="BP6" s="37">
        <f t="shared" si="1"/>
        <v>308</v>
      </c>
      <c r="BQ6" s="37">
        <f t="shared" si="1"/>
        <v>309</v>
      </c>
      <c r="BR6" s="39">
        <f t="shared" si="1"/>
        <v>310</v>
      </c>
      <c r="BS6" s="36">
        <f t="shared" si="1"/>
        <v>311</v>
      </c>
      <c r="BT6" s="37">
        <f t="shared" si="1"/>
        <v>312</v>
      </c>
      <c r="BU6" s="37">
        <f t="shared" si="1"/>
        <v>313</v>
      </c>
      <c r="BV6" s="37">
        <f t="shared" si="1"/>
        <v>314</v>
      </c>
      <c r="BW6" s="37">
        <f t="shared" si="1"/>
        <v>315</v>
      </c>
      <c r="BX6" s="37">
        <f t="shared" si="1"/>
        <v>316</v>
      </c>
      <c r="BY6" s="37">
        <f t="shared" si="1"/>
        <v>317</v>
      </c>
      <c r="BZ6" s="37">
        <f t="shared" si="1"/>
        <v>318</v>
      </c>
      <c r="CA6" s="37">
        <f t="shared" si="1"/>
        <v>319</v>
      </c>
      <c r="CB6" s="38">
        <f t="shared" si="1"/>
        <v>320</v>
      </c>
      <c r="CC6" s="40">
        <f t="shared" si="1"/>
        <v>321</v>
      </c>
      <c r="CD6" s="37">
        <f t="shared" si="1"/>
        <v>322</v>
      </c>
      <c r="CE6" s="37">
        <f t="shared" si="1"/>
        <v>323</v>
      </c>
      <c r="CF6" s="37">
        <f t="shared" si="1"/>
        <v>324</v>
      </c>
      <c r="CG6" s="37">
        <f t="shared" si="1"/>
        <v>325</v>
      </c>
      <c r="CH6" s="37">
        <f t="shared" si="1"/>
        <v>326</v>
      </c>
      <c r="CI6" s="37">
        <f t="shared" si="1"/>
        <v>327</v>
      </c>
      <c r="CJ6" s="37">
        <f t="shared" si="1"/>
        <v>328</v>
      </c>
      <c r="CK6" s="37">
        <f t="shared" si="1"/>
        <v>329</v>
      </c>
      <c r="CL6" s="39">
        <f t="shared" si="1"/>
        <v>330</v>
      </c>
      <c r="CM6" s="36">
        <f t="shared" si="1"/>
        <v>331</v>
      </c>
      <c r="CN6" s="37">
        <f t="shared" si="1"/>
        <v>332</v>
      </c>
      <c r="CO6" s="37">
        <f t="shared" si="1"/>
        <v>333</v>
      </c>
      <c r="CP6" s="37">
        <f t="shared" si="1"/>
        <v>334</v>
      </c>
      <c r="CQ6" s="37">
        <f t="shared" si="1"/>
        <v>335</v>
      </c>
      <c r="CR6" s="37">
        <f t="shared" si="1"/>
        <v>336</v>
      </c>
      <c r="CS6" s="37">
        <f t="shared" si="1"/>
        <v>337</v>
      </c>
      <c r="CT6" s="37">
        <f t="shared" si="1"/>
        <v>338</v>
      </c>
      <c r="CU6" s="37">
        <f t="shared" si="1"/>
        <v>339</v>
      </c>
      <c r="CV6" s="38">
        <f t="shared" si="1"/>
        <v>340</v>
      </c>
      <c r="CW6" s="40">
        <f t="shared" si="1"/>
        <v>341</v>
      </c>
      <c r="CX6" s="37">
        <f t="shared" si="1"/>
        <v>342</v>
      </c>
      <c r="CY6" s="37">
        <f t="shared" si="1"/>
        <v>343</v>
      </c>
      <c r="CZ6" s="37">
        <f t="shared" si="1"/>
        <v>344</v>
      </c>
      <c r="DA6" s="37">
        <f t="shared" si="1"/>
        <v>345</v>
      </c>
      <c r="DB6" s="37">
        <f t="shared" si="1"/>
        <v>346</v>
      </c>
      <c r="DC6" s="37">
        <f t="shared" si="1"/>
        <v>347</v>
      </c>
      <c r="DD6" s="37">
        <f t="shared" si="1"/>
        <v>348</v>
      </c>
      <c r="DE6" s="37">
        <f t="shared" si="1"/>
        <v>349</v>
      </c>
      <c r="DF6" s="39">
        <f t="shared" si="1"/>
        <v>350</v>
      </c>
      <c r="DG6" s="36">
        <f t="shared" si="1"/>
        <v>351</v>
      </c>
      <c r="DH6" s="37">
        <f t="shared" si="1"/>
        <v>352</v>
      </c>
      <c r="DI6" s="37">
        <f t="shared" si="1"/>
        <v>353</v>
      </c>
      <c r="DJ6" s="37">
        <f t="shared" si="1"/>
        <v>354</v>
      </c>
      <c r="DK6" s="37">
        <f t="shared" si="1"/>
        <v>355</v>
      </c>
      <c r="DL6" s="37">
        <f t="shared" si="1"/>
        <v>356</v>
      </c>
      <c r="DM6" s="37">
        <f t="shared" si="1"/>
        <v>357</v>
      </c>
      <c r="DN6" s="37">
        <f t="shared" si="1"/>
        <v>358</v>
      </c>
      <c r="DO6" s="37">
        <f t="shared" si="1"/>
        <v>359</v>
      </c>
      <c r="DP6" s="38">
        <f t="shared" si="1"/>
        <v>360</v>
      </c>
      <c r="DQ6" s="30"/>
      <c r="DR6" s="966"/>
      <c r="DS6" s="967"/>
      <c r="DT6" s="967"/>
      <c r="DU6" s="968"/>
    </row>
    <row r="7" spans="1:125" ht="5.75" customHeight="1">
      <c r="A7" s="36">
        <v>361</v>
      </c>
      <c r="B7" s="37">
        <f t="shared" ref="B7:BM10" si="2">A7+1</f>
        <v>362</v>
      </c>
      <c r="C7" s="37">
        <f t="shared" si="2"/>
        <v>363</v>
      </c>
      <c r="D7" s="37">
        <f t="shared" si="2"/>
        <v>364</v>
      </c>
      <c r="E7" s="37">
        <f t="shared" si="2"/>
        <v>365</v>
      </c>
      <c r="F7" s="37">
        <f t="shared" si="2"/>
        <v>366</v>
      </c>
      <c r="G7" s="37">
        <f t="shared" si="2"/>
        <v>367</v>
      </c>
      <c r="H7" s="37">
        <f t="shared" si="2"/>
        <v>368</v>
      </c>
      <c r="I7" s="37">
        <f t="shared" si="2"/>
        <v>369</v>
      </c>
      <c r="J7" s="38">
        <f t="shared" si="2"/>
        <v>370</v>
      </c>
      <c r="K7" s="36">
        <f t="shared" si="2"/>
        <v>371</v>
      </c>
      <c r="L7" s="37">
        <f t="shared" si="2"/>
        <v>372</v>
      </c>
      <c r="M7" s="37">
        <f t="shared" si="2"/>
        <v>373</v>
      </c>
      <c r="N7" s="37">
        <f t="shared" si="2"/>
        <v>374</v>
      </c>
      <c r="O7" s="37">
        <f t="shared" si="2"/>
        <v>375</v>
      </c>
      <c r="P7" s="37">
        <f t="shared" si="2"/>
        <v>376</v>
      </c>
      <c r="Q7" s="37">
        <f t="shared" si="2"/>
        <v>377</v>
      </c>
      <c r="R7" s="37">
        <f t="shared" si="2"/>
        <v>378</v>
      </c>
      <c r="S7" s="37">
        <f t="shared" si="2"/>
        <v>379</v>
      </c>
      <c r="T7" s="38">
        <f t="shared" si="2"/>
        <v>380</v>
      </c>
      <c r="U7" s="36">
        <f t="shared" si="2"/>
        <v>381</v>
      </c>
      <c r="V7" s="37">
        <f t="shared" si="2"/>
        <v>382</v>
      </c>
      <c r="W7" s="37">
        <f t="shared" si="2"/>
        <v>383</v>
      </c>
      <c r="X7" s="37">
        <f t="shared" si="2"/>
        <v>384</v>
      </c>
      <c r="Y7" s="37">
        <f t="shared" si="2"/>
        <v>385</v>
      </c>
      <c r="Z7" s="37">
        <f t="shared" si="2"/>
        <v>386</v>
      </c>
      <c r="AA7" s="37">
        <f t="shared" si="2"/>
        <v>387</v>
      </c>
      <c r="AB7" s="37">
        <f t="shared" si="2"/>
        <v>388</v>
      </c>
      <c r="AC7" s="37">
        <f t="shared" si="2"/>
        <v>389</v>
      </c>
      <c r="AD7" s="38">
        <f t="shared" si="2"/>
        <v>390</v>
      </c>
      <c r="AE7" s="36">
        <f t="shared" si="2"/>
        <v>391</v>
      </c>
      <c r="AF7" s="37">
        <f t="shared" si="2"/>
        <v>392</v>
      </c>
      <c r="AG7" s="37">
        <f t="shared" si="2"/>
        <v>393</v>
      </c>
      <c r="AH7" s="37">
        <f t="shared" si="2"/>
        <v>394</v>
      </c>
      <c r="AI7" s="37">
        <f t="shared" si="2"/>
        <v>395</v>
      </c>
      <c r="AJ7" s="37">
        <f t="shared" si="2"/>
        <v>396</v>
      </c>
      <c r="AK7" s="37">
        <f t="shared" si="2"/>
        <v>397</v>
      </c>
      <c r="AL7" s="37">
        <f t="shared" si="2"/>
        <v>398</v>
      </c>
      <c r="AM7" s="37">
        <f t="shared" si="2"/>
        <v>399</v>
      </c>
      <c r="AN7" s="38">
        <f t="shared" si="2"/>
        <v>400</v>
      </c>
      <c r="AO7" s="36">
        <f t="shared" si="2"/>
        <v>401</v>
      </c>
      <c r="AP7" s="37">
        <f t="shared" si="2"/>
        <v>402</v>
      </c>
      <c r="AQ7" s="37">
        <f t="shared" si="2"/>
        <v>403</v>
      </c>
      <c r="AR7" s="37">
        <f t="shared" si="2"/>
        <v>404</v>
      </c>
      <c r="AS7" s="37">
        <f t="shared" si="2"/>
        <v>405</v>
      </c>
      <c r="AT7" s="37">
        <f t="shared" si="2"/>
        <v>406</v>
      </c>
      <c r="AU7" s="37">
        <f t="shared" si="2"/>
        <v>407</v>
      </c>
      <c r="AV7" s="37">
        <f t="shared" si="2"/>
        <v>408</v>
      </c>
      <c r="AW7" s="37">
        <f t="shared" si="2"/>
        <v>409</v>
      </c>
      <c r="AX7" s="38">
        <f t="shared" si="2"/>
        <v>410</v>
      </c>
      <c r="AY7" s="36">
        <f t="shared" si="2"/>
        <v>411</v>
      </c>
      <c r="AZ7" s="37">
        <f t="shared" si="2"/>
        <v>412</v>
      </c>
      <c r="BA7" s="37">
        <f t="shared" si="2"/>
        <v>413</v>
      </c>
      <c r="BB7" s="37">
        <f t="shared" si="2"/>
        <v>414</v>
      </c>
      <c r="BC7" s="37">
        <f t="shared" si="2"/>
        <v>415</v>
      </c>
      <c r="BD7" s="37">
        <f t="shared" si="2"/>
        <v>416</v>
      </c>
      <c r="BE7" s="37">
        <f t="shared" si="2"/>
        <v>417</v>
      </c>
      <c r="BF7" s="37">
        <f t="shared" si="2"/>
        <v>418</v>
      </c>
      <c r="BG7" s="37">
        <f t="shared" si="2"/>
        <v>419</v>
      </c>
      <c r="BH7" s="38">
        <f t="shared" si="2"/>
        <v>420</v>
      </c>
      <c r="BI7" s="36">
        <f t="shared" si="2"/>
        <v>421</v>
      </c>
      <c r="BJ7" s="37">
        <f t="shared" si="2"/>
        <v>422</v>
      </c>
      <c r="BK7" s="37">
        <f t="shared" si="2"/>
        <v>423</v>
      </c>
      <c r="BL7" s="37">
        <f t="shared" si="2"/>
        <v>424</v>
      </c>
      <c r="BM7" s="37">
        <f t="shared" si="2"/>
        <v>425</v>
      </c>
      <c r="BN7" s="37">
        <f t="shared" si="0"/>
        <v>426</v>
      </c>
      <c r="BO7" s="37">
        <f t="shared" si="1"/>
        <v>427</v>
      </c>
      <c r="BP7" s="37">
        <f t="shared" si="1"/>
        <v>428</v>
      </c>
      <c r="BQ7" s="37">
        <f t="shared" si="1"/>
        <v>429</v>
      </c>
      <c r="BR7" s="39">
        <f t="shared" si="1"/>
        <v>430</v>
      </c>
      <c r="BS7" s="36">
        <f t="shared" si="1"/>
        <v>431</v>
      </c>
      <c r="BT7" s="37">
        <f t="shared" si="1"/>
        <v>432</v>
      </c>
      <c r="BU7" s="37">
        <f t="shared" si="1"/>
        <v>433</v>
      </c>
      <c r="BV7" s="37">
        <f t="shared" si="1"/>
        <v>434</v>
      </c>
      <c r="BW7" s="37">
        <f t="shared" si="1"/>
        <v>435</v>
      </c>
      <c r="BX7" s="37">
        <f t="shared" si="1"/>
        <v>436</v>
      </c>
      <c r="BY7" s="37">
        <f t="shared" si="1"/>
        <v>437</v>
      </c>
      <c r="BZ7" s="37">
        <f t="shared" si="1"/>
        <v>438</v>
      </c>
      <c r="CA7" s="37">
        <f t="shared" si="1"/>
        <v>439</v>
      </c>
      <c r="CB7" s="38">
        <f t="shared" si="1"/>
        <v>440</v>
      </c>
      <c r="CC7" s="40">
        <f t="shared" si="1"/>
        <v>441</v>
      </c>
      <c r="CD7" s="37">
        <f t="shared" si="1"/>
        <v>442</v>
      </c>
      <c r="CE7" s="37">
        <f t="shared" si="1"/>
        <v>443</v>
      </c>
      <c r="CF7" s="37">
        <f t="shared" si="1"/>
        <v>444</v>
      </c>
      <c r="CG7" s="37">
        <f t="shared" si="1"/>
        <v>445</v>
      </c>
      <c r="CH7" s="37">
        <f t="shared" si="1"/>
        <v>446</v>
      </c>
      <c r="CI7" s="37">
        <f t="shared" si="1"/>
        <v>447</v>
      </c>
      <c r="CJ7" s="37">
        <f t="shared" si="1"/>
        <v>448</v>
      </c>
      <c r="CK7" s="37">
        <f t="shared" si="1"/>
        <v>449</v>
      </c>
      <c r="CL7" s="39">
        <f t="shared" si="1"/>
        <v>450</v>
      </c>
      <c r="CM7" s="36">
        <f t="shared" si="1"/>
        <v>451</v>
      </c>
      <c r="CN7" s="37">
        <f t="shared" si="1"/>
        <v>452</v>
      </c>
      <c r="CO7" s="37">
        <f t="shared" si="1"/>
        <v>453</v>
      </c>
      <c r="CP7" s="37">
        <f t="shared" si="1"/>
        <v>454</v>
      </c>
      <c r="CQ7" s="37">
        <f t="shared" si="1"/>
        <v>455</v>
      </c>
      <c r="CR7" s="37">
        <f t="shared" si="1"/>
        <v>456</v>
      </c>
      <c r="CS7" s="37">
        <f t="shared" si="1"/>
        <v>457</v>
      </c>
      <c r="CT7" s="37">
        <f t="shared" si="1"/>
        <v>458</v>
      </c>
      <c r="CU7" s="37">
        <f t="shared" si="1"/>
        <v>459</v>
      </c>
      <c r="CV7" s="38">
        <f t="shared" si="1"/>
        <v>460</v>
      </c>
      <c r="CW7" s="40">
        <f t="shared" si="1"/>
        <v>461</v>
      </c>
      <c r="CX7" s="37">
        <f t="shared" si="1"/>
        <v>462</v>
      </c>
      <c r="CY7" s="37">
        <f t="shared" si="1"/>
        <v>463</v>
      </c>
      <c r="CZ7" s="37">
        <f t="shared" si="1"/>
        <v>464</v>
      </c>
      <c r="DA7" s="37">
        <f t="shared" si="1"/>
        <v>465</v>
      </c>
      <c r="DB7" s="37">
        <f t="shared" si="1"/>
        <v>466</v>
      </c>
      <c r="DC7" s="37">
        <f t="shared" si="1"/>
        <v>467</v>
      </c>
      <c r="DD7" s="37">
        <f t="shared" si="1"/>
        <v>468</v>
      </c>
      <c r="DE7" s="37">
        <f t="shared" si="1"/>
        <v>469</v>
      </c>
      <c r="DF7" s="39">
        <f t="shared" si="1"/>
        <v>470</v>
      </c>
      <c r="DG7" s="36">
        <f t="shared" si="1"/>
        <v>471</v>
      </c>
      <c r="DH7" s="37">
        <f t="shared" si="1"/>
        <v>472</v>
      </c>
      <c r="DI7" s="37">
        <f t="shared" si="1"/>
        <v>473</v>
      </c>
      <c r="DJ7" s="37">
        <f t="shared" si="1"/>
        <v>474</v>
      </c>
      <c r="DK7" s="37">
        <f t="shared" si="1"/>
        <v>475</v>
      </c>
      <c r="DL7" s="37">
        <f t="shared" si="1"/>
        <v>476</v>
      </c>
      <c r="DM7" s="37">
        <f t="shared" si="1"/>
        <v>477</v>
      </c>
      <c r="DN7" s="37">
        <f t="shared" si="1"/>
        <v>478</v>
      </c>
      <c r="DO7" s="37">
        <f t="shared" si="1"/>
        <v>479</v>
      </c>
      <c r="DP7" s="38">
        <f t="shared" si="1"/>
        <v>480</v>
      </c>
      <c r="DQ7" s="30"/>
      <c r="DR7" s="966"/>
      <c r="DS7" s="967"/>
      <c r="DT7" s="967"/>
      <c r="DU7" s="968"/>
    </row>
    <row r="8" spans="1:125" ht="5.75" customHeight="1">
      <c r="A8" s="36">
        <v>481</v>
      </c>
      <c r="B8" s="37">
        <f t="shared" si="2"/>
        <v>482</v>
      </c>
      <c r="C8" s="37">
        <f t="shared" si="2"/>
        <v>483</v>
      </c>
      <c r="D8" s="37">
        <f t="shared" si="2"/>
        <v>484</v>
      </c>
      <c r="E8" s="37">
        <f t="shared" si="2"/>
        <v>485</v>
      </c>
      <c r="F8" s="37">
        <f t="shared" si="2"/>
        <v>486</v>
      </c>
      <c r="G8" s="37">
        <f t="shared" si="2"/>
        <v>487</v>
      </c>
      <c r="H8" s="37">
        <f t="shared" si="2"/>
        <v>488</v>
      </c>
      <c r="I8" s="37">
        <f t="shared" si="2"/>
        <v>489</v>
      </c>
      <c r="J8" s="38">
        <f t="shared" si="2"/>
        <v>490</v>
      </c>
      <c r="K8" s="36">
        <f t="shared" si="2"/>
        <v>491</v>
      </c>
      <c r="L8" s="37">
        <f t="shared" si="2"/>
        <v>492</v>
      </c>
      <c r="M8" s="37">
        <f t="shared" si="2"/>
        <v>493</v>
      </c>
      <c r="N8" s="37">
        <f t="shared" si="2"/>
        <v>494</v>
      </c>
      <c r="O8" s="37">
        <f t="shared" si="2"/>
        <v>495</v>
      </c>
      <c r="P8" s="37">
        <f t="shared" si="2"/>
        <v>496</v>
      </c>
      <c r="Q8" s="37">
        <f t="shared" si="2"/>
        <v>497</v>
      </c>
      <c r="R8" s="37">
        <f t="shared" si="2"/>
        <v>498</v>
      </c>
      <c r="S8" s="37">
        <f t="shared" si="2"/>
        <v>499</v>
      </c>
      <c r="T8" s="38">
        <f t="shared" si="2"/>
        <v>500</v>
      </c>
      <c r="U8" s="36">
        <f t="shared" si="2"/>
        <v>501</v>
      </c>
      <c r="V8" s="37">
        <f t="shared" si="2"/>
        <v>502</v>
      </c>
      <c r="W8" s="37">
        <f t="shared" si="2"/>
        <v>503</v>
      </c>
      <c r="X8" s="37">
        <f t="shared" si="2"/>
        <v>504</v>
      </c>
      <c r="Y8" s="37">
        <f t="shared" si="2"/>
        <v>505</v>
      </c>
      <c r="Z8" s="37">
        <f t="shared" si="2"/>
        <v>506</v>
      </c>
      <c r="AA8" s="37">
        <f t="shared" si="2"/>
        <v>507</v>
      </c>
      <c r="AB8" s="37">
        <f t="shared" si="2"/>
        <v>508</v>
      </c>
      <c r="AC8" s="37">
        <f t="shared" si="2"/>
        <v>509</v>
      </c>
      <c r="AD8" s="38">
        <f t="shared" si="2"/>
        <v>510</v>
      </c>
      <c r="AE8" s="36">
        <f t="shared" si="2"/>
        <v>511</v>
      </c>
      <c r="AF8" s="37">
        <f t="shared" si="2"/>
        <v>512</v>
      </c>
      <c r="AG8" s="37">
        <f t="shared" si="2"/>
        <v>513</v>
      </c>
      <c r="AH8" s="37">
        <f t="shared" si="2"/>
        <v>514</v>
      </c>
      <c r="AI8" s="37">
        <f t="shared" si="2"/>
        <v>515</v>
      </c>
      <c r="AJ8" s="37">
        <f t="shared" si="2"/>
        <v>516</v>
      </c>
      <c r="AK8" s="37">
        <f t="shared" si="2"/>
        <v>517</v>
      </c>
      <c r="AL8" s="37">
        <f t="shared" si="2"/>
        <v>518</v>
      </c>
      <c r="AM8" s="37">
        <f t="shared" si="2"/>
        <v>519</v>
      </c>
      <c r="AN8" s="38">
        <f t="shared" si="2"/>
        <v>520</v>
      </c>
      <c r="AO8" s="36">
        <f t="shared" si="2"/>
        <v>521</v>
      </c>
      <c r="AP8" s="37">
        <f t="shared" si="2"/>
        <v>522</v>
      </c>
      <c r="AQ8" s="37">
        <f t="shared" si="2"/>
        <v>523</v>
      </c>
      <c r="AR8" s="37">
        <f t="shared" si="2"/>
        <v>524</v>
      </c>
      <c r="AS8" s="37">
        <f t="shared" si="2"/>
        <v>525</v>
      </c>
      <c r="AT8" s="37">
        <f t="shared" si="2"/>
        <v>526</v>
      </c>
      <c r="AU8" s="37">
        <f t="shared" si="2"/>
        <v>527</v>
      </c>
      <c r="AV8" s="37">
        <f t="shared" si="2"/>
        <v>528</v>
      </c>
      <c r="AW8" s="37">
        <f t="shared" si="2"/>
        <v>529</v>
      </c>
      <c r="AX8" s="38">
        <f t="shared" si="2"/>
        <v>530</v>
      </c>
      <c r="AY8" s="36">
        <f t="shared" si="2"/>
        <v>531</v>
      </c>
      <c r="AZ8" s="37">
        <f t="shared" si="2"/>
        <v>532</v>
      </c>
      <c r="BA8" s="37">
        <f t="shared" si="2"/>
        <v>533</v>
      </c>
      <c r="BB8" s="37">
        <f t="shared" si="2"/>
        <v>534</v>
      </c>
      <c r="BC8" s="37">
        <f t="shared" si="2"/>
        <v>535</v>
      </c>
      <c r="BD8" s="37">
        <f t="shared" si="2"/>
        <v>536</v>
      </c>
      <c r="BE8" s="37">
        <f t="shared" si="2"/>
        <v>537</v>
      </c>
      <c r="BF8" s="37">
        <f t="shared" si="2"/>
        <v>538</v>
      </c>
      <c r="BG8" s="37">
        <f t="shared" si="2"/>
        <v>539</v>
      </c>
      <c r="BH8" s="38">
        <f t="shared" si="2"/>
        <v>540</v>
      </c>
      <c r="BI8" s="36">
        <f t="shared" si="2"/>
        <v>541</v>
      </c>
      <c r="BJ8" s="37">
        <f t="shared" si="2"/>
        <v>542</v>
      </c>
      <c r="BK8" s="37">
        <f t="shared" si="2"/>
        <v>543</v>
      </c>
      <c r="BL8" s="37">
        <f t="shared" si="2"/>
        <v>544</v>
      </c>
      <c r="BM8" s="37">
        <f t="shared" si="2"/>
        <v>545</v>
      </c>
      <c r="BN8" s="37">
        <f t="shared" si="0"/>
        <v>546</v>
      </c>
      <c r="BO8" s="37">
        <f t="shared" si="1"/>
        <v>547</v>
      </c>
      <c r="BP8" s="37">
        <f t="shared" si="1"/>
        <v>548</v>
      </c>
      <c r="BQ8" s="37">
        <f t="shared" si="1"/>
        <v>549</v>
      </c>
      <c r="BR8" s="39">
        <f t="shared" si="1"/>
        <v>550</v>
      </c>
      <c r="BS8" s="36">
        <f t="shared" si="1"/>
        <v>551</v>
      </c>
      <c r="BT8" s="37">
        <f t="shared" si="1"/>
        <v>552</v>
      </c>
      <c r="BU8" s="37">
        <f t="shared" si="1"/>
        <v>553</v>
      </c>
      <c r="BV8" s="37">
        <f t="shared" si="1"/>
        <v>554</v>
      </c>
      <c r="BW8" s="37">
        <f t="shared" si="1"/>
        <v>555</v>
      </c>
      <c r="BX8" s="37">
        <f t="shared" si="1"/>
        <v>556</v>
      </c>
      <c r="BY8" s="37">
        <f t="shared" si="1"/>
        <v>557</v>
      </c>
      <c r="BZ8" s="37">
        <f t="shared" si="1"/>
        <v>558</v>
      </c>
      <c r="CA8" s="37">
        <f t="shared" si="1"/>
        <v>559</v>
      </c>
      <c r="CB8" s="38">
        <f t="shared" si="1"/>
        <v>560</v>
      </c>
      <c r="CC8" s="40">
        <f t="shared" si="1"/>
        <v>561</v>
      </c>
      <c r="CD8" s="37">
        <f t="shared" si="1"/>
        <v>562</v>
      </c>
      <c r="CE8" s="37">
        <f t="shared" si="1"/>
        <v>563</v>
      </c>
      <c r="CF8" s="37">
        <f t="shared" si="1"/>
        <v>564</v>
      </c>
      <c r="CG8" s="37">
        <f t="shared" si="1"/>
        <v>565</v>
      </c>
      <c r="CH8" s="37">
        <f t="shared" si="1"/>
        <v>566</v>
      </c>
      <c r="CI8" s="37">
        <f t="shared" si="1"/>
        <v>567</v>
      </c>
      <c r="CJ8" s="37">
        <f t="shared" si="1"/>
        <v>568</v>
      </c>
      <c r="CK8" s="37">
        <f t="shared" si="1"/>
        <v>569</v>
      </c>
      <c r="CL8" s="39">
        <f t="shared" si="1"/>
        <v>570</v>
      </c>
      <c r="CM8" s="36">
        <f t="shared" si="1"/>
        <v>571</v>
      </c>
      <c r="CN8" s="37">
        <f t="shared" si="1"/>
        <v>572</v>
      </c>
      <c r="CO8" s="37">
        <f t="shared" si="1"/>
        <v>573</v>
      </c>
      <c r="CP8" s="37">
        <f t="shared" si="1"/>
        <v>574</v>
      </c>
      <c r="CQ8" s="37">
        <f t="shared" si="1"/>
        <v>575</v>
      </c>
      <c r="CR8" s="37">
        <f t="shared" si="1"/>
        <v>576</v>
      </c>
      <c r="CS8" s="37">
        <f t="shared" si="1"/>
        <v>577</v>
      </c>
      <c r="CT8" s="37">
        <f t="shared" si="1"/>
        <v>578</v>
      </c>
      <c r="CU8" s="37">
        <f t="shared" si="1"/>
        <v>579</v>
      </c>
      <c r="CV8" s="38">
        <f t="shared" si="1"/>
        <v>580</v>
      </c>
      <c r="CW8" s="40">
        <f t="shared" si="1"/>
        <v>581</v>
      </c>
      <c r="CX8" s="37">
        <f t="shared" si="1"/>
        <v>582</v>
      </c>
      <c r="CY8" s="37">
        <f t="shared" si="1"/>
        <v>583</v>
      </c>
      <c r="CZ8" s="37">
        <f t="shared" si="1"/>
        <v>584</v>
      </c>
      <c r="DA8" s="37">
        <f t="shared" si="1"/>
        <v>585</v>
      </c>
      <c r="DB8" s="37">
        <f t="shared" ref="DB8:DP8" si="3">DA8+1</f>
        <v>586</v>
      </c>
      <c r="DC8" s="37">
        <f t="shared" si="3"/>
        <v>587</v>
      </c>
      <c r="DD8" s="37">
        <f t="shared" si="3"/>
        <v>588</v>
      </c>
      <c r="DE8" s="37">
        <f t="shared" si="3"/>
        <v>589</v>
      </c>
      <c r="DF8" s="39">
        <f t="shared" si="3"/>
        <v>590</v>
      </c>
      <c r="DG8" s="36">
        <f t="shared" si="3"/>
        <v>591</v>
      </c>
      <c r="DH8" s="37">
        <f t="shared" si="3"/>
        <v>592</v>
      </c>
      <c r="DI8" s="37">
        <f t="shared" si="3"/>
        <v>593</v>
      </c>
      <c r="DJ8" s="37">
        <f t="shared" si="3"/>
        <v>594</v>
      </c>
      <c r="DK8" s="37">
        <f t="shared" si="3"/>
        <v>595</v>
      </c>
      <c r="DL8" s="37">
        <f t="shared" si="3"/>
        <v>596</v>
      </c>
      <c r="DM8" s="37">
        <f t="shared" si="3"/>
        <v>597</v>
      </c>
      <c r="DN8" s="37">
        <f t="shared" si="3"/>
        <v>598</v>
      </c>
      <c r="DO8" s="37">
        <f t="shared" si="3"/>
        <v>599</v>
      </c>
      <c r="DP8" s="38">
        <f t="shared" si="3"/>
        <v>600</v>
      </c>
      <c r="DQ8" s="30"/>
      <c r="DR8" s="966">
        <v>1</v>
      </c>
      <c r="DS8" s="967"/>
      <c r="DT8" s="967"/>
      <c r="DU8" s="968"/>
    </row>
    <row r="9" spans="1:125" ht="5.75" customHeight="1">
      <c r="A9" s="36">
        <v>601</v>
      </c>
      <c r="B9" s="37">
        <f t="shared" si="2"/>
        <v>602</v>
      </c>
      <c r="C9" s="37">
        <f t="shared" si="2"/>
        <v>603</v>
      </c>
      <c r="D9" s="37">
        <f t="shared" si="2"/>
        <v>604</v>
      </c>
      <c r="E9" s="37">
        <f t="shared" si="2"/>
        <v>605</v>
      </c>
      <c r="F9" s="37">
        <f t="shared" si="2"/>
        <v>606</v>
      </c>
      <c r="G9" s="37">
        <f t="shared" si="2"/>
        <v>607</v>
      </c>
      <c r="H9" s="37">
        <f t="shared" si="2"/>
        <v>608</v>
      </c>
      <c r="I9" s="37">
        <f t="shared" si="2"/>
        <v>609</v>
      </c>
      <c r="J9" s="38">
        <f t="shared" si="2"/>
        <v>610</v>
      </c>
      <c r="K9" s="36">
        <f t="shared" si="2"/>
        <v>611</v>
      </c>
      <c r="L9" s="37">
        <f t="shared" si="2"/>
        <v>612</v>
      </c>
      <c r="M9" s="37">
        <f t="shared" si="2"/>
        <v>613</v>
      </c>
      <c r="N9" s="37">
        <f t="shared" si="2"/>
        <v>614</v>
      </c>
      <c r="O9" s="37">
        <f t="shared" si="2"/>
        <v>615</v>
      </c>
      <c r="P9" s="37">
        <f t="shared" si="2"/>
        <v>616</v>
      </c>
      <c r="Q9" s="37">
        <f t="shared" si="2"/>
        <v>617</v>
      </c>
      <c r="R9" s="37">
        <f t="shared" si="2"/>
        <v>618</v>
      </c>
      <c r="S9" s="37">
        <f t="shared" si="2"/>
        <v>619</v>
      </c>
      <c r="T9" s="38">
        <f t="shared" si="2"/>
        <v>620</v>
      </c>
      <c r="U9" s="36">
        <f t="shared" si="2"/>
        <v>621</v>
      </c>
      <c r="V9" s="37">
        <f t="shared" si="2"/>
        <v>622</v>
      </c>
      <c r="W9" s="37">
        <f t="shared" si="2"/>
        <v>623</v>
      </c>
      <c r="X9" s="37">
        <f t="shared" si="2"/>
        <v>624</v>
      </c>
      <c r="Y9" s="37">
        <f t="shared" si="2"/>
        <v>625</v>
      </c>
      <c r="Z9" s="37">
        <f t="shared" si="2"/>
        <v>626</v>
      </c>
      <c r="AA9" s="37">
        <f t="shared" si="2"/>
        <v>627</v>
      </c>
      <c r="AB9" s="37">
        <f t="shared" si="2"/>
        <v>628</v>
      </c>
      <c r="AC9" s="37">
        <f t="shared" si="2"/>
        <v>629</v>
      </c>
      <c r="AD9" s="38">
        <f t="shared" si="2"/>
        <v>630</v>
      </c>
      <c r="AE9" s="36">
        <f t="shared" si="2"/>
        <v>631</v>
      </c>
      <c r="AF9" s="37">
        <f t="shared" si="2"/>
        <v>632</v>
      </c>
      <c r="AG9" s="37">
        <f t="shared" si="2"/>
        <v>633</v>
      </c>
      <c r="AH9" s="37">
        <f t="shared" si="2"/>
        <v>634</v>
      </c>
      <c r="AI9" s="37">
        <f t="shared" si="2"/>
        <v>635</v>
      </c>
      <c r="AJ9" s="37">
        <f t="shared" si="2"/>
        <v>636</v>
      </c>
      <c r="AK9" s="37">
        <f t="shared" si="2"/>
        <v>637</v>
      </c>
      <c r="AL9" s="37">
        <f t="shared" si="2"/>
        <v>638</v>
      </c>
      <c r="AM9" s="37">
        <f t="shared" si="2"/>
        <v>639</v>
      </c>
      <c r="AN9" s="38">
        <f t="shared" si="2"/>
        <v>640</v>
      </c>
      <c r="AO9" s="36">
        <f t="shared" si="2"/>
        <v>641</v>
      </c>
      <c r="AP9" s="37">
        <f t="shared" si="2"/>
        <v>642</v>
      </c>
      <c r="AQ9" s="37">
        <f t="shared" si="2"/>
        <v>643</v>
      </c>
      <c r="AR9" s="37">
        <f t="shared" si="2"/>
        <v>644</v>
      </c>
      <c r="AS9" s="37">
        <f t="shared" si="2"/>
        <v>645</v>
      </c>
      <c r="AT9" s="37">
        <f t="shared" si="2"/>
        <v>646</v>
      </c>
      <c r="AU9" s="37">
        <f t="shared" si="2"/>
        <v>647</v>
      </c>
      <c r="AV9" s="37">
        <f t="shared" si="2"/>
        <v>648</v>
      </c>
      <c r="AW9" s="37">
        <f t="shared" si="2"/>
        <v>649</v>
      </c>
      <c r="AX9" s="38">
        <f t="shared" si="2"/>
        <v>650</v>
      </c>
      <c r="AY9" s="36">
        <f t="shared" si="2"/>
        <v>651</v>
      </c>
      <c r="AZ9" s="37">
        <f t="shared" si="2"/>
        <v>652</v>
      </c>
      <c r="BA9" s="37">
        <f t="shared" si="2"/>
        <v>653</v>
      </c>
      <c r="BB9" s="37">
        <f t="shared" si="2"/>
        <v>654</v>
      </c>
      <c r="BC9" s="37">
        <f t="shared" si="2"/>
        <v>655</v>
      </c>
      <c r="BD9" s="37">
        <f t="shared" si="2"/>
        <v>656</v>
      </c>
      <c r="BE9" s="37">
        <f t="shared" si="2"/>
        <v>657</v>
      </c>
      <c r="BF9" s="37">
        <f t="shared" si="2"/>
        <v>658</v>
      </c>
      <c r="BG9" s="37">
        <f t="shared" si="2"/>
        <v>659</v>
      </c>
      <c r="BH9" s="38">
        <f t="shared" si="2"/>
        <v>660</v>
      </c>
      <c r="BI9" s="36">
        <f t="shared" si="2"/>
        <v>661</v>
      </c>
      <c r="BJ9" s="37">
        <f t="shared" si="2"/>
        <v>662</v>
      </c>
      <c r="BK9" s="37">
        <f t="shared" si="2"/>
        <v>663</v>
      </c>
      <c r="BL9" s="37">
        <f t="shared" si="2"/>
        <v>664</v>
      </c>
      <c r="BM9" s="37">
        <f t="shared" si="2"/>
        <v>665</v>
      </c>
      <c r="BN9" s="37">
        <f t="shared" si="0"/>
        <v>666</v>
      </c>
      <c r="BO9" s="37">
        <f t="shared" ref="BO9:DP13" si="4">BN9+1</f>
        <v>667</v>
      </c>
      <c r="BP9" s="37">
        <f t="shared" si="4"/>
        <v>668</v>
      </c>
      <c r="BQ9" s="37">
        <f t="shared" si="4"/>
        <v>669</v>
      </c>
      <c r="BR9" s="39">
        <f t="shared" si="4"/>
        <v>670</v>
      </c>
      <c r="BS9" s="36">
        <f t="shared" si="4"/>
        <v>671</v>
      </c>
      <c r="BT9" s="37">
        <f t="shared" si="4"/>
        <v>672</v>
      </c>
      <c r="BU9" s="37">
        <f t="shared" si="4"/>
        <v>673</v>
      </c>
      <c r="BV9" s="37">
        <f t="shared" si="4"/>
        <v>674</v>
      </c>
      <c r="BW9" s="37">
        <f t="shared" si="4"/>
        <v>675</v>
      </c>
      <c r="BX9" s="37">
        <f t="shared" si="4"/>
        <v>676</v>
      </c>
      <c r="BY9" s="37">
        <f t="shared" si="4"/>
        <v>677</v>
      </c>
      <c r="BZ9" s="37">
        <f t="shared" si="4"/>
        <v>678</v>
      </c>
      <c r="CA9" s="37">
        <f t="shared" si="4"/>
        <v>679</v>
      </c>
      <c r="CB9" s="38">
        <f t="shared" si="4"/>
        <v>680</v>
      </c>
      <c r="CC9" s="40">
        <f t="shared" si="4"/>
        <v>681</v>
      </c>
      <c r="CD9" s="37">
        <f t="shared" si="4"/>
        <v>682</v>
      </c>
      <c r="CE9" s="37">
        <f t="shared" si="4"/>
        <v>683</v>
      </c>
      <c r="CF9" s="37">
        <f t="shared" si="4"/>
        <v>684</v>
      </c>
      <c r="CG9" s="37">
        <f t="shared" si="4"/>
        <v>685</v>
      </c>
      <c r="CH9" s="37">
        <f t="shared" si="4"/>
        <v>686</v>
      </c>
      <c r="CI9" s="37">
        <f t="shared" si="4"/>
        <v>687</v>
      </c>
      <c r="CJ9" s="37">
        <f t="shared" si="4"/>
        <v>688</v>
      </c>
      <c r="CK9" s="37">
        <f t="shared" si="4"/>
        <v>689</v>
      </c>
      <c r="CL9" s="39">
        <f t="shared" si="4"/>
        <v>690</v>
      </c>
      <c r="CM9" s="36">
        <f t="shared" si="4"/>
        <v>691</v>
      </c>
      <c r="CN9" s="37">
        <f t="shared" si="4"/>
        <v>692</v>
      </c>
      <c r="CO9" s="37">
        <f t="shared" si="4"/>
        <v>693</v>
      </c>
      <c r="CP9" s="37">
        <f t="shared" si="4"/>
        <v>694</v>
      </c>
      <c r="CQ9" s="37">
        <f t="shared" si="4"/>
        <v>695</v>
      </c>
      <c r="CR9" s="37">
        <f t="shared" si="4"/>
        <v>696</v>
      </c>
      <c r="CS9" s="37">
        <f t="shared" si="4"/>
        <v>697</v>
      </c>
      <c r="CT9" s="37">
        <f t="shared" si="4"/>
        <v>698</v>
      </c>
      <c r="CU9" s="37">
        <f t="shared" si="4"/>
        <v>699</v>
      </c>
      <c r="CV9" s="38">
        <f t="shared" si="4"/>
        <v>700</v>
      </c>
      <c r="CW9" s="40">
        <f t="shared" si="4"/>
        <v>701</v>
      </c>
      <c r="CX9" s="37">
        <f t="shared" si="4"/>
        <v>702</v>
      </c>
      <c r="CY9" s="37">
        <f t="shared" si="4"/>
        <v>703</v>
      </c>
      <c r="CZ9" s="37">
        <f t="shared" si="4"/>
        <v>704</v>
      </c>
      <c r="DA9" s="37">
        <f t="shared" si="4"/>
        <v>705</v>
      </c>
      <c r="DB9" s="37">
        <f t="shared" si="4"/>
        <v>706</v>
      </c>
      <c r="DC9" s="37">
        <f t="shared" si="4"/>
        <v>707</v>
      </c>
      <c r="DD9" s="37">
        <f t="shared" si="4"/>
        <v>708</v>
      </c>
      <c r="DE9" s="37">
        <f t="shared" si="4"/>
        <v>709</v>
      </c>
      <c r="DF9" s="39">
        <f t="shared" si="4"/>
        <v>710</v>
      </c>
      <c r="DG9" s="36">
        <f t="shared" si="4"/>
        <v>711</v>
      </c>
      <c r="DH9" s="37">
        <f t="shared" si="4"/>
        <v>712</v>
      </c>
      <c r="DI9" s="37">
        <f t="shared" si="4"/>
        <v>713</v>
      </c>
      <c r="DJ9" s="37">
        <f t="shared" si="4"/>
        <v>714</v>
      </c>
      <c r="DK9" s="37">
        <f t="shared" si="4"/>
        <v>715</v>
      </c>
      <c r="DL9" s="37">
        <f t="shared" si="4"/>
        <v>716</v>
      </c>
      <c r="DM9" s="37">
        <f t="shared" si="4"/>
        <v>717</v>
      </c>
      <c r="DN9" s="37">
        <f t="shared" si="4"/>
        <v>718</v>
      </c>
      <c r="DO9" s="37">
        <f t="shared" si="4"/>
        <v>719</v>
      </c>
      <c r="DP9" s="38">
        <f t="shared" si="4"/>
        <v>720</v>
      </c>
      <c r="DQ9" s="30"/>
      <c r="DR9" s="966"/>
      <c r="DS9" s="967"/>
      <c r="DT9" s="967"/>
      <c r="DU9" s="968"/>
    </row>
    <row r="10" spans="1:125" ht="5.75" customHeight="1">
      <c r="A10" s="36">
        <v>721</v>
      </c>
      <c r="B10" s="37">
        <f t="shared" si="2"/>
        <v>722</v>
      </c>
      <c r="C10" s="37">
        <f t="shared" si="2"/>
        <v>723</v>
      </c>
      <c r="D10" s="37">
        <f t="shared" si="2"/>
        <v>724</v>
      </c>
      <c r="E10" s="37">
        <f t="shared" si="2"/>
        <v>725</v>
      </c>
      <c r="F10" s="37">
        <f t="shared" si="2"/>
        <v>726</v>
      </c>
      <c r="G10" s="37">
        <f t="shared" si="2"/>
        <v>727</v>
      </c>
      <c r="H10" s="37">
        <f t="shared" si="2"/>
        <v>728</v>
      </c>
      <c r="I10" s="37">
        <f t="shared" si="2"/>
        <v>729</v>
      </c>
      <c r="J10" s="38">
        <f t="shared" si="2"/>
        <v>730</v>
      </c>
      <c r="K10" s="36">
        <f t="shared" si="2"/>
        <v>731</v>
      </c>
      <c r="L10" s="37">
        <f t="shared" si="2"/>
        <v>732</v>
      </c>
      <c r="M10" s="37">
        <f t="shared" si="2"/>
        <v>733</v>
      </c>
      <c r="N10" s="37">
        <f t="shared" si="2"/>
        <v>734</v>
      </c>
      <c r="O10" s="37">
        <f t="shared" si="2"/>
        <v>735</v>
      </c>
      <c r="P10" s="37">
        <f t="shared" si="2"/>
        <v>736</v>
      </c>
      <c r="Q10" s="37">
        <f t="shared" si="2"/>
        <v>737</v>
      </c>
      <c r="R10" s="37">
        <f t="shared" si="2"/>
        <v>738</v>
      </c>
      <c r="S10" s="37">
        <f t="shared" si="2"/>
        <v>739</v>
      </c>
      <c r="T10" s="38">
        <f t="shared" si="2"/>
        <v>740</v>
      </c>
      <c r="U10" s="36">
        <f t="shared" si="2"/>
        <v>741</v>
      </c>
      <c r="V10" s="37">
        <f t="shared" si="2"/>
        <v>742</v>
      </c>
      <c r="W10" s="37">
        <f t="shared" si="2"/>
        <v>743</v>
      </c>
      <c r="X10" s="37">
        <f t="shared" si="2"/>
        <v>744</v>
      </c>
      <c r="Y10" s="37">
        <f t="shared" si="2"/>
        <v>745</v>
      </c>
      <c r="Z10" s="37">
        <f t="shared" si="2"/>
        <v>746</v>
      </c>
      <c r="AA10" s="37">
        <f t="shared" si="2"/>
        <v>747</v>
      </c>
      <c r="AB10" s="37">
        <f t="shared" si="2"/>
        <v>748</v>
      </c>
      <c r="AC10" s="37">
        <f t="shared" si="2"/>
        <v>749</v>
      </c>
      <c r="AD10" s="38">
        <f t="shared" si="2"/>
        <v>750</v>
      </c>
      <c r="AE10" s="36">
        <f t="shared" si="2"/>
        <v>751</v>
      </c>
      <c r="AF10" s="37">
        <f t="shared" si="2"/>
        <v>752</v>
      </c>
      <c r="AG10" s="37">
        <f t="shared" si="2"/>
        <v>753</v>
      </c>
      <c r="AH10" s="37">
        <f t="shared" si="2"/>
        <v>754</v>
      </c>
      <c r="AI10" s="37">
        <f t="shared" si="2"/>
        <v>755</v>
      </c>
      <c r="AJ10" s="37">
        <f t="shared" si="2"/>
        <v>756</v>
      </c>
      <c r="AK10" s="37">
        <f t="shared" si="2"/>
        <v>757</v>
      </c>
      <c r="AL10" s="37">
        <f t="shared" si="2"/>
        <v>758</v>
      </c>
      <c r="AM10" s="37">
        <f t="shared" si="2"/>
        <v>759</v>
      </c>
      <c r="AN10" s="38">
        <f t="shared" si="2"/>
        <v>760</v>
      </c>
      <c r="AO10" s="36">
        <f t="shared" si="2"/>
        <v>761</v>
      </c>
      <c r="AP10" s="37">
        <f t="shared" si="2"/>
        <v>762</v>
      </c>
      <c r="AQ10" s="37">
        <f t="shared" si="2"/>
        <v>763</v>
      </c>
      <c r="AR10" s="37">
        <f t="shared" si="2"/>
        <v>764</v>
      </c>
      <c r="AS10" s="37">
        <f t="shared" si="2"/>
        <v>765</v>
      </c>
      <c r="AT10" s="37">
        <f t="shared" si="2"/>
        <v>766</v>
      </c>
      <c r="AU10" s="37">
        <f t="shared" si="2"/>
        <v>767</v>
      </c>
      <c r="AV10" s="37">
        <f t="shared" si="2"/>
        <v>768</v>
      </c>
      <c r="AW10" s="37">
        <f t="shared" si="2"/>
        <v>769</v>
      </c>
      <c r="AX10" s="38">
        <f t="shared" si="2"/>
        <v>770</v>
      </c>
      <c r="AY10" s="36">
        <f t="shared" si="2"/>
        <v>771</v>
      </c>
      <c r="AZ10" s="37">
        <f t="shared" si="2"/>
        <v>772</v>
      </c>
      <c r="BA10" s="37">
        <f t="shared" si="2"/>
        <v>773</v>
      </c>
      <c r="BB10" s="37">
        <f t="shared" si="2"/>
        <v>774</v>
      </c>
      <c r="BC10" s="37">
        <f t="shared" si="2"/>
        <v>775</v>
      </c>
      <c r="BD10" s="37">
        <f t="shared" si="2"/>
        <v>776</v>
      </c>
      <c r="BE10" s="37">
        <f t="shared" si="2"/>
        <v>777</v>
      </c>
      <c r="BF10" s="37">
        <f t="shared" si="2"/>
        <v>778</v>
      </c>
      <c r="BG10" s="37">
        <f t="shared" si="2"/>
        <v>779</v>
      </c>
      <c r="BH10" s="38">
        <f t="shared" si="2"/>
        <v>780</v>
      </c>
      <c r="BI10" s="36">
        <f t="shared" si="2"/>
        <v>781</v>
      </c>
      <c r="BJ10" s="37">
        <f t="shared" si="2"/>
        <v>782</v>
      </c>
      <c r="BK10" s="37">
        <f t="shared" si="2"/>
        <v>783</v>
      </c>
      <c r="BL10" s="37">
        <f t="shared" si="2"/>
        <v>784</v>
      </c>
      <c r="BM10" s="37">
        <f t="shared" ref="BM10" si="5">BL10+1</f>
        <v>785</v>
      </c>
      <c r="BN10" s="37">
        <f t="shared" si="0"/>
        <v>786</v>
      </c>
      <c r="BO10" s="37">
        <f t="shared" si="4"/>
        <v>787</v>
      </c>
      <c r="BP10" s="37">
        <f t="shared" si="4"/>
        <v>788</v>
      </c>
      <c r="BQ10" s="37">
        <f t="shared" si="4"/>
        <v>789</v>
      </c>
      <c r="BR10" s="39">
        <f t="shared" si="4"/>
        <v>790</v>
      </c>
      <c r="BS10" s="36">
        <f t="shared" si="4"/>
        <v>791</v>
      </c>
      <c r="BT10" s="37">
        <f t="shared" si="4"/>
        <v>792</v>
      </c>
      <c r="BU10" s="37">
        <f t="shared" si="4"/>
        <v>793</v>
      </c>
      <c r="BV10" s="37">
        <f t="shared" si="4"/>
        <v>794</v>
      </c>
      <c r="BW10" s="37">
        <f t="shared" si="4"/>
        <v>795</v>
      </c>
      <c r="BX10" s="37">
        <f t="shared" si="4"/>
        <v>796</v>
      </c>
      <c r="BY10" s="37">
        <f t="shared" si="4"/>
        <v>797</v>
      </c>
      <c r="BZ10" s="37">
        <f t="shared" si="4"/>
        <v>798</v>
      </c>
      <c r="CA10" s="37">
        <f t="shared" si="4"/>
        <v>799</v>
      </c>
      <c r="CB10" s="38">
        <f t="shared" si="4"/>
        <v>800</v>
      </c>
      <c r="CC10" s="40">
        <f t="shared" si="4"/>
        <v>801</v>
      </c>
      <c r="CD10" s="37">
        <f t="shared" si="4"/>
        <v>802</v>
      </c>
      <c r="CE10" s="37">
        <f t="shared" si="4"/>
        <v>803</v>
      </c>
      <c r="CF10" s="37">
        <f t="shared" si="4"/>
        <v>804</v>
      </c>
      <c r="CG10" s="37">
        <f t="shared" si="4"/>
        <v>805</v>
      </c>
      <c r="CH10" s="37">
        <f t="shared" si="4"/>
        <v>806</v>
      </c>
      <c r="CI10" s="37">
        <f t="shared" si="4"/>
        <v>807</v>
      </c>
      <c r="CJ10" s="37">
        <f t="shared" si="4"/>
        <v>808</v>
      </c>
      <c r="CK10" s="37">
        <f t="shared" si="4"/>
        <v>809</v>
      </c>
      <c r="CL10" s="39">
        <f t="shared" si="4"/>
        <v>810</v>
      </c>
      <c r="CM10" s="36">
        <f t="shared" si="4"/>
        <v>811</v>
      </c>
      <c r="CN10" s="37">
        <f t="shared" si="4"/>
        <v>812</v>
      </c>
      <c r="CO10" s="37">
        <f t="shared" si="4"/>
        <v>813</v>
      </c>
      <c r="CP10" s="37">
        <f t="shared" si="4"/>
        <v>814</v>
      </c>
      <c r="CQ10" s="37">
        <f t="shared" si="4"/>
        <v>815</v>
      </c>
      <c r="CR10" s="37">
        <f t="shared" si="4"/>
        <v>816</v>
      </c>
      <c r="CS10" s="37">
        <f t="shared" si="4"/>
        <v>817</v>
      </c>
      <c r="CT10" s="37">
        <f t="shared" si="4"/>
        <v>818</v>
      </c>
      <c r="CU10" s="37">
        <f t="shared" si="4"/>
        <v>819</v>
      </c>
      <c r="CV10" s="38">
        <f t="shared" si="4"/>
        <v>820</v>
      </c>
      <c r="CW10" s="40">
        <f t="shared" si="4"/>
        <v>821</v>
      </c>
      <c r="CX10" s="37">
        <f t="shared" si="4"/>
        <v>822</v>
      </c>
      <c r="CY10" s="37">
        <f t="shared" si="4"/>
        <v>823</v>
      </c>
      <c r="CZ10" s="37">
        <f t="shared" si="4"/>
        <v>824</v>
      </c>
      <c r="DA10" s="37">
        <f t="shared" si="4"/>
        <v>825</v>
      </c>
      <c r="DB10" s="37">
        <f t="shared" si="4"/>
        <v>826</v>
      </c>
      <c r="DC10" s="37">
        <f t="shared" si="4"/>
        <v>827</v>
      </c>
      <c r="DD10" s="37">
        <f t="shared" si="4"/>
        <v>828</v>
      </c>
      <c r="DE10" s="37">
        <f t="shared" si="4"/>
        <v>829</v>
      </c>
      <c r="DF10" s="39">
        <f t="shared" si="4"/>
        <v>830</v>
      </c>
      <c r="DG10" s="36">
        <f t="shared" si="4"/>
        <v>831</v>
      </c>
      <c r="DH10" s="37">
        <f t="shared" si="4"/>
        <v>832</v>
      </c>
      <c r="DI10" s="37">
        <f t="shared" si="4"/>
        <v>833</v>
      </c>
      <c r="DJ10" s="37">
        <f t="shared" si="4"/>
        <v>834</v>
      </c>
      <c r="DK10" s="37">
        <f t="shared" si="4"/>
        <v>835</v>
      </c>
      <c r="DL10" s="37">
        <f t="shared" si="4"/>
        <v>836</v>
      </c>
      <c r="DM10" s="37">
        <f t="shared" si="4"/>
        <v>837</v>
      </c>
      <c r="DN10" s="37">
        <f t="shared" si="4"/>
        <v>838</v>
      </c>
      <c r="DO10" s="37">
        <f t="shared" si="4"/>
        <v>839</v>
      </c>
      <c r="DP10" s="38">
        <f t="shared" si="4"/>
        <v>840</v>
      </c>
      <c r="DQ10" s="30"/>
      <c r="DR10" s="966"/>
      <c r="DS10" s="967"/>
      <c r="DT10" s="967"/>
      <c r="DU10" s="968"/>
    </row>
    <row r="11" spans="1:125" ht="5.75" customHeight="1">
      <c r="A11" s="36">
        <v>841</v>
      </c>
      <c r="B11" s="37">
        <f t="shared" ref="B11:BM14" si="6">A11+1</f>
        <v>842</v>
      </c>
      <c r="C11" s="37">
        <f t="shared" si="6"/>
        <v>843</v>
      </c>
      <c r="D11" s="37">
        <f t="shared" si="6"/>
        <v>844</v>
      </c>
      <c r="E11" s="37">
        <f t="shared" si="6"/>
        <v>845</v>
      </c>
      <c r="F11" s="37">
        <f t="shared" si="6"/>
        <v>846</v>
      </c>
      <c r="G11" s="37">
        <f t="shared" si="6"/>
        <v>847</v>
      </c>
      <c r="H11" s="37">
        <f t="shared" si="6"/>
        <v>848</v>
      </c>
      <c r="I11" s="37">
        <f t="shared" si="6"/>
        <v>849</v>
      </c>
      <c r="J11" s="38">
        <f t="shared" si="6"/>
        <v>850</v>
      </c>
      <c r="K11" s="36">
        <f t="shared" si="6"/>
        <v>851</v>
      </c>
      <c r="L11" s="37">
        <f t="shared" si="6"/>
        <v>852</v>
      </c>
      <c r="M11" s="37">
        <f t="shared" si="6"/>
        <v>853</v>
      </c>
      <c r="N11" s="37">
        <f t="shared" si="6"/>
        <v>854</v>
      </c>
      <c r="O11" s="37">
        <f t="shared" si="6"/>
        <v>855</v>
      </c>
      <c r="P11" s="37">
        <f t="shared" si="6"/>
        <v>856</v>
      </c>
      <c r="Q11" s="37">
        <f t="shared" si="6"/>
        <v>857</v>
      </c>
      <c r="R11" s="37">
        <f t="shared" si="6"/>
        <v>858</v>
      </c>
      <c r="S11" s="37">
        <f t="shared" si="6"/>
        <v>859</v>
      </c>
      <c r="T11" s="38">
        <f t="shared" si="6"/>
        <v>860</v>
      </c>
      <c r="U11" s="36">
        <f t="shared" si="6"/>
        <v>861</v>
      </c>
      <c r="V11" s="37">
        <f t="shared" si="6"/>
        <v>862</v>
      </c>
      <c r="W11" s="37">
        <f t="shared" si="6"/>
        <v>863</v>
      </c>
      <c r="X11" s="37">
        <f t="shared" si="6"/>
        <v>864</v>
      </c>
      <c r="Y11" s="37">
        <f t="shared" si="6"/>
        <v>865</v>
      </c>
      <c r="Z11" s="37">
        <f t="shared" si="6"/>
        <v>866</v>
      </c>
      <c r="AA11" s="37">
        <f t="shared" si="6"/>
        <v>867</v>
      </c>
      <c r="AB11" s="37">
        <f t="shared" si="6"/>
        <v>868</v>
      </c>
      <c r="AC11" s="37">
        <f t="shared" si="6"/>
        <v>869</v>
      </c>
      <c r="AD11" s="38">
        <f t="shared" si="6"/>
        <v>870</v>
      </c>
      <c r="AE11" s="36">
        <f t="shared" si="6"/>
        <v>871</v>
      </c>
      <c r="AF11" s="37">
        <f t="shared" si="6"/>
        <v>872</v>
      </c>
      <c r="AG11" s="37">
        <f t="shared" si="6"/>
        <v>873</v>
      </c>
      <c r="AH11" s="37">
        <f t="shared" si="6"/>
        <v>874</v>
      </c>
      <c r="AI11" s="37">
        <f t="shared" si="6"/>
        <v>875</v>
      </c>
      <c r="AJ11" s="37">
        <f t="shared" si="6"/>
        <v>876</v>
      </c>
      <c r="AK11" s="37">
        <f t="shared" si="6"/>
        <v>877</v>
      </c>
      <c r="AL11" s="37">
        <f t="shared" si="6"/>
        <v>878</v>
      </c>
      <c r="AM11" s="37">
        <f t="shared" si="6"/>
        <v>879</v>
      </c>
      <c r="AN11" s="38">
        <f t="shared" si="6"/>
        <v>880</v>
      </c>
      <c r="AO11" s="36">
        <f t="shared" si="6"/>
        <v>881</v>
      </c>
      <c r="AP11" s="37">
        <f t="shared" si="6"/>
        <v>882</v>
      </c>
      <c r="AQ11" s="37">
        <f t="shared" si="6"/>
        <v>883</v>
      </c>
      <c r="AR11" s="37">
        <f t="shared" si="6"/>
        <v>884</v>
      </c>
      <c r="AS11" s="37">
        <f t="shared" si="6"/>
        <v>885</v>
      </c>
      <c r="AT11" s="37">
        <f t="shared" si="6"/>
        <v>886</v>
      </c>
      <c r="AU11" s="37">
        <f t="shared" si="6"/>
        <v>887</v>
      </c>
      <c r="AV11" s="37">
        <f t="shared" si="6"/>
        <v>888</v>
      </c>
      <c r="AW11" s="37">
        <f t="shared" si="6"/>
        <v>889</v>
      </c>
      <c r="AX11" s="38">
        <f t="shared" si="6"/>
        <v>890</v>
      </c>
      <c r="AY11" s="36">
        <f t="shared" si="6"/>
        <v>891</v>
      </c>
      <c r="AZ11" s="37">
        <f t="shared" si="6"/>
        <v>892</v>
      </c>
      <c r="BA11" s="37">
        <f t="shared" si="6"/>
        <v>893</v>
      </c>
      <c r="BB11" s="37">
        <f t="shared" si="6"/>
        <v>894</v>
      </c>
      <c r="BC11" s="37">
        <f t="shared" si="6"/>
        <v>895</v>
      </c>
      <c r="BD11" s="37">
        <f t="shared" si="6"/>
        <v>896</v>
      </c>
      <c r="BE11" s="37">
        <f t="shared" si="6"/>
        <v>897</v>
      </c>
      <c r="BF11" s="37">
        <f t="shared" si="6"/>
        <v>898</v>
      </c>
      <c r="BG11" s="37">
        <f t="shared" si="6"/>
        <v>899</v>
      </c>
      <c r="BH11" s="38">
        <f t="shared" si="6"/>
        <v>900</v>
      </c>
      <c r="BI11" s="36">
        <f t="shared" si="6"/>
        <v>901</v>
      </c>
      <c r="BJ11" s="37">
        <f t="shared" si="6"/>
        <v>902</v>
      </c>
      <c r="BK11" s="37">
        <f t="shared" si="6"/>
        <v>903</v>
      </c>
      <c r="BL11" s="37">
        <f t="shared" si="6"/>
        <v>904</v>
      </c>
      <c r="BM11" s="37">
        <f t="shared" si="6"/>
        <v>905</v>
      </c>
      <c r="BN11" s="37">
        <f t="shared" si="0"/>
        <v>906</v>
      </c>
      <c r="BO11" s="37">
        <f t="shared" si="4"/>
        <v>907</v>
      </c>
      <c r="BP11" s="37">
        <f t="shared" si="4"/>
        <v>908</v>
      </c>
      <c r="BQ11" s="37">
        <f t="shared" si="4"/>
        <v>909</v>
      </c>
      <c r="BR11" s="39">
        <f t="shared" si="4"/>
        <v>910</v>
      </c>
      <c r="BS11" s="36">
        <f t="shared" si="4"/>
        <v>911</v>
      </c>
      <c r="BT11" s="37">
        <f t="shared" si="4"/>
        <v>912</v>
      </c>
      <c r="BU11" s="37">
        <f t="shared" si="4"/>
        <v>913</v>
      </c>
      <c r="BV11" s="37">
        <f t="shared" si="4"/>
        <v>914</v>
      </c>
      <c r="BW11" s="37">
        <f t="shared" si="4"/>
        <v>915</v>
      </c>
      <c r="BX11" s="37">
        <f t="shared" si="4"/>
        <v>916</v>
      </c>
      <c r="BY11" s="37">
        <f t="shared" si="4"/>
        <v>917</v>
      </c>
      <c r="BZ11" s="37">
        <f t="shared" si="4"/>
        <v>918</v>
      </c>
      <c r="CA11" s="37">
        <f t="shared" si="4"/>
        <v>919</v>
      </c>
      <c r="CB11" s="38">
        <f t="shared" si="4"/>
        <v>920</v>
      </c>
      <c r="CC11" s="40">
        <f t="shared" si="4"/>
        <v>921</v>
      </c>
      <c r="CD11" s="37">
        <f t="shared" si="4"/>
        <v>922</v>
      </c>
      <c r="CE11" s="37">
        <f t="shared" si="4"/>
        <v>923</v>
      </c>
      <c r="CF11" s="37">
        <f t="shared" si="4"/>
        <v>924</v>
      </c>
      <c r="CG11" s="37">
        <f t="shared" si="4"/>
        <v>925</v>
      </c>
      <c r="CH11" s="37">
        <f t="shared" si="4"/>
        <v>926</v>
      </c>
      <c r="CI11" s="37">
        <f t="shared" si="4"/>
        <v>927</v>
      </c>
      <c r="CJ11" s="37">
        <f t="shared" si="4"/>
        <v>928</v>
      </c>
      <c r="CK11" s="37">
        <f t="shared" si="4"/>
        <v>929</v>
      </c>
      <c r="CL11" s="39">
        <f t="shared" si="4"/>
        <v>930</v>
      </c>
      <c r="CM11" s="36">
        <f t="shared" si="4"/>
        <v>931</v>
      </c>
      <c r="CN11" s="37">
        <f t="shared" si="4"/>
        <v>932</v>
      </c>
      <c r="CO11" s="37">
        <f t="shared" si="4"/>
        <v>933</v>
      </c>
      <c r="CP11" s="37">
        <f t="shared" si="4"/>
        <v>934</v>
      </c>
      <c r="CQ11" s="37">
        <f t="shared" si="4"/>
        <v>935</v>
      </c>
      <c r="CR11" s="37">
        <f t="shared" si="4"/>
        <v>936</v>
      </c>
      <c r="CS11" s="37">
        <f t="shared" si="4"/>
        <v>937</v>
      </c>
      <c r="CT11" s="37">
        <f t="shared" si="4"/>
        <v>938</v>
      </c>
      <c r="CU11" s="37">
        <f t="shared" si="4"/>
        <v>939</v>
      </c>
      <c r="CV11" s="38">
        <f t="shared" si="4"/>
        <v>940</v>
      </c>
      <c r="CW11" s="40">
        <f t="shared" si="4"/>
        <v>941</v>
      </c>
      <c r="CX11" s="37">
        <f t="shared" si="4"/>
        <v>942</v>
      </c>
      <c r="CY11" s="37">
        <f t="shared" si="4"/>
        <v>943</v>
      </c>
      <c r="CZ11" s="37">
        <f t="shared" si="4"/>
        <v>944</v>
      </c>
      <c r="DA11" s="37">
        <f t="shared" si="4"/>
        <v>945</v>
      </c>
      <c r="DB11" s="37">
        <f t="shared" si="4"/>
        <v>946</v>
      </c>
      <c r="DC11" s="37">
        <f t="shared" si="4"/>
        <v>947</v>
      </c>
      <c r="DD11" s="37">
        <f t="shared" si="4"/>
        <v>948</v>
      </c>
      <c r="DE11" s="37">
        <f t="shared" si="4"/>
        <v>949</v>
      </c>
      <c r="DF11" s="39">
        <f t="shared" si="4"/>
        <v>950</v>
      </c>
      <c r="DG11" s="36">
        <f t="shared" si="4"/>
        <v>951</v>
      </c>
      <c r="DH11" s="37">
        <f t="shared" si="4"/>
        <v>952</v>
      </c>
      <c r="DI11" s="37">
        <f t="shared" si="4"/>
        <v>953</v>
      </c>
      <c r="DJ11" s="37">
        <f t="shared" si="4"/>
        <v>954</v>
      </c>
      <c r="DK11" s="37">
        <f t="shared" si="4"/>
        <v>955</v>
      </c>
      <c r="DL11" s="37">
        <f t="shared" si="4"/>
        <v>956</v>
      </c>
      <c r="DM11" s="37">
        <f t="shared" si="4"/>
        <v>957</v>
      </c>
      <c r="DN11" s="37">
        <f t="shared" si="4"/>
        <v>958</v>
      </c>
      <c r="DO11" s="37">
        <f t="shared" si="4"/>
        <v>959</v>
      </c>
      <c r="DP11" s="38">
        <f t="shared" si="4"/>
        <v>960</v>
      </c>
      <c r="DQ11" s="30"/>
      <c r="DR11" s="966">
        <v>2</v>
      </c>
      <c r="DS11" s="967"/>
      <c r="DT11" s="967"/>
      <c r="DU11" s="968"/>
    </row>
    <row r="12" spans="1:125" ht="5.75" customHeight="1">
      <c r="A12" s="36">
        <v>961</v>
      </c>
      <c r="B12" s="37">
        <f t="shared" si="6"/>
        <v>962</v>
      </c>
      <c r="C12" s="37">
        <f t="shared" si="6"/>
        <v>963</v>
      </c>
      <c r="D12" s="37">
        <f t="shared" si="6"/>
        <v>964</v>
      </c>
      <c r="E12" s="37">
        <f t="shared" si="6"/>
        <v>965</v>
      </c>
      <c r="F12" s="37">
        <f t="shared" si="6"/>
        <v>966</v>
      </c>
      <c r="G12" s="37">
        <f t="shared" si="6"/>
        <v>967</v>
      </c>
      <c r="H12" s="37">
        <f t="shared" si="6"/>
        <v>968</v>
      </c>
      <c r="I12" s="37">
        <f t="shared" si="6"/>
        <v>969</v>
      </c>
      <c r="J12" s="38">
        <f t="shared" si="6"/>
        <v>970</v>
      </c>
      <c r="K12" s="36">
        <f t="shared" si="6"/>
        <v>971</v>
      </c>
      <c r="L12" s="37">
        <f t="shared" si="6"/>
        <v>972</v>
      </c>
      <c r="M12" s="37">
        <f t="shared" si="6"/>
        <v>973</v>
      </c>
      <c r="N12" s="37">
        <f t="shared" si="6"/>
        <v>974</v>
      </c>
      <c r="O12" s="37">
        <f t="shared" si="6"/>
        <v>975</v>
      </c>
      <c r="P12" s="37">
        <f t="shared" si="6"/>
        <v>976</v>
      </c>
      <c r="Q12" s="37">
        <f t="shared" si="6"/>
        <v>977</v>
      </c>
      <c r="R12" s="37">
        <f t="shared" si="6"/>
        <v>978</v>
      </c>
      <c r="S12" s="37">
        <f t="shared" si="6"/>
        <v>979</v>
      </c>
      <c r="T12" s="38">
        <f t="shared" si="6"/>
        <v>980</v>
      </c>
      <c r="U12" s="36">
        <f t="shared" si="6"/>
        <v>981</v>
      </c>
      <c r="V12" s="37">
        <f t="shared" si="6"/>
        <v>982</v>
      </c>
      <c r="W12" s="37">
        <f t="shared" si="6"/>
        <v>983</v>
      </c>
      <c r="X12" s="37">
        <f t="shared" si="6"/>
        <v>984</v>
      </c>
      <c r="Y12" s="37">
        <f t="shared" si="6"/>
        <v>985</v>
      </c>
      <c r="Z12" s="37">
        <f t="shared" si="6"/>
        <v>986</v>
      </c>
      <c r="AA12" s="37">
        <f t="shared" si="6"/>
        <v>987</v>
      </c>
      <c r="AB12" s="37">
        <f t="shared" si="6"/>
        <v>988</v>
      </c>
      <c r="AC12" s="37">
        <f t="shared" si="6"/>
        <v>989</v>
      </c>
      <c r="AD12" s="38">
        <f t="shared" si="6"/>
        <v>990</v>
      </c>
      <c r="AE12" s="36">
        <f t="shared" si="6"/>
        <v>991</v>
      </c>
      <c r="AF12" s="37">
        <f t="shared" si="6"/>
        <v>992</v>
      </c>
      <c r="AG12" s="37">
        <f t="shared" si="6"/>
        <v>993</v>
      </c>
      <c r="AH12" s="37">
        <f t="shared" si="6"/>
        <v>994</v>
      </c>
      <c r="AI12" s="37">
        <f t="shared" si="6"/>
        <v>995</v>
      </c>
      <c r="AJ12" s="37">
        <f t="shared" si="6"/>
        <v>996</v>
      </c>
      <c r="AK12" s="37">
        <f t="shared" si="6"/>
        <v>997</v>
      </c>
      <c r="AL12" s="37">
        <f t="shared" si="6"/>
        <v>998</v>
      </c>
      <c r="AM12" s="37">
        <f t="shared" si="6"/>
        <v>999</v>
      </c>
      <c r="AN12" s="38">
        <f t="shared" si="6"/>
        <v>1000</v>
      </c>
      <c r="AO12" s="36">
        <f t="shared" si="6"/>
        <v>1001</v>
      </c>
      <c r="AP12" s="37">
        <f t="shared" si="6"/>
        <v>1002</v>
      </c>
      <c r="AQ12" s="37">
        <f t="shared" si="6"/>
        <v>1003</v>
      </c>
      <c r="AR12" s="37">
        <f t="shared" si="6"/>
        <v>1004</v>
      </c>
      <c r="AS12" s="37">
        <f t="shared" si="6"/>
        <v>1005</v>
      </c>
      <c r="AT12" s="37">
        <f t="shared" si="6"/>
        <v>1006</v>
      </c>
      <c r="AU12" s="37">
        <f t="shared" si="6"/>
        <v>1007</v>
      </c>
      <c r="AV12" s="37">
        <f t="shared" si="6"/>
        <v>1008</v>
      </c>
      <c r="AW12" s="37">
        <f t="shared" si="6"/>
        <v>1009</v>
      </c>
      <c r="AX12" s="38">
        <f t="shared" si="6"/>
        <v>1010</v>
      </c>
      <c r="AY12" s="36">
        <f t="shared" si="6"/>
        <v>1011</v>
      </c>
      <c r="AZ12" s="37">
        <f t="shared" si="6"/>
        <v>1012</v>
      </c>
      <c r="BA12" s="37">
        <f t="shared" si="6"/>
        <v>1013</v>
      </c>
      <c r="BB12" s="37">
        <f t="shared" si="6"/>
        <v>1014</v>
      </c>
      <c r="BC12" s="37">
        <f t="shared" si="6"/>
        <v>1015</v>
      </c>
      <c r="BD12" s="37">
        <f t="shared" si="6"/>
        <v>1016</v>
      </c>
      <c r="BE12" s="37">
        <f t="shared" si="6"/>
        <v>1017</v>
      </c>
      <c r="BF12" s="37">
        <f t="shared" si="6"/>
        <v>1018</v>
      </c>
      <c r="BG12" s="37">
        <f t="shared" si="6"/>
        <v>1019</v>
      </c>
      <c r="BH12" s="38">
        <f t="shared" si="6"/>
        <v>1020</v>
      </c>
      <c r="BI12" s="36">
        <f t="shared" si="6"/>
        <v>1021</v>
      </c>
      <c r="BJ12" s="37">
        <f t="shared" si="6"/>
        <v>1022</v>
      </c>
      <c r="BK12" s="37">
        <f t="shared" si="6"/>
        <v>1023</v>
      </c>
      <c r="BL12" s="37">
        <f t="shared" si="6"/>
        <v>1024</v>
      </c>
      <c r="BM12" s="37">
        <f t="shared" si="6"/>
        <v>1025</v>
      </c>
      <c r="BN12" s="37">
        <f t="shared" si="0"/>
        <v>1026</v>
      </c>
      <c r="BO12" s="37">
        <f t="shared" si="4"/>
        <v>1027</v>
      </c>
      <c r="BP12" s="37">
        <f t="shared" si="4"/>
        <v>1028</v>
      </c>
      <c r="BQ12" s="37">
        <f t="shared" si="4"/>
        <v>1029</v>
      </c>
      <c r="BR12" s="39">
        <f t="shared" si="4"/>
        <v>1030</v>
      </c>
      <c r="BS12" s="36">
        <f t="shared" si="4"/>
        <v>1031</v>
      </c>
      <c r="BT12" s="37">
        <f t="shared" si="4"/>
        <v>1032</v>
      </c>
      <c r="BU12" s="37">
        <f t="shared" si="4"/>
        <v>1033</v>
      </c>
      <c r="BV12" s="37">
        <f t="shared" si="4"/>
        <v>1034</v>
      </c>
      <c r="BW12" s="37">
        <f t="shared" si="4"/>
        <v>1035</v>
      </c>
      <c r="BX12" s="37">
        <f t="shared" si="4"/>
        <v>1036</v>
      </c>
      <c r="BY12" s="37">
        <f t="shared" si="4"/>
        <v>1037</v>
      </c>
      <c r="BZ12" s="37">
        <f t="shared" si="4"/>
        <v>1038</v>
      </c>
      <c r="CA12" s="37">
        <f t="shared" si="4"/>
        <v>1039</v>
      </c>
      <c r="CB12" s="38">
        <f t="shared" si="4"/>
        <v>1040</v>
      </c>
      <c r="CC12" s="40">
        <f t="shared" si="4"/>
        <v>1041</v>
      </c>
      <c r="CD12" s="37">
        <f t="shared" si="4"/>
        <v>1042</v>
      </c>
      <c r="CE12" s="37">
        <f t="shared" si="4"/>
        <v>1043</v>
      </c>
      <c r="CF12" s="37">
        <f t="shared" si="4"/>
        <v>1044</v>
      </c>
      <c r="CG12" s="37">
        <f t="shared" si="4"/>
        <v>1045</v>
      </c>
      <c r="CH12" s="37">
        <f t="shared" si="4"/>
        <v>1046</v>
      </c>
      <c r="CI12" s="37">
        <f t="shared" si="4"/>
        <v>1047</v>
      </c>
      <c r="CJ12" s="37">
        <f t="shared" si="4"/>
        <v>1048</v>
      </c>
      <c r="CK12" s="37">
        <f t="shared" si="4"/>
        <v>1049</v>
      </c>
      <c r="CL12" s="39">
        <f t="shared" si="4"/>
        <v>1050</v>
      </c>
      <c r="CM12" s="36">
        <f t="shared" si="4"/>
        <v>1051</v>
      </c>
      <c r="CN12" s="37">
        <f t="shared" si="4"/>
        <v>1052</v>
      </c>
      <c r="CO12" s="37">
        <f t="shared" si="4"/>
        <v>1053</v>
      </c>
      <c r="CP12" s="37">
        <f t="shared" si="4"/>
        <v>1054</v>
      </c>
      <c r="CQ12" s="37">
        <f t="shared" si="4"/>
        <v>1055</v>
      </c>
      <c r="CR12" s="37">
        <f t="shared" si="4"/>
        <v>1056</v>
      </c>
      <c r="CS12" s="37">
        <f t="shared" si="4"/>
        <v>1057</v>
      </c>
      <c r="CT12" s="37">
        <f t="shared" si="4"/>
        <v>1058</v>
      </c>
      <c r="CU12" s="37">
        <f t="shared" si="4"/>
        <v>1059</v>
      </c>
      <c r="CV12" s="38">
        <f t="shared" si="4"/>
        <v>1060</v>
      </c>
      <c r="CW12" s="40">
        <f t="shared" si="4"/>
        <v>1061</v>
      </c>
      <c r="CX12" s="37">
        <f t="shared" si="4"/>
        <v>1062</v>
      </c>
      <c r="CY12" s="37">
        <f t="shared" si="4"/>
        <v>1063</v>
      </c>
      <c r="CZ12" s="37">
        <f t="shared" si="4"/>
        <v>1064</v>
      </c>
      <c r="DA12" s="37">
        <f t="shared" si="4"/>
        <v>1065</v>
      </c>
      <c r="DB12" s="37">
        <f t="shared" si="4"/>
        <v>1066</v>
      </c>
      <c r="DC12" s="37">
        <f t="shared" si="4"/>
        <v>1067</v>
      </c>
      <c r="DD12" s="37">
        <f t="shared" si="4"/>
        <v>1068</v>
      </c>
      <c r="DE12" s="37">
        <f t="shared" si="4"/>
        <v>1069</v>
      </c>
      <c r="DF12" s="39">
        <f t="shared" si="4"/>
        <v>1070</v>
      </c>
      <c r="DG12" s="36">
        <f t="shared" si="4"/>
        <v>1071</v>
      </c>
      <c r="DH12" s="37">
        <f t="shared" si="4"/>
        <v>1072</v>
      </c>
      <c r="DI12" s="37">
        <f t="shared" si="4"/>
        <v>1073</v>
      </c>
      <c r="DJ12" s="37">
        <f t="shared" si="4"/>
        <v>1074</v>
      </c>
      <c r="DK12" s="37">
        <f t="shared" si="4"/>
        <v>1075</v>
      </c>
      <c r="DL12" s="37">
        <f t="shared" si="4"/>
        <v>1076</v>
      </c>
      <c r="DM12" s="37">
        <f t="shared" si="4"/>
        <v>1077</v>
      </c>
      <c r="DN12" s="37">
        <f t="shared" si="4"/>
        <v>1078</v>
      </c>
      <c r="DO12" s="37">
        <f t="shared" si="4"/>
        <v>1079</v>
      </c>
      <c r="DP12" s="38">
        <f t="shared" si="4"/>
        <v>1080</v>
      </c>
      <c r="DQ12" s="30"/>
      <c r="DR12" s="966"/>
      <c r="DS12" s="967"/>
      <c r="DT12" s="967"/>
      <c r="DU12" s="968"/>
    </row>
    <row r="13" spans="1:125" ht="5.75" customHeight="1">
      <c r="A13" s="36">
        <v>1081</v>
      </c>
      <c r="B13" s="37">
        <f t="shared" si="6"/>
        <v>1082</v>
      </c>
      <c r="C13" s="37">
        <f t="shared" si="6"/>
        <v>1083</v>
      </c>
      <c r="D13" s="37">
        <f t="shared" si="6"/>
        <v>1084</v>
      </c>
      <c r="E13" s="37">
        <f t="shared" si="6"/>
        <v>1085</v>
      </c>
      <c r="F13" s="37">
        <f t="shared" si="6"/>
        <v>1086</v>
      </c>
      <c r="G13" s="37">
        <f t="shared" si="6"/>
        <v>1087</v>
      </c>
      <c r="H13" s="37">
        <f t="shared" si="6"/>
        <v>1088</v>
      </c>
      <c r="I13" s="37">
        <f t="shared" si="6"/>
        <v>1089</v>
      </c>
      <c r="J13" s="38">
        <f t="shared" si="6"/>
        <v>1090</v>
      </c>
      <c r="K13" s="36">
        <f t="shared" si="6"/>
        <v>1091</v>
      </c>
      <c r="L13" s="37">
        <f t="shared" si="6"/>
        <v>1092</v>
      </c>
      <c r="M13" s="37">
        <f t="shared" si="6"/>
        <v>1093</v>
      </c>
      <c r="N13" s="37">
        <f t="shared" si="6"/>
        <v>1094</v>
      </c>
      <c r="O13" s="37">
        <f t="shared" si="6"/>
        <v>1095</v>
      </c>
      <c r="P13" s="37">
        <f t="shared" si="6"/>
        <v>1096</v>
      </c>
      <c r="Q13" s="37">
        <f t="shared" si="6"/>
        <v>1097</v>
      </c>
      <c r="R13" s="37">
        <f t="shared" si="6"/>
        <v>1098</v>
      </c>
      <c r="S13" s="37">
        <f t="shared" si="6"/>
        <v>1099</v>
      </c>
      <c r="T13" s="38">
        <f t="shared" si="6"/>
        <v>1100</v>
      </c>
      <c r="U13" s="36">
        <f t="shared" si="6"/>
        <v>1101</v>
      </c>
      <c r="V13" s="37">
        <f t="shared" si="6"/>
        <v>1102</v>
      </c>
      <c r="W13" s="37">
        <f t="shared" si="6"/>
        <v>1103</v>
      </c>
      <c r="X13" s="37">
        <f t="shared" si="6"/>
        <v>1104</v>
      </c>
      <c r="Y13" s="37">
        <f t="shared" si="6"/>
        <v>1105</v>
      </c>
      <c r="Z13" s="37">
        <f t="shared" si="6"/>
        <v>1106</v>
      </c>
      <c r="AA13" s="37">
        <f t="shared" si="6"/>
        <v>1107</v>
      </c>
      <c r="AB13" s="37">
        <f t="shared" si="6"/>
        <v>1108</v>
      </c>
      <c r="AC13" s="37">
        <f t="shared" si="6"/>
        <v>1109</v>
      </c>
      <c r="AD13" s="38">
        <f t="shared" si="6"/>
        <v>1110</v>
      </c>
      <c r="AE13" s="36">
        <f t="shared" si="6"/>
        <v>1111</v>
      </c>
      <c r="AF13" s="37">
        <f t="shared" si="6"/>
        <v>1112</v>
      </c>
      <c r="AG13" s="37">
        <f t="shared" si="6"/>
        <v>1113</v>
      </c>
      <c r="AH13" s="37">
        <f t="shared" si="6"/>
        <v>1114</v>
      </c>
      <c r="AI13" s="37">
        <f t="shared" si="6"/>
        <v>1115</v>
      </c>
      <c r="AJ13" s="37">
        <f t="shared" si="6"/>
        <v>1116</v>
      </c>
      <c r="AK13" s="37">
        <f t="shared" si="6"/>
        <v>1117</v>
      </c>
      <c r="AL13" s="37">
        <f t="shared" si="6"/>
        <v>1118</v>
      </c>
      <c r="AM13" s="37">
        <f t="shared" si="6"/>
        <v>1119</v>
      </c>
      <c r="AN13" s="38">
        <f t="shared" si="6"/>
        <v>1120</v>
      </c>
      <c r="AO13" s="36">
        <f t="shared" si="6"/>
        <v>1121</v>
      </c>
      <c r="AP13" s="37">
        <f t="shared" si="6"/>
        <v>1122</v>
      </c>
      <c r="AQ13" s="37">
        <f t="shared" si="6"/>
        <v>1123</v>
      </c>
      <c r="AR13" s="37">
        <f t="shared" si="6"/>
        <v>1124</v>
      </c>
      <c r="AS13" s="37">
        <f t="shared" si="6"/>
        <v>1125</v>
      </c>
      <c r="AT13" s="37">
        <f t="shared" si="6"/>
        <v>1126</v>
      </c>
      <c r="AU13" s="37">
        <f t="shared" si="6"/>
        <v>1127</v>
      </c>
      <c r="AV13" s="37">
        <f t="shared" si="6"/>
        <v>1128</v>
      </c>
      <c r="AW13" s="37">
        <f t="shared" si="6"/>
        <v>1129</v>
      </c>
      <c r="AX13" s="38">
        <f t="shared" si="6"/>
        <v>1130</v>
      </c>
      <c r="AY13" s="36">
        <f t="shared" si="6"/>
        <v>1131</v>
      </c>
      <c r="AZ13" s="37">
        <f t="shared" si="6"/>
        <v>1132</v>
      </c>
      <c r="BA13" s="37">
        <f t="shared" si="6"/>
        <v>1133</v>
      </c>
      <c r="BB13" s="37">
        <f t="shared" si="6"/>
        <v>1134</v>
      </c>
      <c r="BC13" s="37">
        <f t="shared" si="6"/>
        <v>1135</v>
      </c>
      <c r="BD13" s="37">
        <f t="shared" si="6"/>
        <v>1136</v>
      </c>
      <c r="BE13" s="37">
        <f t="shared" si="6"/>
        <v>1137</v>
      </c>
      <c r="BF13" s="37">
        <f t="shared" si="6"/>
        <v>1138</v>
      </c>
      <c r="BG13" s="37">
        <f t="shared" si="6"/>
        <v>1139</v>
      </c>
      <c r="BH13" s="38">
        <f t="shared" si="6"/>
        <v>1140</v>
      </c>
      <c r="BI13" s="36">
        <f t="shared" si="6"/>
        <v>1141</v>
      </c>
      <c r="BJ13" s="37">
        <f t="shared" si="6"/>
        <v>1142</v>
      </c>
      <c r="BK13" s="37">
        <f t="shared" si="6"/>
        <v>1143</v>
      </c>
      <c r="BL13" s="37">
        <f t="shared" si="6"/>
        <v>1144</v>
      </c>
      <c r="BM13" s="37">
        <f t="shared" si="6"/>
        <v>1145</v>
      </c>
      <c r="BN13" s="37">
        <f t="shared" si="0"/>
        <v>1146</v>
      </c>
      <c r="BO13" s="37">
        <f t="shared" si="4"/>
        <v>1147</v>
      </c>
      <c r="BP13" s="37">
        <f t="shared" si="4"/>
        <v>1148</v>
      </c>
      <c r="BQ13" s="37">
        <f t="shared" si="4"/>
        <v>1149</v>
      </c>
      <c r="BR13" s="39">
        <f t="shared" si="4"/>
        <v>1150</v>
      </c>
      <c r="BS13" s="36">
        <f t="shared" si="4"/>
        <v>1151</v>
      </c>
      <c r="BT13" s="37">
        <f t="shared" si="4"/>
        <v>1152</v>
      </c>
      <c r="BU13" s="37">
        <f t="shared" si="4"/>
        <v>1153</v>
      </c>
      <c r="BV13" s="37">
        <f t="shared" si="4"/>
        <v>1154</v>
      </c>
      <c r="BW13" s="37">
        <f t="shared" si="4"/>
        <v>1155</v>
      </c>
      <c r="BX13" s="37">
        <f t="shared" si="4"/>
        <v>1156</v>
      </c>
      <c r="BY13" s="37">
        <f t="shared" si="4"/>
        <v>1157</v>
      </c>
      <c r="BZ13" s="37">
        <f t="shared" si="4"/>
        <v>1158</v>
      </c>
      <c r="CA13" s="37">
        <f t="shared" si="4"/>
        <v>1159</v>
      </c>
      <c r="CB13" s="38">
        <f t="shared" si="4"/>
        <v>1160</v>
      </c>
      <c r="CC13" s="40">
        <f t="shared" si="4"/>
        <v>1161</v>
      </c>
      <c r="CD13" s="37">
        <f t="shared" si="4"/>
        <v>1162</v>
      </c>
      <c r="CE13" s="37">
        <f t="shared" si="4"/>
        <v>1163</v>
      </c>
      <c r="CF13" s="37">
        <f t="shared" si="4"/>
        <v>1164</v>
      </c>
      <c r="CG13" s="37">
        <f t="shared" si="4"/>
        <v>1165</v>
      </c>
      <c r="CH13" s="37">
        <f t="shared" si="4"/>
        <v>1166</v>
      </c>
      <c r="CI13" s="37">
        <f t="shared" si="4"/>
        <v>1167</v>
      </c>
      <c r="CJ13" s="37">
        <f t="shared" si="4"/>
        <v>1168</v>
      </c>
      <c r="CK13" s="37">
        <f t="shared" si="4"/>
        <v>1169</v>
      </c>
      <c r="CL13" s="39">
        <f t="shared" si="4"/>
        <v>1170</v>
      </c>
      <c r="CM13" s="36">
        <f t="shared" si="4"/>
        <v>1171</v>
      </c>
      <c r="CN13" s="37">
        <f t="shared" si="4"/>
        <v>1172</v>
      </c>
      <c r="CO13" s="37">
        <f t="shared" si="4"/>
        <v>1173</v>
      </c>
      <c r="CP13" s="37">
        <f t="shared" si="4"/>
        <v>1174</v>
      </c>
      <c r="CQ13" s="37">
        <f t="shared" si="4"/>
        <v>1175</v>
      </c>
      <c r="CR13" s="37">
        <f t="shared" si="4"/>
        <v>1176</v>
      </c>
      <c r="CS13" s="37">
        <f t="shared" si="4"/>
        <v>1177</v>
      </c>
      <c r="CT13" s="37">
        <f t="shared" si="4"/>
        <v>1178</v>
      </c>
      <c r="CU13" s="37">
        <f t="shared" si="4"/>
        <v>1179</v>
      </c>
      <c r="CV13" s="38">
        <f t="shared" si="4"/>
        <v>1180</v>
      </c>
      <c r="CW13" s="40">
        <f t="shared" si="4"/>
        <v>1181</v>
      </c>
      <c r="CX13" s="37">
        <f t="shared" si="4"/>
        <v>1182</v>
      </c>
      <c r="CY13" s="37">
        <f t="shared" si="4"/>
        <v>1183</v>
      </c>
      <c r="CZ13" s="37">
        <f t="shared" si="4"/>
        <v>1184</v>
      </c>
      <c r="DA13" s="37">
        <f t="shared" si="4"/>
        <v>1185</v>
      </c>
      <c r="DB13" s="37">
        <f t="shared" ref="DB13:DP28" si="7">DA13+1</f>
        <v>1186</v>
      </c>
      <c r="DC13" s="37">
        <f t="shared" si="7"/>
        <v>1187</v>
      </c>
      <c r="DD13" s="37">
        <f t="shared" si="7"/>
        <v>1188</v>
      </c>
      <c r="DE13" s="37">
        <f t="shared" si="7"/>
        <v>1189</v>
      </c>
      <c r="DF13" s="39">
        <f t="shared" si="7"/>
        <v>1190</v>
      </c>
      <c r="DG13" s="36">
        <f t="shared" si="7"/>
        <v>1191</v>
      </c>
      <c r="DH13" s="37">
        <f t="shared" si="7"/>
        <v>1192</v>
      </c>
      <c r="DI13" s="37">
        <f t="shared" si="7"/>
        <v>1193</v>
      </c>
      <c r="DJ13" s="37">
        <f t="shared" si="7"/>
        <v>1194</v>
      </c>
      <c r="DK13" s="37">
        <f t="shared" si="7"/>
        <v>1195</v>
      </c>
      <c r="DL13" s="37">
        <f t="shared" si="7"/>
        <v>1196</v>
      </c>
      <c r="DM13" s="37">
        <f t="shared" si="7"/>
        <v>1197</v>
      </c>
      <c r="DN13" s="37">
        <f t="shared" si="7"/>
        <v>1198</v>
      </c>
      <c r="DO13" s="37">
        <f t="shared" si="7"/>
        <v>1199</v>
      </c>
      <c r="DP13" s="38">
        <f t="shared" si="7"/>
        <v>1200</v>
      </c>
      <c r="DQ13" s="30"/>
      <c r="DR13" s="966"/>
      <c r="DS13" s="967"/>
      <c r="DT13" s="967"/>
      <c r="DU13" s="968"/>
    </row>
    <row r="14" spans="1:125" ht="5.75" customHeight="1">
      <c r="A14" s="36">
        <v>1201</v>
      </c>
      <c r="B14" s="37">
        <f t="shared" si="6"/>
        <v>1202</v>
      </c>
      <c r="C14" s="37">
        <f t="shared" si="6"/>
        <v>1203</v>
      </c>
      <c r="D14" s="37">
        <f t="shared" si="6"/>
        <v>1204</v>
      </c>
      <c r="E14" s="37">
        <f t="shared" si="6"/>
        <v>1205</v>
      </c>
      <c r="F14" s="37">
        <f t="shared" si="6"/>
        <v>1206</v>
      </c>
      <c r="G14" s="37">
        <f t="shared" si="6"/>
        <v>1207</v>
      </c>
      <c r="H14" s="37">
        <f t="shared" si="6"/>
        <v>1208</v>
      </c>
      <c r="I14" s="37">
        <f t="shared" si="6"/>
        <v>1209</v>
      </c>
      <c r="J14" s="38">
        <f t="shared" si="6"/>
        <v>1210</v>
      </c>
      <c r="K14" s="36">
        <f t="shared" si="6"/>
        <v>1211</v>
      </c>
      <c r="L14" s="37">
        <f t="shared" si="6"/>
        <v>1212</v>
      </c>
      <c r="M14" s="37">
        <f t="shared" si="6"/>
        <v>1213</v>
      </c>
      <c r="N14" s="37">
        <f t="shared" si="6"/>
        <v>1214</v>
      </c>
      <c r="O14" s="37">
        <f t="shared" si="6"/>
        <v>1215</v>
      </c>
      <c r="P14" s="37">
        <f t="shared" si="6"/>
        <v>1216</v>
      </c>
      <c r="Q14" s="37">
        <f t="shared" si="6"/>
        <v>1217</v>
      </c>
      <c r="R14" s="37">
        <f t="shared" si="6"/>
        <v>1218</v>
      </c>
      <c r="S14" s="37">
        <f t="shared" si="6"/>
        <v>1219</v>
      </c>
      <c r="T14" s="38">
        <f t="shared" si="6"/>
        <v>1220</v>
      </c>
      <c r="U14" s="36">
        <f t="shared" si="6"/>
        <v>1221</v>
      </c>
      <c r="V14" s="37">
        <f t="shared" si="6"/>
        <v>1222</v>
      </c>
      <c r="W14" s="37">
        <f t="shared" si="6"/>
        <v>1223</v>
      </c>
      <c r="X14" s="37">
        <f t="shared" si="6"/>
        <v>1224</v>
      </c>
      <c r="Y14" s="37">
        <f t="shared" si="6"/>
        <v>1225</v>
      </c>
      <c r="Z14" s="37">
        <f t="shared" si="6"/>
        <v>1226</v>
      </c>
      <c r="AA14" s="37">
        <f t="shared" si="6"/>
        <v>1227</v>
      </c>
      <c r="AB14" s="37">
        <f t="shared" si="6"/>
        <v>1228</v>
      </c>
      <c r="AC14" s="37">
        <f t="shared" si="6"/>
        <v>1229</v>
      </c>
      <c r="AD14" s="38">
        <f t="shared" si="6"/>
        <v>1230</v>
      </c>
      <c r="AE14" s="36">
        <f t="shared" si="6"/>
        <v>1231</v>
      </c>
      <c r="AF14" s="37">
        <f t="shared" si="6"/>
        <v>1232</v>
      </c>
      <c r="AG14" s="37">
        <f t="shared" si="6"/>
        <v>1233</v>
      </c>
      <c r="AH14" s="37">
        <f t="shared" si="6"/>
        <v>1234</v>
      </c>
      <c r="AI14" s="37">
        <f t="shared" si="6"/>
        <v>1235</v>
      </c>
      <c r="AJ14" s="37">
        <f t="shared" si="6"/>
        <v>1236</v>
      </c>
      <c r="AK14" s="37">
        <f t="shared" si="6"/>
        <v>1237</v>
      </c>
      <c r="AL14" s="37">
        <f t="shared" si="6"/>
        <v>1238</v>
      </c>
      <c r="AM14" s="37">
        <f t="shared" si="6"/>
        <v>1239</v>
      </c>
      <c r="AN14" s="38">
        <f t="shared" si="6"/>
        <v>1240</v>
      </c>
      <c r="AO14" s="36">
        <f t="shared" si="6"/>
        <v>1241</v>
      </c>
      <c r="AP14" s="37">
        <f t="shared" si="6"/>
        <v>1242</v>
      </c>
      <c r="AQ14" s="37">
        <f t="shared" si="6"/>
        <v>1243</v>
      </c>
      <c r="AR14" s="37">
        <f t="shared" si="6"/>
        <v>1244</v>
      </c>
      <c r="AS14" s="37">
        <f t="shared" si="6"/>
        <v>1245</v>
      </c>
      <c r="AT14" s="37">
        <f t="shared" si="6"/>
        <v>1246</v>
      </c>
      <c r="AU14" s="37">
        <f t="shared" si="6"/>
        <v>1247</v>
      </c>
      <c r="AV14" s="37">
        <f t="shared" si="6"/>
        <v>1248</v>
      </c>
      <c r="AW14" s="37">
        <f t="shared" si="6"/>
        <v>1249</v>
      </c>
      <c r="AX14" s="38">
        <f t="shared" si="6"/>
        <v>1250</v>
      </c>
      <c r="AY14" s="36">
        <f t="shared" si="6"/>
        <v>1251</v>
      </c>
      <c r="AZ14" s="37">
        <f t="shared" si="6"/>
        <v>1252</v>
      </c>
      <c r="BA14" s="37">
        <f t="shared" si="6"/>
        <v>1253</v>
      </c>
      <c r="BB14" s="37">
        <f t="shared" si="6"/>
        <v>1254</v>
      </c>
      <c r="BC14" s="37">
        <f t="shared" si="6"/>
        <v>1255</v>
      </c>
      <c r="BD14" s="37">
        <f t="shared" si="6"/>
        <v>1256</v>
      </c>
      <c r="BE14" s="37">
        <f t="shared" si="6"/>
        <v>1257</v>
      </c>
      <c r="BF14" s="37">
        <f t="shared" si="6"/>
        <v>1258</v>
      </c>
      <c r="BG14" s="37">
        <f t="shared" si="6"/>
        <v>1259</v>
      </c>
      <c r="BH14" s="38">
        <f t="shared" si="6"/>
        <v>1260</v>
      </c>
      <c r="BI14" s="36">
        <f t="shared" si="6"/>
        <v>1261</v>
      </c>
      <c r="BJ14" s="37">
        <f t="shared" si="6"/>
        <v>1262</v>
      </c>
      <c r="BK14" s="37">
        <f t="shared" si="6"/>
        <v>1263</v>
      </c>
      <c r="BL14" s="37">
        <f t="shared" si="6"/>
        <v>1264</v>
      </c>
      <c r="BM14" s="37">
        <f t="shared" ref="B14:BM18" si="8">BL14+1</f>
        <v>1265</v>
      </c>
      <c r="BN14" s="37">
        <f t="shared" si="0"/>
        <v>1266</v>
      </c>
      <c r="BO14" s="37">
        <f t="shared" ref="BO14:CD28" si="9">BN14+1</f>
        <v>1267</v>
      </c>
      <c r="BP14" s="37">
        <f t="shared" si="9"/>
        <v>1268</v>
      </c>
      <c r="BQ14" s="37">
        <f t="shared" si="9"/>
        <v>1269</v>
      </c>
      <c r="BR14" s="39">
        <f t="shared" si="9"/>
        <v>1270</v>
      </c>
      <c r="BS14" s="36">
        <f t="shared" si="9"/>
        <v>1271</v>
      </c>
      <c r="BT14" s="37">
        <f t="shared" si="9"/>
        <v>1272</v>
      </c>
      <c r="BU14" s="37">
        <f t="shared" si="9"/>
        <v>1273</v>
      </c>
      <c r="BV14" s="37">
        <f t="shared" si="9"/>
        <v>1274</v>
      </c>
      <c r="BW14" s="37">
        <f t="shared" si="9"/>
        <v>1275</v>
      </c>
      <c r="BX14" s="37">
        <f t="shared" si="9"/>
        <v>1276</v>
      </c>
      <c r="BY14" s="37">
        <f t="shared" si="9"/>
        <v>1277</v>
      </c>
      <c r="BZ14" s="37">
        <f t="shared" si="9"/>
        <v>1278</v>
      </c>
      <c r="CA14" s="37">
        <f t="shared" si="9"/>
        <v>1279</v>
      </c>
      <c r="CB14" s="38">
        <f t="shared" si="9"/>
        <v>1280</v>
      </c>
      <c r="CC14" s="40">
        <f t="shared" si="9"/>
        <v>1281</v>
      </c>
      <c r="CD14" s="37">
        <f t="shared" si="9"/>
        <v>1282</v>
      </c>
      <c r="CE14" s="37">
        <f t="shared" ref="CE14:CT28" si="10">CD14+1</f>
        <v>1283</v>
      </c>
      <c r="CF14" s="37">
        <f t="shared" si="10"/>
        <v>1284</v>
      </c>
      <c r="CG14" s="37">
        <f t="shared" si="10"/>
        <v>1285</v>
      </c>
      <c r="CH14" s="37">
        <f t="shared" si="10"/>
        <v>1286</v>
      </c>
      <c r="CI14" s="37">
        <f t="shared" si="10"/>
        <v>1287</v>
      </c>
      <c r="CJ14" s="37">
        <f t="shared" si="10"/>
        <v>1288</v>
      </c>
      <c r="CK14" s="37">
        <f t="shared" si="10"/>
        <v>1289</v>
      </c>
      <c r="CL14" s="39">
        <f t="shared" si="10"/>
        <v>1290</v>
      </c>
      <c r="CM14" s="36">
        <f t="shared" si="10"/>
        <v>1291</v>
      </c>
      <c r="CN14" s="37">
        <f t="shared" si="10"/>
        <v>1292</v>
      </c>
      <c r="CO14" s="37">
        <f t="shared" si="10"/>
        <v>1293</v>
      </c>
      <c r="CP14" s="37">
        <f t="shared" si="10"/>
        <v>1294</v>
      </c>
      <c r="CQ14" s="37">
        <f t="shared" si="10"/>
        <v>1295</v>
      </c>
      <c r="CR14" s="37">
        <f t="shared" si="10"/>
        <v>1296</v>
      </c>
      <c r="CS14" s="37">
        <f t="shared" si="10"/>
        <v>1297</v>
      </c>
      <c r="CT14" s="37">
        <f t="shared" si="10"/>
        <v>1298</v>
      </c>
      <c r="CU14" s="37">
        <f t="shared" ref="CU14:DJ28" si="11">CT14+1</f>
        <v>1299</v>
      </c>
      <c r="CV14" s="38">
        <f t="shared" si="11"/>
        <v>1300</v>
      </c>
      <c r="CW14" s="40">
        <f t="shared" si="11"/>
        <v>1301</v>
      </c>
      <c r="CX14" s="37">
        <f t="shared" si="11"/>
        <v>1302</v>
      </c>
      <c r="CY14" s="37">
        <f t="shared" si="11"/>
        <v>1303</v>
      </c>
      <c r="CZ14" s="37">
        <f t="shared" si="11"/>
        <v>1304</v>
      </c>
      <c r="DA14" s="37">
        <f t="shared" si="11"/>
        <v>1305</v>
      </c>
      <c r="DB14" s="37">
        <f t="shared" si="11"/>
        <v>1306</v>
      </c>
      <c r="DC14" s="37">
        <f t="shared" si="11"/>
        <v>1307</v>
      </c>
      <c r="DD14" s="37">
        <f t="shared" si="11"/>
        <v>1308</v>
      </c>
      <c r="DE14" s="37">
        <f t="shared" si="11"/>
        <v>1309</v>
      </c>
      <c r="DF14" s="39">
        <f t="shared" si="11"/>
        <v>1310</v>
      </c>
      <c r="DG14" s="36">
        <f t="shared" si="11"/>
        <v>1311</v>
      </c>
      <c r="DH14" s="37">
        <f t="shared" si="11"/>
        <v>1312</v>
      </c>
      <c r="DI14" s="37">
        <f t="shared" si="11"/>
        <v>1313</v>
      </c>
      <c r="DJ14" s="37">
        <f t="shared" si="11"/>
        <v>1314</v>
      </c>
      <c r="DK14" s="37">
        <f t="shared" si="7"/>
        <v>1315</v>
      </c>
      <c r="DL14" s="37">
        <f t="shared" si="7"/>
        <v>1316</v>
      </c>
      <c r="DM14" s="37">
        <f t="shared" si="7"/>
        <v>1317</v>
      </c>
      <c r="DN14" s="37">
        <f t="shared" si="7"/>
        <v>1318</v>
      </c>
      <c r="DO14" s="37">
        <f t="shared" si="7"/>
        <v>1319</v>
      </c>
      <c r="DP14" s="38">
        <f t="shared" si="7"/>
        <v>1320</v>
      </c>
      <c r="DR14" s="966">
        <v>3</v>
      </c>
      <c r="DS14" s="967"/>
      <c r="DT14" s="967"/>
      <c r="DU14" s="968"/>
    </row>
    <row r="15" spans="1:125" ht="5.75" customHeight="1">
      <c r="A15" s="36">
        <v>1321</v>
      </c>
      <c r="B15" s="37">
        <f t="shared" si="8"/>
        <v>1322</v>
      </c>
      <c r="C15" s="37">
        <f t="shared" si="8"/>
        <v>1323</v>
      </c>
      <c r="D15" s="37">
        <f t="shared" si="8"/>
        <v>1324</v>
      </c>
      <c r="E15" s="37">
        <f t="shared" si="8"/>
        <v>1325</v>
      </c>
      <c r="F15" s="37">
        <f t="shared" si="8"/>
        <v>1326</v>
      </c>
      <c r="G15" s="37">
        <f t="shared" si="8"/>
        <v>1327</v>
      </c>
      <c r="H15" s="37">
        <f t="shared" si="8"/>
        <v>1328</v>
      </c>
      <c r="I15" s="37">
        <f t="shared" si="8"/>
        <v>1329</v>
      </c>
      <c r="J15" s="38">
        <f t="shared" si="8"/>
        <v>1330</v>
      </c>
      <c r="K15" s="36">
        <f t="shared" si="8"/>
        <v>1331</v>
      </c>
      <c r="L15" s="37">
        <f t="shared" si="8"/>
        <v>1332</v>
      </c>
      <c r="M15" s="37">
        <f t="shared" si="8"/>
        <v>1333</v>
      </c>
      <c r="N15" s="37">
        <f t="shared" si="8"/>
        <v>1334</v>
      </c>
      <c r="O15" s="37">
        <f t="shared" si="8"/>
        <v>1335</v>
      </c>
      <c r="P15" s="37">
        <f t="shared" si="8"/>
        <v>1336</v>
      </c>
      <c r="Q15" s="37">
        <f t="shared" si="8"/>
        <v>1337</v>
      </c>
      <c r="R15" s="37">
        <f t="shared" si="8"/>
        <v>1338</v>
      </c>
      <c r="S15" s="37">
        <f t="shared" si="8"/>
        <v>1339</v>
      </c>
      <c r="T15" s="38">
        <f t="shared" si="8"/>
        <v>1340</v>
      </c>
      <c r="U15" s="36">
        <f t="shared" si="8"/>
        <v>1341</v>
      </c>
      <c r="V15" s="37">
        <f t="shared" si="8"/>
        <v>1342</v>
      </c>
      <c r="W15" s="37">
        <f t="shared" si="8"/>
        <v>1343</v>
      </c>
      <c r="X15" s="37">
        <f t="shared" si="8"/>
        <v>1344</v>
      </c>
      <c r="Y15" s="37">
        <f t="shared" si="8"/>
        <v>1345</v>
      </c>
      <c r="Z15" s="37">
        <f t="shared" si="8"/>
        <v>1346</v>
      </c>
      <c r="AA15" s="37">
        <f t="shared" si="8"/>
        <v>1347</v>
      </c>
      <c r="AB15" s="37">
        <f t="shared" si="8"/>
        <v>1348</v>
      </c>
      <c r="AC15" s="37">
        <f t="shared" si="8"/>
        <v>1349</v>
      </c>
      <c r="AD15" s="38">
        <f t="shared" si="8"/>
        <v>1350</v>
      </c>
      <c r="AE15" s="36">
        <f t="shared" si="8"/>
        <v>1351</v>
      </c>
      <c r="AF15" s="37">
        <f t="shared" si="8"/>
        <v>1352</v>
      </c>
      <c r="AG15" s="37">
        <f t="shared" si="8"/>
        <v>1353</v>
      </c>
      <c r="AH15" s="37">
        <f t="shared" si="8"/>
        <v>1354</v>
      </c>
      <c r="AI15" s="37">
        <f t="shared" si="8"/>
        <v>1355</v>
      </c>
      <c r="AJ15" s="37">
        <f t="shared" si="8"/>
        <v>1356</v>
      </c>
      <c r="AK15" s="37">
        <f t="shared" si="8"/>
        <v>1357</v>
      </c>
      <c r="AL15" s="37">
        <f t="shared" si="8"/>
        <v>1358</v>
      </c>
      <c r="AM15" s="37">
        <f t="shared" si="8"/>
        <v>1359</v>
      </c>
      <c r="AN15" s="38">
        <f t="shared" si="8"/>
        <v>1360</v>
      </c>
      <c r="AO15" s="36">
        <f t="shared" si="8"/>
        <v>1361</v>
      </c>
      <c r="AP15" s="37">
        <f t="shared" si="8"/>
        <v>1362</v>
      </c>
      <c r="AQ15" s="37">
        <f t="shared" si="8"/>
        <v>1363</v>
      </c>
      <c r="AR15" s="37">
        <f t="shared" si="8"/>
        <v>1364</v>
      </c>
      <c r="AS15" s="37">
        <f t="shared" si="8"/>
        <v>1365</v>
      </c>
      <c r="AT15" s="37">
        <f t="shared" si="8"/>
        <v>1366</v>
      </c>
      <c r="AU15" s="37">
        <f t="shared" si="8"/>
        <v>1367</v>
      </c>
      <c r="AV15" s="37">
        <f t="shared" si="8"/>
        <v>1368</v>
      </c>
      <c r="AW15" s="37">
        <f t="shared" si="8"/>
        <v>1369</v>
      </c>
      <c r="AX15" s="38">
        <f t="shared" si="8"/>
        <v>1370</v>
      </c>
      <c r="AY15" s="36">
        <f t="shared" si="8"/>
        <v>1371</v>
      </c>
      <c r="AZ15" s="37">
        <f t="shared" si="8"/>
        <v>1372</v>
      </c>
      <c r="BA15" s="37">
        <f t="shared" si="8"/>
        <v>1373</v>
      </c>
      <c r="BB15" s="37">
        <f t="shared" si="8"/>
        <v>1374</v>
      </c>
      <c r="BC15" s="37">
        <f t="shared" si="8"/>
        <v>1375</v>
      </c>
      <c r="BD15" s="37">
        <f t="shared" si="8"/>
        <v>1376</v>
      </c>
      <c r="BE15" s="37">
        <f t="shared" si="8"/>
        <v>1377</v>
      </c>
      <c r="BF15" s="37">
        <f t="shared" si="8"/>
        <v>1378</v>
      </c>
      <c r="BG15" s="37">
        <f t="shared" si="8"/>
        <v>1379</v>
      </c>
      <c r="BH15" s="38">
        <f t="shared" si="8"/>
        <v>1380</v>
      </c>
      <c r="BI15" s="36">
        <f t="shared" si="8"/>
        <v>1381</v>
      </c>
      <c r="BJ15" s="37">
        <f t="shared" si="8"/>
        <v>1382</v>
      </c>
      <c r="BK15" s="37">
        <f t="shared" si="8"/>
        <v>1383</v>
      </c>
      <c r="BL15" s="37">
        <f t="shared" si="8"/>
        <v>1384</v>
      </c>
      <c r="BM15" s="37">
        <f t="shared" si="8"/>
        <v>1385</v>
      </c>
      <c r="BN15" s="37">
        <f t="shared" si="0"/>
        <v>1386</v>
      </c>
      <c r="BO15" s="37">
        <f t="shared" si="9"/>
        <v>1387</v>
      </c>
      <c r="BP15" s="37">
        <f t="shared" si="9"/>
        <v>1388</v>
      </c>
      <c r="BQ15" s="37">
        <f t="shared" si="9"/>
        <v>1389</v>
      </c>
      <c r="BR15" s="39">
        <f t="shared" si="9"/>
        <v>1390</v>
      </c>
      <c r="BS15" s="36">
        <f t="shared" si="9"/>
        <v>1391</v>
      </c>
      <c r="BT15" s="37">
        <f t="shared" si="9"/>
        <v>1392</v>
      </c>
      <c r="BU15" s="37">
        <f t="shared" si="9"/>
        <v>1393</v>
      </c>
      <c r="BV15" s="37">
        <f t="shared" si="9"/>
        <v>1394</v>
      </c>
      <c r="BW15" s="37">
        <f t="shared" si="9"/>
        <v>1395</v>
      </c>
      <c r="BX15" s="37">
        <f t="shared" si="9"/>
        <v>1396</v>
      </c>
      <c r="BY15" s="37">
        <f t="shared" si="9"/>
        <v>1397</v>
      </c>
      <c r="BZ15" s="37">
        <f t="shared" si="9"/>
        <v>1398</v>
      </c>
      <c r="CA15" s="37">
        <f t="shared" si="9"/>
        <v>1399</v>
      </c>
      <c r="CB15" s="38">
        <f t="shared" si="9"/>
        <v>1400</v>
      </c>
      <c r="CC15" s="40">
        <f t="shared" si="9"/>
        <v>1401</v>
      </c>
      <c r="CD15" s="37">
        <f t="shared" si="9"/>
        <v>1402</v>
      </c>
      <c r="CE15" s="37">
        <f t="shared" si="10"/>
        <v>1403</v>
      </c>
      <c r="CF15" s="37">
        <f t="shared" si="10"/>
        <v>1404</v>
      </c>
      <c r="CG15" s="37">
        <f t="shared" si="10"/>
        <v>1405</v>
      </c>
      <c r="CH15" s="37">
        <f t="shared" si="10"/>
        <v>1406</v>
      </c>
      <c r="CI15" s="37">
        <f t="shared" si="10"/>
        <v>1407</v>
      </c>
      <c r="CJ15" s="37">
        <f t="shared" si="10"/>
        <v>1408</v>
      </c>
      <c r="CK15" s="37">
        <f t="shared" si="10"/>
        <v>1409</v>
      </c>
      <c r="CL15" s="39">
        <f t="shared" si="10"/>
        <v>1410</v>
      </c>
      <c r="CM15" s="36">
        <f t="shared" si="10"/>
        <v>1411</v>
      </c>
      <c r="CN15" s="37">
        <f t="shared" si="10"/>
        <v>1412</v>
      </c>
      <c r="CO15" s="37">
        <f t="shared" si="10"/>
        <v>1413</v>
      </c>
      <c r="CP15" s="37">
        <f t="shared" si="10"/>
        <v>1414</v>
      </c>
      <c r="CQ15" s="37">
        <f t="shared" si="10"/>
        <v>1415</v>
      </c>
      <c r="CR15" s="37">
        <f t="shared" si="10"/>
        <v>1416</v>
      </c>
      <c r="CS15" s="37">
        <f t="shared" si="10"/>
        <v>1417</v>
      </c>
      <c r="CT15" s="37">
        <f t="shared" si="10"/>
        <v>1418</v>
      </c>
      <c r="CU15" s="37">
        <f t="shared" si="11"/>
        <v>1419</v>
      </c>
      <c r="CV15" s="38">
        <f t="shared" si="11"/>
        <v>1420</v>
      </c>
      <c r="CW15" s="40">
        <f t="shared" si="11"/>
        <v>1421</v>
      </c>
      <c r="CX15" s="37">
        <f t="shared" si="11"/>
        <v>1422</v>
      </c>
      <c r="CY15" s="37">
        <f t="shared" si="11"/>
        <v>1423</v>
      </c>
      <c r="CZ15" s="37">
        <f t="shared" si="11"/>
        <v>1424</v>
      </c>
      <c r="DA15" s="37">
        <f t="shared" si="11"/>
        <v>1425</v>
      </c>
      <c r="DB15" s="37">
        <f t="shared" si="11"/>
        <v>1426</v>
      </c>
      <c r="DC15" s="37">
        <f t="shared" si="11"/>
        <v>1427</v>
      </c>
      <c r="DD15" s="37">
        <f t="shared" si="11"/>
        <v>1428</v>
      </c>
      <c r="DE15" s="37">
        <f t="shared" si="11"/>
        <v>1429</v>
      </c>
      <c r="DF15" s="39">
        <f t="shared" si="11"/>
        <v>1430</v>
      </c>
      <c r="DG15" s="36">
        <f t="shared" si="11"/>
        <v>1431</v>
      </c>
      <c r="DH15" s="37">
        <f t="shared" si="11"/>
        <v>1432</v>
      </c>
      <c r="DI15" s="37">
        <f t="shared" si="11"/>
        <v>1433</v>
      </c>
      <c r="DJ15" s="37">
        <f t="shared" si="11"/>
        <v>1434</v>
      </c>
      <c r="DK15" s="37">
        <f t="shared" si="7"/>
        <v>1435</v>
      </c>
      <c r="DL15" s="37">
        <f t="shared" si="7"/>
        <v>1436</v>
      </c>
      <c r="DM15" s="37">
        <f t="shared" si="7"/>
        <v>1437</v>
      </c>
      <c r="DN15" s="37">
        <f t="shared" si="7"/>
        <v>1438</v>
      </c>
      <c r="DO15" s="37">
        <f t="shared" si="7"/>
        <v>1439</v>
      </c>
      <c r="DP15" s="38">
        <f t="shared" si="7"/>
        <v>1440</v>
      </c>
      <c r="DR15" s="966"/>
      <c r="DS15" s="967"/>
      <c r="DT15" s="967"/>
      <c r="DU15" s="968"/>
    </row>
    <row r="16" spans="1:125" ht="5.75" customHeight="1">
      <c r="A16" s="36">
        <v>1441</v>
      </c>
      <c r="B16" s="37">
        <f t="shared" si="8"/>
        <v>1442</v>
      </c>
      <c r="C16" s="37">
        <f t="shared" si="8"/>
        <v>1443</v>
      </c>
      <c r="D16" s="37">
        <f t="shared" si="8"/>
        <v>1444</v>
      </c>
      <c r="E16" s="37">
        <f t="shared" si="8"/>
        <v>1445</v>
      </c>
      <c r="F16" s="37">
        <f t="shared" si="8"/>
        <v>1446</v>
      </c>
      <c r="G16" s="37">
        <f t="shared" si="8"/>
        <v>1447</v>
      </c>
      <c r="H16" s="37">
        <f t="shared" si="8"/>
        <v>1448</v>
      </c>
      <c r="I16" s="37">
        <f t="shared" si="8"/>
        <v>1449</v>
      </c>
      <c r="J16" s="38">
        <f t="shared" si="8"/>
        <v>1450</v>
      </c>
      <c r="K16" s="36">
        <f t="shared" si="8"/>
        <v>1451</v>
      </c>
      <c r="L16" s="37">
        <f t="shared" si="8"/>
        <v>1452</v>
      </c>
      <c r="M16" s="37">
        <f t="shared" si="8"/>
        <v>1453</v>
      </c>
      <c r="N16" s="37">
        <f t="shared" si="8"/>
        <v>1454</v>
      </c>
      <c r="O16" s="37">
        <f t="shared" si="8"/>
        <v>1455</v>
      </c>
      <c r="P16" s="37">
        <f t="shared" si="8"/>
        <v>1456</v>
      </c>
      <c r="Q16" s="37">
        <f t="shared" si="8"/>
        <v>1457</v>
      </c>
      <c r="R16" s="37">
        <f t="shared" si="8"/>
        <v>1458</v>
      </c>
      <c r="S16" s="37">
        <f t="shared" si="8"/>
        <v>1459</v>
      </c>
      <c r="T16" s="38">
        <f t="shared" si="8"/>
        <v>1460</v>
      </c>
      <c r="U16" s="36">
        <f t="shared" si="8"/>
        <v>1461</v>
      </c>
      <c r="V16" s="37">
        <f t="shared" si="8"/>
        <v>1462</v>
      </c>
      <c r="W16" s="37">
        <f t="shared" si="8"/>
        <v>1463</v>
      </c>
      <c r="X16" s="37">
        <f t="shared" si="8"/>
        <v>1464</v>
      </c>
      <c r="Y16" s="37">
        <f t="shared" si="8"/>
        <v>1465</v>
      </c>
      <c r="Z16" s="37">
        <f t="shared" si="8"/>
        <v>1466</v>
      </c>
      <c r="AA16" s="37">
        <f t="shared" si="8"/>
        <v>1467</v>
      </c>
      <c r="AB16" s="37">
        <f t="shared" si="8"/>
        <v>1468</v>
      </c>
      <c r="AC16" s="37">
        <f t="shared" si="8"/>
        <v>1469</v>
      </c>
      <c r="AD16" s="38">
        <f t="shared" si="8"/>
        <v>1470</v>
      </c>
      <c r="AE16" s="36">
        <f t="shared" si="8"/>
        <v>1471</v>
      </c>
      <c r="AF16" s="37">
        <f t="shared" si="8"/>
        <v>1472</v>
      </c>
      <c r="AG16" s="37">
        <f t="shared" si="8"/>
        <v>1473</v>
      </c>
      <c r="AH16" s="37">
        <f t="shared" si="8"/>
        <v>1474</v>
      </c>
      <c r="AI16" s="37">
        <f t="shared" si="8"/>
        <v>1475</v>
      </c>
      <c r="AJ16" s="37">
        <f t="shared" si="8"/>
        <v>1476</v>
      </c>
      <c r="AK16" s="37">
        <f t="shared" si="8"/>
        <v>1477</v>
      </c>
      <c r="AL16" s="37">
        <f t="shared" si="8"/>
        <v>1478</v>
      </c>
      <c r="AM16" s="37">
        <f t="shared" si="8"/>
        <v>1479</v>
      </c>
      <c r="AN16" s="38">
        <f t="shared" si="8"/>
        <v>1480</v>
      </c>
      <c r="AO16" s="36">
        <f t="shared" si="8"/>
        <v>1481</v>
      </c>
      <c r="AP16" s="37">
        <f t="shared" si="8"/>
        <v>1482</v>
      </c>
      <c r="AQ16" s="37">
        <f t="shared" si="8"/>
        <v>1483</v>
      </c>
      <c r="AR16" s="37">
        <f t="shared" si="8"/>
        <v>1484</v>
      </c>
      <c r="AS16" s="37">
        <f t="shared" si="8"/>
        <v>1485</v>
      </c>
      <c r="AT16" s="37">
        <f t="shared" si="8"/>
        <v>1486</v>
      </c>
      <c r="AU16" s="37">
        <f t="shared" si="8"/>
        <v>1487</v>
      </c>
      <c r="AV16" s="37">
        <f t="shared" si="8"/>
        <v>1488</v>
      </c>
      <c r="AW16" s="37">
        <f t="shared" si="8"/>
        <v>1489</v>
      </c>
      <c r="AX16" s="38">
        <f t="shared" si="8"/>
        <v>1490</v>
      </c>
      <c r="AY16" s="36">
        <f t="shared" si="8"/>
        <v>1491</v>
      </c>
      <c r="AZ16" s="37">
        <f t="shared" si="8"/>
        <v>1492</v>
      </c>
      <c r="BA16" s="37">
        <f t="shared" si="8"/>
        <v>1493</v>
      </c>
      <c r="BB16" s="37">
        <f t="shared" si="8"/>
        <v>1494</v>
      </c>
      <c r="BC16" s="37">
        <f t="shared" si="8"/>
        <v>1495</v>
      </c>
      <c r="BD16" s="37">
        <f t="shared" si="8"/>
        <v>1496</v>
      </c>
      <c r="BE16" s="37">
        <f t="shared" si="8"/>
        <v>1497</v>
      </c>
      <c r="BF16" s="37">
        <f t="shared" si="8"/>
        <v>1498</v>
      </c>
      <c r="BG16" s="37">
        <f t="shared" si="8"/>
        <v>1499</v>
      </c>
      <c r="BH16" s="38">
        <f t="shared" si="8"/>
        <v>1500</v>
      </c>
      <c r="BI16" s="36">
        <f t="shared" si="8"/>
        <v>1501</v>
      </c>
      <c r="BJ16" s="37">
        <f t="shared" si="8"/>
        <v>1502</v>
      </c>
      <c r="BK16" s="37">
        <f t="shared" si="8"/>
        <v>1503</v>
      </c>
      <c r="BL16" s="37">
        <f t="shared" si="8"/>
        <v>1504</v>
      </c>
      <c r="BM16" s="37">
        <f t="shared" si="8"/>
        <v>1505</v>
      </c>
      <c r="BN16" s="37">
        <f t="shared" si="0"/>
        <v>1506</v>
      </c>
      <c r="BO16" s="37">
        <f t="shared" si="9"/>
        <v>1507</v>
      </c>
      <c r="BP16" s="37">
        <f t="shared" si="9"/>
        <v>1508</v>
      </c>
      <c r="BQ16" s="37">
        <f t="shared" si="9"/>
        <v>1509</v>
      </c>
      <c r="BR16" s="39">
        <f t="shared" si="9"/>
        <v>1510</v>
      </c>
      <c r="BS16" s="36">
        <f t="shared" si="9"/>
        <v>1511</v>
      </c>
      <c r="BT16" s="37">
        <f t="shared" si="9"/>
        <v>1512</v>
      </c>
      <c r="BU16" s="37">
        <f t="shared" si="9"/>
        <v>1513</v>
      </c>
      <c r="BV16" s="37">
        <f t="shared" si="9"/>
        <v>1514</v>
      </c>
      <c r="BW16" s="37">
        <f t="shared" si="9"/>
        <v>1515</v>
      </c>
      <c r="BX16" s="37">
        <f t="shared" si="9"/>
        <v>1516</v>
      </c>
      <c r="BY16" s="37">
        <f t="shared" si="9"/>
        <v>1517</v>
      </c>
      <c r="BZ16" s="37">
        <f t="shared" si="9"/>
        <v>1518</v>
      </c>
      <c r="CA16" s="37">
        <f t="shared" si="9"/>
        <v>1519</v>
      </c>
      <c r="CB16" s="38">
        <f t="shared" si="9"/>
        <v>1520</v>
      </c>
      <c r="CC16" s="40">
        <f t="shared" si="9"/>
        <v>1521</v>
      </c>
      <c r="CD16" s="37">
        <f t="shared" si="9"/>
        <v>1522</v>
      </c>
      <c r="CE16" s="37">
        <f t="shared" si="10"/>
        <v>1523</v>
      </c>
      <c r="CF16" s="37">
        <f t="shared" si="10"/>
        <v>1524</v>
      </c>
      <c r="CG16" s="37">
        <f t="shared" si="10"/>
        <v>1525</v>
      </c>
      <c r="CH16" s="37">
        <f t="shared" si="10"/>
        <v>1526</v>
      </c>
      <c r="CI16" s="37">
        <f t="shared" si="10"/>
        <v>1527</v>
      </c>
      <c r="CJ16" s="37">
        <f t="shared" si="10"/>
        <v>1528</v>
      </c>
      <c r="CK16" s="37">
        <f t="shared" si="10"/>
        <v>1529</v>
      </c>
      <c r="CL16" s="39">
        <f t="shared" si="10"/>
        <v>1530</v>
      </c>
      <c r="CM16" s="36">
        <f t="shared" si="10"/>
        <v>1531</v>
      </c>
      <c r="CN16" s="37">
        <f t="shared" si="10"/>
        <v>1532</v>
      </c>
      <c r="CO16" s="37">
        <f t="shared" si="10"/>
        <v>1533</v>
      </c>
      <c r="CP16" s="37">
        <f t="shared" si="10"/>
        <v>1534</v>
      </c>
      <c r="CQ16" s="37">
        <f t="shared" si="10"/>
        <v>1535</v>
      </c>
      <c r="CR16" s="37">
        <f t="shared" si="10"/>
        <v>1536</v>
      </c>
      <c r="CS16" s="37">
        <f t="shared" si="10"/>
        <v>1537</v>
      </c>
      <c r="CT16" s="37">
        <f t="shared" si="10"/>
        <v>1538</v>
      </c>
      <c r="CU16" s="37">
        <f t="shared" si="11"/>
        <v>1539</v>
      </c>
      <c r="CV16" s="38">
        <f t="shared" si="11"/>
        <v>1540</v>
      </c>
      <c r="CW16" s="40">
        <f t="shared" si="11"/>
        <v>1541</v>
      </c>
      <c r="CX16" s="37">
        <f t="shared" si="11"/>
        <v>1542</v>
      </c>
      <c r="CY16" s="37">
        <f t="shared" si="11"/>
        <v>1543</v>
      </c>
      <c r="CZ16" s="37">
        <f t="shared" si="11"/>
        <v>1544</v>
      </c>
      <c r="DA16" s="37">
        <f t="shared" si="11"/>
        <v>1545</v>
      </c>
      <c r="DB16" s="37">
        <f t="shared" si="11"/>
        <v>1546</v>
      </c>
      <c r="DC16" s="37">
        <f t="shared" si="11"/>
        <v>1547</v>
      </c>
      <c r="DD16" s="37">
        <f t="shared" si="11"/>
        <v>1548</v>
      </c>
      <c r="DE16" s="37">
        <f t="shared" si="11"/>
        <v>1549</v>
      </c>
      <c r="DF16" s="39">
        <f t="shared" si="11"/>
        <v>1550</v>
      </c>
      <c r="DG16" s="36">
        <f t="shared" si="11"/>
        <v>1551</v>
      </c>
      <c r="DH16" s="37">
        <f t="shared" si="11"/>
        <v>1552</v>
      </c>
      <c r="DI16" s="37">
        <f t="shared" si="11"/>
        <v>1553</v>
      </c>
      <c r="DJ16" s="37">
        <f t="shared" si="11"/>
        <v>1554</v>
      </c>
      <c r="DK16" s="37">
        <f t="shared" si="7"/>
        <v>1555</v>
      </c>
      <c r="DL16" s="37">
        <f t="shared" si="7"/>
        <v>1556</v>
      </c>
      <c r="DM16" s="37">
        <f t="shared" si="7"/>
        <v>1557</v>
      </c>
      <c r="DN16" s="37">
        <f t="shared" si="7"/>
        <v>1558</v>
      </c>
      <c r="DO16" s="37">
        <f t="shared" si="7"/>
        <v>1559</v>
      </c>
      <c r="DP16" s="38">
        <f t="shared" si="7"/>
        <v>1560</v>
      </c>
      <c r="DR16" s="966"/>
      <c r="DS16" s="967"/>
      <c r="DT16" s="967"/>
      <c r="DU16" s="968"/>
    </row>
    <row r="17" spans="1:125" ht="5.75" customHeight="1">
      <c r="A17" s="36">
        <v>1561</v>
      </c>
      <c r="B17" s="37">
        <f t="shared" si="8"/>
        <v>1562</v>
      </c>
      <c r="C17" s="37">
        <f t="shared" si="8"/>
        <v>1563</v>
      </c>
      <c r="D17" s="37">
        <f t="shared" si="8"/>
        <v>1564</v>
      </c>
      <c r="E17" s="37">
        <f t="shared" si="8"/>
        <v>1565</v>
      </c>
      <c r="F17" s="37">
        <f t="shared" si="8"/>
        <v>1566</v>
      </c>
      <c r="G17" s="37">
        <f t="shared" si="8"/>
        <v>1567</v>
      </c>
      <c r="H17" s="37">
        <f t="shared" si="8"/>
        <v>1568</v>
      </c>
      <c r="I17" s="37">
        <f t="shared" si="8"/>
        <v>1569</v>
      </c>
      <c r="J17" s="38">
        <f t="shared" si="8"/>
        <v>1570</v>
      </c>
      <c r="K17" s="36">
        <f t="shared" si="8"/>
        <v>1571</v>
      </c>
      <c r="L17" s="37">
        <f t="shared" si="8"/>
        <v>1572</v>
      </c>
      <c r="M17" s="37">
        <f t="shared" si="8"/>
        <v>1573</v>
      </c>
      <c r="N17" s="37">
        <f t="shared" si="8"/>
        <v>1574</v>
      </c>
      <c r="O17" s="37">
        <f t="shared" si="8"/>
        <v>1575</v>
      </c>
      <c r="P17" s="37">
        <f t="shared" si="8"/>
        <v>1576</v>
      </c>
      <c r="Q17" s="37">
        <f t="shared" si="8"/>
        <v>1577</v>
      </c>
      <c r="R17" s="37">
        <f t="shared" si="8"/>
        <v>1578</v>
      </c>
      <c r="S17" s="37">
        <f t="shared" si="8"/>
        <v>1579</v>
      </c>
      <c r="T17" s="38">
        <f t="shared" si="8"/>
        <v>1580</v>
      </c>
      <c r="U17" s="36">
        <f t="shared" si="8"/>
        <v>1581</v>
      </c>
      <c r="V17" s="37">
        <f t="shared" si="8"/>
        <v>1582</v>
      </c>
      <c r="W17" s="37">
        <f t="shared" si="8"/>
        <v>1583</v>
      </c>
      <c r="X17" s="37">
        <f t="shared" si="8"/>
        <v>1584</v>
      </c>
      <c r="Y17" s="37">
        <f t="shared" si="8"/>
        <v>1585</v>
      </c>
      <c r="Z17" s="37">
        <f t="shared" si="8"/>
        <v>1586</v>
      </c>
      <c r="AA17" s="37">
        <f t="shared" si="8"/>
        <v>1587</v>
      </c>
      <c r="AB17" s="37">
        <f t="shared" si="8"/>
        <v>1588</v>
      </c>
      <c r="AC17" s="37">
        <f t="shared" si="8"/>
        <v>1589</v>
      </c>
      <c r="AD17" s="38">
        <f t="shared" si="8"/>
        <v>1590</v>
      </c>
      <c r="AE17" s="36">
        <f t="shared" si="8"/>
        <v>1591</v>
      </c>
      <c r="AF17" s="37">
        <f t="shared" si="8"/>
        <v>1592</v>
      </c>
      <c r="AG17" s="37">
        <f t="shared" si="8"/>
        <v>1593</v>
      </c>
      <c r="AH17" s="37">
        <f t="shared" si="8"/>
        <v>1594</v>
      </c>
      <c r="AI17" s="37">
        <f t="shared" si="8"/>
        <v>1595</v>
      </c>
      <c r="AJ17" s="37">
        <f t="shared" si="8"/>
        <v>1596</v>
      </c>
      <c r="AK17" s="37">
        <f t="shared" si="8"/>
        <v>1597</v>
      </c>
      <c r="AL17" s="37">
        <f t="shared" si="8"/>
        <v>1598</v>
      </c>
      <c r="AM17" s="37">
        <f t="shared" si="8"/>
        <v>1599</v>
      </c>
      <c r="AN17" s="38">
        <f t="shared" si="8"/>
        <v>1600</v>
      </c>
      <c r="AO17" s="36">
        <f t="shared" si="8"/>
        <v>1601</v>
      </c>
      <c r="AP17" s="37">
        <f t="shared" si="8"/>
        <v>1602</v>
      </c>
      <c r="AQ17" s="37">
        <f t="shared" si="8"/>
        <v>1603</v>
      </c>
      <c r="AR17" s="37">
        <f t="shared" si="8"/>
        <v>1604</v>
      </c>
      <c r="AS17" s="37">
        <f t="shared" si="8"/>
        <v>1605</v>
      </c>
      <c r="AT17" s="37">
        <f t="shared" si="8"/>
        <v>1606</v>
      </c>
      <c r="AU17" s="37">
        <f t="shared" si="8"/>
        <v>1607</v>
      </c>
      <c r="AV17" s="37">
        <f t="shared" si="8"/>
        <v>1608</v>
      </c>
      <c r="AW17" s="37">
        <f t="shared" si="8"/>
        <v>1609</v>
      </c>
      <c r="AX17" s="38">
        <f t="shared" si="8"/>
        <v>1610</v>
      </c>
      <c r="AY17" s="36">
        <f t="shared" si="8"/>
        <v>1611</v>
      </c>
      <c r="AZ17" s="37">
        <f t="shared" si="8"/>
        <v>1612</v>
      </c>
      <c r="BA17" s="37">
        <f t="shared" si="8"/>
        <v>1613</v>
      </c>
      <c r="BB17" s="37">
        <f t="shared" si="8"/>
        <v>1614</v>
      </c>
      <c r="BC17" s="37">
        <f t="shared" si="8"/>
        <v>1615</v>
      </c>
      <c r="BD17" s="37">
        <f t="shared" si="8"/>
        <v>1616</v>
      </c>
      <c r="BE17" s="37">
        <f t="shared" si="8"/>
        <v>1617</v>
      </c>
      <c r="BF17" s="37">
        <f t="shared" si="8"/>
        <v>1618</v>
      </c>
      <c r="BG17" s="37">
        <f t="shared" si="8"/>
        <v>1619</v>
      </c>
      <c r="BH17" s="38">
        <f t="shared" si="8"/>
        <v>1620</v>
      </c>
      <c r="BI17" s="36">
        <f t="shared" si="8"/>
        <v>1621</v>
      </c>
      <c r="BJ17" s="37">
        <f t="shared" si="8"/>
        <v>1622</v>
      </c>
      <c r="BK17" s="37">
        <f t="shared" si="8"/>
        <v>1623</v>
      </c>
      <c r="BL17" s="37">
        <f t="shared" si="8"/>
        <v>1624</v>
      </c>
      <c r="BM17" s="37">
        <f t="shared" si="8"/>
        <v>1625</v>
      </c>
      <c r="BN17" s="37">
        <f t="shared" si="0"/>
        <v>1626</v>
      </c>
      <c r="BO17" s="37">
        <f t="shared" si="9"/>
        <v>1627</v>
      </c>
      <c r="BP17" s="37">
        <f t="shared" si="9"/>
        <v>1628</v>
      </c>
      <c r="BQ17" s="37">
        <f t="shared" si="9"/>
        <v>1629</v>
      </c>
      <c r="BR17" s="39">
        <f t="shared" si="9"/>
        <v>1630</v>
      </c>
      <c r="BS17" s="36">
        <f t="shared" si="9"/>
        <v>1631</v>
      </c>
      <c r="BT17" s="37">
        <f t="shared" si="9"/>
        <v>1632</v>
      </c>
      <c r="BU17" s="37">
        <f t="shared" si="9"/>
        <v>1633</v>
      </c>
      <c r="BV17" s="37">
        <f t="shared" si="9"/>
        <v>1634</v>
      </c>
      <c r="BW17" s="37">
        <f t="shared" si="9"/>
        <v>1635</v>
      </c>
      <c r="BX17" s="37">
        <f t="shared" si="9"/>
        <v>1636</v>
      </c>
      <c r="BY17" s="37">
        <f t="shared" si="9"/>
        <v>1637</v>
      </c>
      <c r="BZ17" s="37">
        <f t="shared" si="9"/>
        <v>1638</v>
      </c>
      <c r="CA17" s="37">
        <f t="shared" si="9"/>
        <v>1639</v>
      </c>
      <c r="CB17" s="38">
        <f t="shared" si="9"/>
        <v>1640</v>
      </c>
      <c r="CC17" s="40">
        <f t="shared" si="9"/>
        <v>1641</v>
      </c>
      <c r="CD17" s="37">
        <f t="shared" si="9"/>
        <v>1642</v>
      </c>
      <c r="CE17" s="37">
        <f t="shared" si="10"/>
        <v>1643</v>
      </c>
      <c r="CF17" s="37">
        <f t="shared" si="10"/>
        <v>1644</v>
      </c>
      <c r="CG17" s="37">
        <f t="shared" si="10"/>
        <v>1645</v>
      </c>
      <c r="CH17" s="37">
        <f t="shared" si="10"/>
        <v>1646</v>
      </c>
      <c r="CI17" s="37">
        <f t="shared" si="10"/>
        <v>1647</v>
      </c>
      <c r="CJ17" s="37">
        <f t="shared" si="10"/>
        <v>1648</v>
      </c>
      <c r="CK17" s="37">
        <f t="shared" si="10"/>
        <v>1649</v>
      </c>
      <c r="CL17" s="39">
        <f t="shared" si="10"/>
        <v>1650</v>
      </c>
      <c r="CM17" s="36">
        <f t="shared" si="10"/>
        <v>1651</v>
      </c>
      <c r="CN17" s="37">
        <f t="shared" si="10"/>
        <v>1652</v>
      </c>
      <c r="CO17" s="37">
        <f t="shared" si="10"/>
        <v>1653</v>
      </c>
      <c r="CP17" s="37">
        <f t="shared" si="10"/>
        <v>1654</v>
      </c>
      <c r="CQ17" s="37">
        <f t="shared" si="10"/>
        <v>1655</v>
      </c>
      <c r="CR17" s="37">
        <f t="shared" si="10"/>
        <v>1656</v>
      </c>
      <c r="CS17" s="37">
        <f t="shared" si="10"/>
        <v>1657</v>
      </c>
      <c r="CT17" s="37">
        <f t="shared" si="10"/>
        <v>1658</v>
      </c>
      <c r="CU17" s="37">
        <f t="shared" si="11"/>
        <v>1659</v>
      </c>
      <c r="CV17" s="38">
        <f t="shared" si="11"/>
        <v>1660</v>
      </c>
      <c r="CW17" s="40">
        <f t="shared" si="11"/>
        <v>1661</v>
      </c>
      <c r="CX17" s="37">
        <f t="shared" si="11"/>
        <v>1662</v>
      </c>
      <c r="CY17" s="37">
        <f t="shared" si="11"/>
        <v>1663</v>
      </c>
      <c r="CZ17" s="37">
        <f t="shared" si="11"/>
        <v>1664</v>
      </c>
      <c r="DA17" s="37">
        <f t="shared" si="11"/>
        <v>1665</v>
      </c>
      <c r="DB17" s="37">
        <f t="shared" si="11"/>
        <v>1666</v>
      </c>
      <c r="DC17" s="37">
        <f t="shared" si="11"/>
        <v>1667</v>
      </c>
      <c r="DD17" s="37">
        <f t="shared" si="11"/>
        <v>1668</v>
      </c>
      <c r="DE17" s="37">
        <f t="shared" si="11"/>
        <v>1669</v>
      </c>
      <c r="DF17" s="39">
        <f t="shared" si="11"/>
        <v>1670</v>
      </c>
      <c r="DG17" s="36">
        <f t="shared" si="11"/>
        <v>1671</v>
      </c>
      <c r="DH17" s="37">
        <f t="shared" si="11"/>
        <v>1672</v>
      </c>
      <c r="DI17" s="37">
        <f t="shared" si="11"/>
        <v>1673</v>
      </c>
      <c r="DJ17" s="37">
        <f t="shared" si="11"/>
        <v>1674</v>
      </c>
      <c r="DK17" s="37">
        <f t="shared" si="7"/>
        <v>1675</v>
      </c>
      <c r="DL17" s="37">
        <f t="shared" si="7"/>
        <v>1676</v>
      </c>
      <c r="DM17" s="37">
        <f t="shared" si="7"/>
        <v>1677</v>
      </c>
      <c r="DN17" s="37">
        <f t="shared" si="7"/>
        <v>1678</v>
      </c>
      <c r="DO17" s="37">
        <f t="shared" si="7"/>
        <v>1679</v>
      </c>
      <c r="DP17" s="38">
        <f t="shared" si="7"/>
        <v>1680</v>
      </c>
      <c r="DR17" s="966">
        <v>4</v>
      </c>
      <c r="DS17" s="967"/>
      <c r="DT17" s="967"/>
      <c r="DU17" s="968"/>
    </row>
    <row r="18" spans="1:125" ht="5.75" customHeight="1">
      <c r="A18" s="36">
        <v>1681</v>
      </c>
      <c r="B18" s="37">
        <f t="shared" si="8"/>
        <v>1682</v>
      </c>
      <c r="C18" s="37">
        <f t="shared" si="8"/>
        <v>1683</v>
      </c>
      <c r="D18" s="37">
        <f t="shared" si="8"/>
        <v>1684</v>
      </c>
      <c r="E18" s="37">
        <f t="shared" si="8"/>
        <v>1685</v>
      </c>
      <c r="F18" s="37">
        <f t="shared" si="8"/>
        <v>1686</v>
      </c>
      <c r="G18" s="37">
        <f t="shared" si="8"/>
        <v>1687</v>
      </c>
      <c r="H18" s="37">
        <f t="shared" si="8"/>
        <v>1688</v>
      </c>
      <c r="I18" s="37">
        <f t="shared" si="8"/>
        <v>1689</v>
      </c>
      <c r="J18" s="38">
        <f t="shared" si="8"/>
        <v>1690</v>
      </c>
      <c r="K18" s="36">
        <f t="shared" si="8"/>
        <v>1691</v>
      </c>
      <c r="L18" s="37">
        <f t="shared" si="8"/>
        <v>1692</v>
      </c>
      <c r="M18" s="37">
        <f t="shared" si="8"/>
        <v>1693</v>
      </c>
      <c r="N18" s="37">
        <f t="shared" si="8"/>
        <v>1694</v>
      </c>
      <c r="O18" s="37">
        <f t="shared" si="8"/>
        <v>1695</v>
      </c>
      <c r="P18" s="37">
        <f t="shared" si="8"/>
        <v>1696</v>
      </c>
      <c r="Q18" s="37">
        <f t="shared" si="8"/>
        <v>1697</v>
      </c>
      <c r="R18" s="37">
        <f t="shared" si="8"/>
        <v>1698</v>
      </c>
      <c r="S18" s="37">
        <f t="shared" si="8"/>
        <v>1699</v>
      </c>
      <c r="T18" s="38">
        <f t="shared" si="8"/>
        <v>1700</v>
      </c>
      <c r="U18" s="36">
        <f t="shared" si="8"/>
        <v>1701</v>
      </c>
      <c r="V18" s="37">
        <f t="shared" si="8"/>
        <v>1702</v>
      </c>
      <c r="W18" s="37">
        <f t="shared" si="8"/>
        <v>1703</v>
      </c>
      <c r="X18" s="37">
        <f t="shared" si="8"/>
        <v>1704</v>
      </c>
      <c r="Y18" s="37">
        <f t="shared" si="8"/>
        <v>1705</v>
      </c>
      <c r="Z18" s="37">
        <f t="shared" si="8"/>
        <v>1706</v>
      </c>
      <c r="AA18" s="37">
        <f t="shared" si="8"/>
        <v>1707</v>
      </c>
      <c r="AB18" s="37">
        <f t="shared" si="8"/>
        <v>1708</v>
      </c>
      <c r="AC18" s="37">
        <f t="shared" si="8"/>
        <v>1709</v>
      </c>
      <c r="AD18" s="38">
        <f t="shared" si="8"/>
        <v>1710</v>
      </c>
      <c r="AE18" s="36">
        <f t="shared" si="8"/>
        <v>1711</v>
      </c>
      <c r="AF18" s="37">
        <f t="shared" si="8"/>
        <v>1712</v>
      </c>
      <c r="AG18" s="37">
        <f t="shared" si="8"/>
        <v>1713</v>
      </c>
      <c r="AH18" s="37">
        <f t="shared" si="8"/>
        <v>1714</v>
      </c>
      <c r="AI18" s="37">
        <f t="shared" si="8"/>
        <v>1715</v>
      </c>
      <c r="AJ18" s="37">
        <f t="shared" si="8"/>
        <v>1716</v>
      </c>
      <c r="AK18" s="37">
        <f t="shared" si="8"/>
        <v>1717</v>
      </c>
      <c r="AL18" s="37">
        <f t="shared" si="8"/>
        <v>1718</v>
      </c>
      <c r="AM18" s="37">
        <f t="shared" si="8"/>
        <v>1719</v>
      </c>
      <c r="AN18" s="38">
        <f t="shared" si="8"/>
        <v>1720</v>
      </c>
      <c r="AO18" s="36">
        <f t="shared" si="8"/>
        <v>1721</v>
      </c>
      <c r="AP18" s="37">
        <f t="shared" si="8"/>
        <v>1722</v>
      </c>
      <c r="AQ18" s="37">
        <f t="shared" si="8"/>
        <v>1723</v>
      </c>
      <c r="AR18" s="37">
        <f t="shared" si="8"/>
        <v>1724</v>
      </c>
      <c r="AS18" s="37">
        <f t="shared" si="8"/>
        <v>1725</v>
      </c>
      <c r="AT18" s="37">
        <f t="shared" si="8"/>
        <v>1726</v>
      </c>
      <c r="AU18" s="37">
        <f t="shared" si="8"/>
        <v>1727</v>
      </c>
      <c r="AV18" s="37">
        <f t="shared" si="8"/>
        <v>1728</v>
      </c>
      <c r="AW18" s="37">
        <f t="shared" si="8"/>
        <v>1729</v>
      </c>
      <c r="AX18" s="38">
        <f t="shared" si="8"/>
        <v>1730</v>
      </c>
      <c r="AY18" s="36">
        <f t="shared" si="8"/>
        <v>1731</v>
      </c>
      <c r="AZ18" s="37">
        <f t="shared" si="8"/>
        <v>1732</v>
      </c>
      <c r="BA18" s="37">
        <f t="shared" si="8"/>
        <v>1733</v>
      </c>
      <c r="BB18" s="37">
        <f t="shared" si="8"/>
        <v>1734</v>
      </c>
      <c r="BC18" s="37">
        <f t="shared" si="8"/>
        <v>1735</v>
      </c>
      <c r="BD18" s="37">
        <f t="shared" si="8"/>
        <v>1736</v>
      </c>
      <c r="BE18" s="37">
        <f t="shared" si="8"/>
        <v>1737</v>
      </c>
      <c r="BF18" s="37">
        <f t="shared" si="8"/>
        <v>1738</v>
      </c>
      <c r="BG18" s="37">
        <f t="shared" si="8"/>
        <v>1739</v>
      </c>
      <c r="BH18" s="38">
        <f t="shared" si="8"/>
        <v>1740</v>
      </c>
      <c r="BI18" s="36">
        <f t="shared" si="8"/>
        <v>1741</v>
      </c>
      <c r="BJ18" s="37">
        <f t="shared" si="8"/>
        <v>1742</v>
      </c>
      <c r="BK18" s="37">
        <f t="shared" si="8"/>
        <v>1743</v>
      </c>
      <c r="BL18" s="37">
        <f t="shared" ref="AX18:BM28" si="12">BK18+1</f>
        <v>1744</v>
      </c>
      <c r="BM18" s="37">
        <f t="shared" si="12"/>
        <v>1745</v>
      </c>
      <c r="BN18" s="37">
        <f t="shared" si="0"/>
        <v>1746</v>
      </c>
      <c r="BO18" s="37">
        <f t="shared" si="9"/>
        <v>1747</v>
      </c>
      <c r="BP18" s="37">
        <f t="shared" si="9"/>
        <v>1748</v>
      </c>
      <c r="BQ18" s="37">
        <f t="shared" si="9"/>
        <v>1749</v>
      </c>
      <c r="BR18" s="39">
        <f t="shared" si="9"/>
        <v>1750</v>
      </c>
      <c r="BS18" s="36">
        <f t="shared" si="9"/>
        <v>1751</v>
      </c>
      <c r="BT18" s="37">
        <f t="shared" si="9"/>
        <v>1752</v>
      </c>
      <c r="BU18" s="37">
        <f t="shared" si="9"/>
        <v>1753</v>
      </c>
      <c r="BV18" s="37">
        <f t="shared" si="9"/>
        <v>1754</v>
      </c>
      <c r="BW18" s="37">
        <f t="shared" si="9"/>
        <v>1755</v>
      </c>
      <c r="BX18" s="37">
        <f t="shared" si="9"/>
        <v>1756</v>
      </c>
      <c r="BY18" s="37">
        <f t="shared" si="9"/>
        <v>1757</v>
      </c>
      <c r="BZ18" s="37">
        <f t="shared" si="9"/>
        <v>1758</v>
      </c>
      <c r="CA18" s="37">
        <f t="shared" si="9"/>
        <v>1759</v>
      </c>
      <c r="CB18" s="38">
        <f t="shared" si="9"/>
        <v>1760</v>
      </c>
      <c r="CC18" s="40">
        <f t="shared" si="9"/>
        <v>1761</v>
      </c>
      <c r="CD18" s="37">
        <f t="shared" si="9"/>
        <v>1762</v>
      </c>
      <c r="CE18" s="37">
        <f t="shared" si="10"/>
        <v>1763</v>
      </c>
      <c r="CF18" s="37">
        <f t="shared" si="10"/>
        <v>1764</v>
      </c>
      <c r="CG18" s="37">
        <f t="shared" si="10"/>
        <v>1765</v>
      </c>
      <c r="CH18" s="37">
        <f t="shared" si="10"/>
        <v>1766</v>
      </c>
      <c r="CI18" s="37">
        <f t="shared" si="10"/>
        <v>1767</v>
      </c>
      <c r="CJ18" s="37">
        <f t="shared" si="10"/>
        <v>1768</v>
      </c>
      <c r="CK18" s="37">
        <f t="shared" si="10"/>
        <v>1769</v>
      </c>
      <c r="CL18" s="39">
        <f t="shared" si="10"/>
        <v>1770</v>
      </c>
      <c r="CM18" s="36">
        <f t="shared" si="10"/>
        <v>1771</v>
      </c>
      <c r="CN18" s="37">
        <f t="shared" si="10"/>
        <v>1772</v>
      </c>
      <c r="CO18" s="37">
        <f t="shared" si="10"/>
        <v>1773</v>
      </c>
      <c r="CP18" s="37">
        <f t="shared" si="10"/>
        <v>1774</v>
      </c>
      <c r="CQ18" s="37">
        <f t="shared" si="10"/>
        <v>1775</v>
      </c>
      <c r="CR18" s="37">
        <f t="shared" si="10"/>
        <v>1776</v>
      </c>
      <c r="CS18" s="37">
        <f t="shared" si="10"/>
        <v>1777</v>
      </c>
      <c r="CT18" s="37">
        <f t="shared" si="10"/>
        <v>1778</v>
      </c>
      <c r="CU18" s="37">
        <f t="shared" si="11"/>
        <v>1779</v>
      </c>
      <c r="CV18" s="38">
        <f t="shared" si="11"/>
        <v>1780</v>
      </c>
      <c r="CW18" s="40">
        <f t="shared" si="11"/>
        <v>1781</v>
      </c>
      <c r="CX18" s="37">
        <f t="shared" si="11"/>
        <v>1782</v>
      </c>
      <c r="CY18" s="37">
        <f t="shared" si="11"/>
        <v>1783</v>
      </c>
      <c r="CZ18" s="37">
        <f t="shared" si="11"/>
        <v>1784</v>
      </c>
      <c r="DA18" s="37">
        <f t="shared" si="11"/>
        <v>1785</v>
      </c>
      <c r="DB18" s="37">
        <f t="shared" si="11"/>
        <v>1786</v>
      </c>
      <c r="DC18" s="37">
        <f t="shared" si="11"/>
        <v>1787</v>
      </c>
      <c r="DD18" s="37">
        <f t="shared" si="11"/>
        <v>1788</v>
      </c>
      <c r="DE18" s="37">
        <f t="shared" si="11"/>
        <v>1789</v>
      </c>
      <c r="DF18" s="39">
        <f t="shared" si="11"/>
        <v>1790</v>
      </c>
      <c r="DG18" s="36">
        <f t="shared" si="11"/>
        <v>1791</v>
      </c>
      <c r="DH18" s="37">
        <f t="shared" si="11"/>
        <v>1792</v>
      </c>
      <c r="DI18" s="37">
        <f t="shared" si="11"/>
        <v>1793</v>
      </c>
      <c r="DJ18" s="37">
        <f t="shared" si="11"/>
        <v>1794</v>
      </c>
      <c r="DK18" s="37">
        <f t="shared" si="7"/>
        <v>1795</v>
      </c>
      <c r="DL18" s="37">
        <f t="shared" si="7"/>
        <v>1796</v>
      </c>
      <c r="DM18" s="37">
        <f t="shared" si="7"/>
        <v>1797</v>
      </c>
      <c r="DN18" s="37">
        <f t="shared" si="7"/>
        <v>1798</v>
      </c>
      <c r="DO18" s="37">
        <f t="shared" si="7"/>
        <v>1799</v>
      </c>
      <c r="DP18" s="38">
        <f t="shared" si="7"/>
        <v>1800</v>
      </c>
      <c r="DR18" s="966"/>
      <c r="DS18" s="967"/>
      <c r="DT18" s="967"/>
      <c r="DU18" s="968"/>
    </row>
    <row r="19" spans="1:125" ht="5.75" customHeight="1">
      <c r="A19" s="36">
        <v>1801</v>
      </c>
      <c r="B19" s="37">
        <f t="shared" ref="B19:Q28" si="13">A19+1</f>
        <v>1802</v>
      </c>
      <c r="C19" s="37">
        <f t="shared" si="13"/>
        <v>1803</v>
      </c>
      <c r="D19" s="37">
        <f t="shared" si="13"/>
        <v>1804</v>
      </c>
      <c r="E19" s="37">
        <f t="shared" si="13"/>
        <v>1805</v>
      </c>
      <c r="F19" s="37">
        <f t="shared" si="13"/>
        <v>1806</v>
      </c>
      <c r="G19" s="37">
        <f t="shared" si="13"/>
        <v>1807</v>
      </c>
      <c r="H19" s="37">
        <f t="shared" si="13"/>
        <v>1808</v>
      </c>
      <c r="I19" s="37">
        <f t="shared" si="13"/>
        <v>1809</v>
      </c>
      <c r="J19" s="38">
        <f t="shared" si="13"/>
        <v>1810</v>
      </c>
      <c r="K19" s="36">
        <f t="shared" si="13"/>
        <v>1811</v>
      </c>
      <c r="L19" s="37">
        <f t="shared" si="13"/>
        <v>1812</v>
      </c>
      <c r="M19" s="37">
        <f t="shared" si="13"/>
        <v>1813</v>
      </c>
      <c r="N19" s="37">
        <f t="shared" si="13"/>
        <v>1814</v>
      </c>
      <c r="O19" s="37">
        <f t="shared" si="13"/>
        <v>1815</v>
      </c>
      <c r="P19" s="37">
        <f t="shared" si="13"/>
        <v>1816</v>
      </c>
      <c r="Q19" s="37">
        <f t="shared" si="13"/>
        <v>1817</v>
      </c>
      <c r="R19" s="37">
        <f t="shared" ref="R19:AG28" si="14">Q19+1</f>
        <v>1818</v>
      </c>
      <c r="S19" s="37">
        <f t="shared" si="14"/>
        <v>1819</v>
      </c>
      <c r="T19" s="38">
        <f t="shared" si="14"/>
        <v>1820</v>
      </c>
      <c r="U19" s="36">
        <f t="shared" si="14"/>
        <v>1821</v>
      </c>
      <c r="V19" s="37">
        <f t="shared" si="14"/>
        <v>1822</v>
      </c>
      <c r="W19" s="37">
        <f t="shared" si="14"/>
        <v>1823</v>
      </c>
      <c r="X19" s="37">
        <f t="shared" si="14"/>
        <v>1824</v>
      </c>
      <c r="Y19" s="37">
        <f t="shared" si="14"/>
        <v>1825</v>
      </c>
      <c r="Z19" s="37">
        <f t="shared" si="14"/>
        <v>1826</v>
      </c>
      <c r="AA19" s="37">
        <f t="shared" si="14"/>
        <v>1827</v>
      </c>
      <c r="AB19" s="37">
        <f t="shared" si="14"/>
        <v>1828</v>
      </c>
      <c r="AC19" s="37">
        <f t="shared" si="14"/>
        <v>1829</v>
      </c>
      <c r="AD19" s="38">
        <f t="shared" si="14"/>
        <v>1830</v>
      </c>
      <c r="AE19" s="36">
        <f t="shared" si="14"/>
        <v>1831</v>
      </c>
      <c r="AF19" s="37">
        <f t="shared" si="14"/>
        <v>1832</v>
      </c>
      <c r="AG19" s="37">
        <f t="shared" si="14"/>
        <v>1833</v>
      </c>
      <c r="AH19" s="37">
        <f t="shared" ref="AH19:AW28" si="15">AG19+1</f>
        <v>1834</v>
      </c>
      <c r="AI19" s="37">
        <f t="shared" si="15"/>
        <v>1835</v>
      </c>
      <c r="AJ19" s="37">
        <f t="shared" si="15"/>
        <v>1836</v>
      </c>
      <c r="AK19" s="37">
        <f t="shared" si="15"/>
        <v>1837</v>
      </c>
      <c r="AL19" s="37">
        <f t="shared" si="15"/>
        <v>1838</v>
      </c>
      <c r="AM19" s="37">
        <f t="shared" si="15"/>
        <v>1839</v>
      </c>
      <c r="AN19" s="38">
        <f t="shared" si="15"/>
        <v>1840</v>
      </c>
      <c r="AO19" s="36">
        <f t="shared" si="15"/>
        <v>1841</v>
      </c>
      <c r="AP19" s="37">
        <f t="shared" si="15"/>
        <v>1842</v>
      </c>
      <c r="AQ19" s="37">
        <f t="shared" si="15"/>
        <v>1843</v>
      </c>
      <c r="AR19" s="37">
        <f t="shared" si="15"/>
        <v>1844</v>
      </c>
      <c r="AS19" s="37">
        <f t="shared" si="15"/>
        <v>1845</v>
      </c>
      <c r="AT19" s="37">
        <f t="shared" si="15"/>
        <v>1846</v>
      </c>
      <c r="AU19" s="37">
        <f t="shared" si="15"/>
        <v>1847</v>
      </c>
      <c r="AV19" s="37">
        <f t="shared" si="15"/>
        <v>1848</v>
      </c>
      <c r="AW19" s="37">
        <f t="shared" si="15"/>
        <v>1849</v>
      </c>
      <c r="AX19" s="38">
        <f t="shared" si="12"/>
        <v>1850</v>
      </c>
      <c r="AY19" s="36">
        <f t="shared" si="12"/>
        <v>1851</v>
      </c>
      <c r="AZ19" s="37">
        <f t="shared" si="12"/>
        <v>1852</v>
      </c>
      <c r="BA19" s="37">
        <f t="shared" si="12"/>
        <v>1853</v>
      </c>
      <c r="BB19" s="37">
        <f t="shared" si="12"/>
        <v>1854</v>
      </c>
      <c r="BC19" s="37">
        <f t="shared" si="12"/>
        <v>1855</v>
      </c>
      <c r="BD19" s="37">
        <f t="shared" si="12"/>
        <v>1856</v>
      </c>
      <c r="BE19" s="37">
        <f t="shared" si="12"/>
        <v>1857</v>
      </c>
      <c r="BF19" s="37">
        <f t="shared" si="12"/>
        <v>1858</v>
      </c>
      <c r="BG19" s="37">
        <f t="shared" si="12"/>
        <v>1859</v>
      </c>
      <c r="BH19" s="38">
        <f t="shared" si="12"/>
        <v>1860</v>
      </c>
      <c r="BI19" s="36">
        <f t="shared" si="12"/>
        <v>1861</v>
      </c>
      <c r="BJ19" s="37">
        <f t="shared" si="12"/>
        <v>1862</v>
      </c>
      <c r="BK19" s="37">
        <f t="shared" si="12"/>
        <v>1863</v>
      </c>
      <c r="BL19" s="37">
        <f t="shared" si="12"/>
        <v>1864</v>
      </c>
      <c r="BM19" s="37">
        <f t="shared" si="12"/>
        <v>1865</v>
      </c>
      <c r="BN19" s="37">
        <f t="shared" si="0"/>
        <v>1866</v>
      </c>
      <c r="BO19" s="37">
        <f t="shared" si="9"/>
        <v>1867</v>
      </c>
      <c r="BP19" s="37">
        <f t="shared" si="9"/>
        <v>1868</v>
      </c>
      <c r="BQ19" s="37">
        <f t="shared" si="9"/>
        <v>1869</v>
      </c>
      <c r="BR19" s="39">
        <f t="shared" si="9"/>
        <v>1870</v>
      </c>
      <c r="BS19" s="36">
        <f t="shared" si="9"/>
        <v>1871</v>
      </c>
      <c r="BT19" s="37">
        <f t="shared" si="9"/>
        <v>1872</v>
      </c>
      <c r="BU19" s="37">
        <f t="shared" si="9"/>
        <v>1873</v>
      </c>
      <c r="BV19" s="37">
        <f t="shared" si="9"/>
        <v>1874</v>
      </c>
      <c r="BW19" s="37">
        <f t="shared" si="9"/>
        <v>1875</v>
      </c>
      <c r="BX19" s="37">
        <f t="shared" si="9"/>
        <v>1876</v>
      </c>
      <c r="BY19" s="37">
        <f t="shared" si="9"/>
        <v>1877</v>
      </c>
      <c r="BZ19" s="37">
        <f t="shared" si="9"/>
        <v>1878</v>
      </c>
      <c r="CA19" s="37">
        <f t="shared" si="9"/>
        <v>1879</v>
      </c>
      <c r="CB19" s="38">
        <f t="shared" si="9"/>
        <v>1880</v>
      </c>
      <c r="CC19" s="40">
        <f t="shared" si="9"/>
        <v>1881</v>
      </c>
      <c r="CD19" s="37">
        <f t="shared" si="9"/>
        <v>1882</v>
      </c>
      <c r="CE19" s="37">
        <f t="shared" si="10"/>
        <v>1883</v>
      </c>
      <c r="CF19" s="37">
        <f t="shared" si="10"/>
        <v>1884</v>
      </c>
      <c r="CG19" s="37">
        <f t="shared" si="10"/>
        <v>1885</v>
      </c>
      <c r="CH19" s="37">
        <f t="shared" si="10"/>
        <v>1886</v>
      </c>
      <c r="CI19" s="37">
        <f t="shared" si="10"/>
        <v>1887</v>
      </c>
      <c r="CJ19" s="37">
        <f t="shared" si="10"/>
        <v>1888</v>
      </c>
      <c r="CK19" s="37">
        <f t="shared" si="10"/>
        <v>1889</v>
      </c>
      <c r="CL19" s="39">
        <f t="shared" si="10"/>
        <v>1890</v>
      </c>
      <c r="CM19" s="36">
        <f t="shared" si="10"/>
        <v>1891</v>
      </c>
      <c r="CN19" s="37">
        <f t="shared" si="10"/>
        <v>1892</v>
      </c>
      <c r="CO19" s="37">
        <f t="shared" si="10"/>
        <v>1893</v>
      </c>
      <c r="CP19" s="37">
        <f t="shared" si="10"/>
        <v>1894</v>
      </c>
      <c r="CQ19" s="37">
        <f t="shared" si="10"/>
        <v>1895</v>
      </c>
      <c r="CR19" s="37">
        <f t="shared" si="10"/>
        <v>1896</v>
      </c>
      <c r="CS19" s="37">
        <f t="shared" si="10"/>
        <v>1897</v>
      </c>
      <c r="CT19" s="37">
        <f t="shared" si="10"/>
        <v>1898</v>
      </c>
      <c r="CU19" s="37">
        <f t="shared" si="11"/>
        <v>1899</v>
      </c>
      <c r="CV19" s="38">
        <f t="shared" si="11"/>
        <v>1900</v>
      </c>
      <c r="CW19" s="40">
        <f t="shared" si="11"/>
        <v>1901</v>
      </c>
      <c r="CX19" s="37">
        <f t="shared" si="11"/>
        <v>1902</v>
      </c>
      <c r="CY19" s="37">
        <f t="shared" si="11"/>
        <v>1903</v>
      </c>
      <c r="CZ19" s="37">
        <f t="shared" si="11"/>
        <v>1904</v>
      </c>
      <c r="DA19" s="37">
        <f t="shared" si="11"/>
        <v>1905</v>
      </c>
      <c r="DB19" s="37">
        <f t="shared" si="11"/>
        <v>1906</v>
      </c>
      <c r="DC19" s="37">
        <f t="shared" si="11"/>
        <v>1907</v>
      </c>
      <c r="DD19" s="37">
        <f t="shared" si="11"/>
        <v>1908</v>
      </c>
      <c r="DE19" s="37">
        <f t="shared" si="11"/>
        <v>1909</v>
      </c>
      <c r="DF19" s="39">
        <f t="shared" si="11"/>
        <v>1910</v>
      </c>
      <c r="DG19" s="36">
        <f t="shared" si="11"/>
        <v>1911</v>
      </c>
      <c r="DH19" s="37">
        <f t="shared" si="11"/>
        <v>1912</v>
      </c>
      <c r="DI19" s="37">
        <f t="shared" si="11"/>
        <v>1913</v>
      </c>
      <c r="DJ19" s="37">
        <f t="shared" si="11"/>
        <v>1914</v>
      </c>
      <c r="DK19" s="37">
        <f t="shared" si="7"/>
        <v>1915</v>
      </c>
      <c r="DL19" s="37">
        <f t="shared" si="7"/>
        <v>1916</v>
      </c>
      <c r="DM19" s="37">
        <f t="shared" si="7"/>
        <v>1917</v>
      </c>
      <c r="DN19" s="37">
        <f t="shared" si="7"/>
        <v>1918</v>
      </c>
      <c r="DO19" s="37">
        <f t="shared" si="7"/>
        <v>1919</v>
      </c>
      <c r="DP19" s="38">
        <f t="shared" si="7"/>
        <v>1920</v>
      </c>
      <c r="DR19" s="966"/>
      <c r="DS19" s="967"/>
      <c r="DT19" s="967"/>
      <c r="DU19" s="968"/>
    </row>
    <row r="20" spans="1:125" ht="5.75" customHeight="1">
      <c r="A20" s="36">
        <v>1921</v>
      </c>
      <c r="B20" s="37">
        <f t="shared" si="13"/>
        <v>1922</v>
      </c>
      <c r="C20" s="37">
        <f t="shared" si="13"/>
        <v>1923</v>
      </c>
      <c r="D20" s="37">
        <f t="shared" si="13"/>
        <v>1924</v>
      </c>
      <c r="E20" s="37">
        <f t="shared" si="13"/>
        <v>1925</v>
      </c>
      <c r="F20" s="37">
        <f t="shared" si="13"/>
        <v>1926</v>
      </c>
      <c r="G20" s="37">
        <f t="shared" si="13"/>
        <v>1927</v>
      </c>
      <c r="H20" s="37">
        <f t="shared" si="13"/>
        <v>1928</v>
      </c>
      <c r="I20" s="37">
        <f t="shared" si="13"/>
        <v>1929</v>
      </c>
      <c r="J20" s="38">
        <f t="shared" si="13"/>
        <v>1930</v>
      </c>
      <c r="K20" s="36">
        <f t="shared" si="13"/>
        <v>1931</v>
      </c>
      <c r="L20" s="37">
        <f t="shared" si="13"/>
        <v>1932</v>
      </c>
      <c r="M20" s="37">
        <f t="shared" si="13"/>
        <v>1933</v>
      </c>
      <c r="N20" s="37">
        <f t="shared" si="13"/>
        <v>1934</v>
      </c>
      <c r="O20" s="37">
        <f t="shared" si="13"/>
        <v>1935</v>
      </c>
      <c r="P20" s="37">
        <f t="shared" si="13"/>
        <v>1936</v>
      </c>
      <c r="Q20" s="37">
        <f t="shared" si="13"/>
        <v>1937</v>
      </c>
      <c r="R20" s="37">
        <f t="shared" si="14"/>
        <v>1938</v>
      </c>
      <c r="S20" s="37">
        <f t="shared" si="14"/>
        <v>1939</v>
      </c>
      <c r="T20" s="38">
        <f t="shared" si="14"/>
        <v>1940</v>
      </c>
      <c r="U20" s="36">
        <f t="shared" si="14"/>
        <v>1941</v>
      </c>
      <c r="V20" s="37">
        <f t="shared" si="14"/>
        <v>1942</v>
      </c>
      <c r="W20" s="37">
        <f t="shared" si="14"/>
        <v>1943</v>
      </c>
      <c r="X20" s="37">
        <f t="shared" si="14"/>
        <v>1944</v>
      </c>
      <c r="Y20" s="37">
        <f t="shared" si="14"/>
        <v>1945</v>
      </c>
      <c r="Z20" s="37">
        <f t="shared" si="14"/>
        <v>1946</v>
      </c>
      <c r="AA20" s="37">
        <f t="shared" si="14"/>
        <v>1947</v>
      </c>
      <c r="AB20" s="37">
        <f t="shared" si="14"/>
        <v>1948</v>
      </c>
      <c r="AC20" s="37">
        <f t="shared" si="14"/>
        <v>1949</v>
      </c>
      <c r="AD20" s="38">
        <f t="shared" si="14"/>
        <v>1950</v>
      </c>
      <c r="AE20" s="36">
        <f t="shared" si="14"/>
        <v>1951</v>
      </c>
      <c r="AF20" s="37">
        <f t="shared" si="14"/>
        <v>1952</v>
      </c>
      <c r="AG20" s="37">
        <f t="shared" si="14"/>
        <v>1953</v>
      </c>
      <c r="AH20" s="37">
        <f t="shared" si="15"/>
        <v>1954</v>
      </c>
      <c r="AI20" s="37">
        <f t="shared" si="15"/>
        <v>1955</v>
      </c>
      <c r="AJ20" s="37">
        <f t="shared" si="15"/>
        <v>1956</v>
      </c>
      <c r="AK20" s="37">
        <f t="shared" si="15"/>
        <v>1957</v>
      </c>
      <c r="AL20" s="37">
        <f t="shared" si="15"/>
        <v>1958</v>
      </c>
      <c r="AM20" s="37">
        <f t="shared" si="15"/>
        <v>1959</v>
      </c>
      <c r="AN20" s="38">
        <f t="shared" si="15"/>
        <v>1960</v>
      </c>
      <c r="AO20" s="36">
        <f t="shared" si="15"/>
        <v>1961</v>
      </c>
      <c r="AP20" s="37">
        <f t="shared" si="15"/>
        <v>1962</v>
      </c>
      <c r="AQ20" s="37">
        <f t="shared" si="15"/>
        <v>1963</v>
      </c>
      <c r="AR20" s="37">
        <f t="shared" si="15"/>
        <v>1964</v>
      </c>
      <c r="AS20" s="37">
        <f t="shared" si="15"/>
        <v>1965</v>
      </c>
      <c r="AT20" s="37">
        <f t="shared" si="15"/>
        <v>1966</v>
      </c>
      <c r="AU20" s="37">
        <f t="shared" si="15"/>
        <v>1967</v>
      </c>
      <c r="AV20" s="37">
        <f t="shared" si="15"/>
        <v>1968</v>
      </c>
      <c r="AW20" s="37">
        <f t="shared" si="15"/>
        <v>1969</v>
      </c>
      <c r="AX20" s="38">
        <f t="shared" si="12"/>
        <v>1970</v>
      </c>
      <c r="AY20" s="36">
        <f t="shared" si="12"/>
        <v>1971</v>
      </c>
      <c r="AZ20" s="37">
        <f t="shared" si="12"/>
        <v>1972</v>
      </c>
      <c r="BA20" s="37">
        <f t="shared" si="12"/>
        <v>1973</v>
      </c>
      <c r="BB20" s="37">
        <f t="shared" si="12"/>
        <v>1974</v>
      </c>
      <c r="BC20" s="37">
        <f>BB20+1</f>
        <v>1975</v>
      </c>
      <c r="BD20" s="37">
        <f t="shared" si="12"/>
        <v>1976</v>
      </c>
      <c r="BE20" s="37">
        <f t="shared" si="12"/>
        <v>1977</v>
      </c>
      <c r="BF20" s="37">
        <f t="shared" si="12"/>
        <v>1978</v>
      </c>
      <c r="BG20" s="37">
        <f t="shared" si="12"/>
        <v>1979</v>
      </c>
      <c r="BH20" s="38">
        <f t="shared" si="12"/>
        <v>1980</v>
      </c>
      <c r="BI20" s="36">
        <f t="shared" si="12"/>
        <v>1981</v>
      </c>
      <c r="BJ20" s="37">
        <f t="shared" si="12"/>
        <v>1982</v>
      </c>
      <c r="BK20" s="37">
        <f t="shared" si="12"/>
        <v>1983</v>
      </c>
      <c r="BL20" s="37">
        <f t="shared" si="12"/>
        <v>1984</v>
      </c>
      <c r="BM20" s="37">
        <f t="shared" si="12"/>
        <v>1985</v>
      </c>
      <c r="BN20" s="37">
        <f t="shared" ref="BN20:BN28" si="16">BM20+1</f>
        <v>1986</v>
      </c>
      <c r="BO20" s="37">
        <f t="shared" si="9"/>
        <v>1987</v>
      </c>
      <c r="BP20" s="37">
        <f t="shared" si="9"/>
        <v>1988</v>
      </c>
      <c r="BQ20" s="37">
        <f t="shared" si="9"/>
        <v>1989</v>
      </c>
      <c r="BR20" s="39">
        <f t="shared" si="9"/>
        <v>1990</v>
      </c>
      <c r="BS20" s="36">
        <f t="shared" si="9"/>
        <v>1991</v>
      </c>
      <c r="BT20" s="37">
        <f t="shared" si="9"/>
        <v>1992</v>
      </c>
      <c r="BU20" s="37">
        <f t="shared" si="9"/>
        <v>1993</v>
      </c>
      <c r="BV20" s="37">
        <f t="shared" si="9"/>
        <v>1994</v>
      </c>
      <c r="BW20" s="37">
        <f t="shared" si="9"/>
        <v>1995</v>
      </c>
      <c r="BX20" s="37">
        <f t="shared" si="9"/>
        <v>1996</v>
      </c>
      <c r="BY20" s="37">
        <f t="shared" si="9"/>
        <v>1997</v>
      </c>
      <c r="BZ20" s="37">
        <f t="shared" si="9"/>
        <v>1998</v>
      </c>
      <c r="CA20" s="37">
        <f t="shared" si="9"/>
        <v>1999</v>
      </c>
      <c r="CB20" s="38">
        <f t="shared" si="9"/>
        <v>2000</v>
      </c>
      <c r="CC20" s="40">
        <f t="shared" si="9"/>
        <v>2001</v>
      </c>
      <c r="CD20" s="37">
        <f t="shared" si="9"/>
        <v>2002</v>
      </c>
      <c r="CE20" s="37">
        <f t="shared" si="10"/>
        <v>2003</v>
      </c>
      <c r="CF20" s="37">
        <f t="shared" si="10"/>
        <v>2004</v>
      </c>
      <c r="CG20" s="37">
        <f t="shared" si="10"/>
        <v>2005</v>
      </c>
      <c r="CH20" s="37">
        <f t="shared" si="10"/>
        <v>2006</v>
      </c>
      <c r="CI20" s="37">
        <f t="shared" si="10"/>
        <v>2007</v>
      </c>
      <c r="CJ20" s="37">
        <f t="shared" si="10"/>
        <v>2008</v>
      </c>
      <c r="CK20" s="37">
        <f t="shared" si="10"/>
        <v>2009</v>
      </c>
      <c r="CL20" s="39">
        <f t="shared" si="10"/>
        <v>2010</v>
      </c>
      <c r="CM20" s="36">
        <f t="shared" si="10"/>
        <v>2011</v>
      </c>
      <c r="CN20" s="37">
        <f t="shared" si="10"/>
        <v>2012</v>
      </c>
      <c r="CO20" s="37">
        <f t="shared" si="10"/>
        <v>2013</v>
      </c>
      <c r="CP20" s="37">
        <f t="shared" si="10"/>
        <v>2014</v>
      </c>
      <c r="CQ20" s="37">
        <f t="shared" si="10"/>
        <v>2015</v>
      </c>
      <c r="CR20" s="37">
        <f t="shared" si="10"/>
        <v>2016</v>
      </c>
      <c r="CS20" s="37">
        <f t="shared" si="10"/>
        <v>2017</v>
      </c>
      <c r="CT20" s="37">
        <f t="shared" si="10"/>
        <v>2018</v>
      </c>
      <c r="CU20" s="37">
        <f t="shared" si="11"/>
        <v>2019</v>
      </c>
      <c r="CV20" s="38">
        <f t="shared" si="11"/>
        <v>2020</v>
      </c>
      <c r="CW20" s="40">
        <f t="shared" si="11"/>
        <v>2021</v>
      </c>
      <c r="CX20" s="37">
        <f t="shared" si="11"/>
        <v>2022</v>
      </c>
      <c r="CY20" s="37">
        <f t="shared" si="11"/>
        <v>2023</v>
      </c>
      <c r="CZ20" s="37">
        <f t="shared" si="11"/>
        <v>2024</v>
      </c>
      <c r="DA20" s="37">
        <f t="shared" si="11"/>
        <v>2025</v>
      </c>
      <c r="DB20" s="37">
        <f t="shared" si="11"/>
        <v>2026</v>
      </c>
      <c r="DC20" s="37">
        <f t="shared" si="11"/>
        <v>2027</v>
      </c>
      <c r="DD20" s="37">
        <f t="shared" si="11"/>
        <v>2028</v>
      </c>
      <c r="DE20" s="37">
        <f t="shared" si="11"/>
        <v>2029</v>
      </c>
      <c r="DF20" s="39">
        <f t="shared" si="11"/>
        <v>2030</v>
      </c>
      <c r="DG20" s="36">
        <f t="shared" si="11"/>
        <v>2031</v>
      </c>
      <c r="DH20" s="37">
        <f t="shared" si="11"/>
        <v>2032</v>
      </c>
      <c r="DI20" s="37">
        <f t="shared" si="11"/>
        <v>2033</v>
      </c>
      <c r="DJ20" s="37">
        <f t="shared" si="11"/>
        <v>2034</v>
      </c>
      <c r="DK20" s="37">
        <f t="shared" si="7"/>
        <v>2035</v>
      </c>
      <c r="DL20" s="37">
        <f t="shared" si="7"/>
        <v>2036</v>
      </c>
      <c r="DM20" s="37">
        <f t="shared" si="7"/>
        <v>2037</v>
      </c>
      <c r="DN20" s="37">
        <f t="shared" si="7"/>
        <v>2038</v>
      </c>
      <c r="DO20" s="37">
        <f t="shared" si="7"/>
        <v>2039</v>
      </c>
      <c r="DP20" s="38">
        <f t="shared" si="7"/>
        <v>2040</v>
      </c>
      <c r="DR20" s="966">
        <v>5</v>
      </c>
      <c r="DS20" s="967"/>
      <c r="DT20" s="967"/>
      <c r="DU20" s="968"/>
    </row>
    <row r="21" spans="1:125" ht="5.75" customHeight="1">
      <c r="A21" s="36">
        <v>2041</v>
      </c>
      <c r="B21" s="37">
        <f t="shared" si="13"/>
        <v>2042</v>
      </c>
      <c r="C21" s="37">
        <f t="shared" si="13"/>
        <v>2043</v>
      </c>
      <c r="D21" s="37">
        <f t="shared" si="13"/>
        <v>2044</v>
      </c>
      <c r="E21" s="37">
        <f t="shared" si="13"/>
        <v>2045</v>
      </c>
      <c r="F21" s="37">
        <f t="shared" si="13"/>
        <v>2046</v>
      </c>
      <c r="G21" s="37">
        <f t="shared" si="13"/>
        <v>2047</v>
      </c>
      <c r="H21" s="37">
        <f t="shared" si="13"/>
        <v>2048</v>
      </c>
      <c r="I21" s="37">
        <f t="shared" si="13"/>
        <v>2049</v>
      </c>
      <c r="J21" s="38">
        <f t="shared" si="13"/>
        <v>2050</v>
      </c>
      <c r="K21" s="36">
        <f t="shared" si="13"/>
        <v>2051</v>
      </c>
      <c r="L21" s="37">
        <f t="shared" si="13"/>
        <v>2052</v>
      </c>
      <c r="M21" s="37">
        <f t="shared" si="13"/>
        <v>2053</v>
      </c>
      <c r="N21" s="37">
        <f t="shared" si="13"/>
        <v>2054</v>
      </c>
      <c r="O21" s="37">
        <f t="shared" si="13"/>
        <v>2055</v>
      </c>
      <c r="P21" s="37">
        <f t="shared" si="13"/>
        <v>2056</v>
      </c>
      <c r="Q21" s="37">
        <f t="shared" si="13"/>
        <v>2057</v>
      </c>
      <c r="R21" s="37">
        <f t="shared" si="14"/>
        <v>2058</v>
      </c>
      <c r="S21" s="37">
        <f t="shared" si="14"/>
        <v>2059</v>
      </c>
      <c r="T21" s="38">
        <f t="shared" si="14"/>
        <v>2060</v>
      </c>
      <c r="U21" s="36">
        <f t="shared" si="14"/>
        <v>2061</v>
      </c>
      <c r="V21" s="37">
        <f t="shared" si="14"/>
        <v>2062</v>
      </c>
      <c r="W21" s="37">
        <f t="shared" si="14"/>
        <v>2063</v>
      </c>
      <c r="X21" s="37">
        <f t="shared" si="14"/>
        <v>2064</v>
      </c>
      <c r="Y21" s="37">
        <f t="shared" si="14"/>
        <v>2065</v>
      </c>
      <c r="Z21" s="37">
        <f t="shared" si="14"/>
        <v>2066</v>
      </c>
      <c r="AA21" s="37">
        <f t="shared" si="14"/>
        <v>2067</v>
      </c>
      <c r="AB21" s="37">
        <f t="shared" si="14"/>
        <v>2068</v>
      </c>
      <c r="AC21" s="37">
        <f t="shared" si="14"/>
        <v>2069</v>
      </c>
      <c r="AD21" s="38">
        <f t="shared" si="14"/>
        <v>2070</v>
      </c>
      <c r="AE21" s="36">
        <f t="shared" si="14"/>
        <v>2071</v>
      </c>
      <c r="AF21" s="37">
        <f t="shared" si="14"/>
        <v>2072</v>
      </c>
      <c r="AG21" s="37">
        <f t="shared" si="14"/>
        <v>2073</v>
      </c>
      <c r="AH21" s="37">
        <f t="shared" si="15"/>
        <v>2074</v>
      </c>
      <c r="AI21" s="37">
        <f t="shared" si="15"/>
        <v>2075</v>
      </c>
      <c r="AJ21" s="37">
        <f t="shared" si="15"/>
        <v>2076</v>
      </c>
      <c r="AK21" s="37">
        <f t="shared" si="15"/>
        <v>2077</v>
      </c>
      <c r="AL21" s="37">
        <f t="shared" si="15"/>
        <v>2078</v>
      </c>
      <c r="AM21" s="37">
        <f t="shared" si="15"/>
        <v>2079</v>
      </c>
      <c r="AN21" s="38">
        <f t="shared" si="15"/>
        <v>2080</v>
      </c>
      <c r="AO21" s="36">
        <f t="shared" si="15"/>
        <v>2081</v>
      </c>
      <c r="AP21" s="37">
        <f t="shared" si="15"/>
        <v>2082</v>
      </c>
      <c r="AQ21" s="37">
        <f t="shared" si="15"/>
        <v>2083</v>
      </c>
      <c r="AR21" s="37">
        <f t="shared" si="15"/>
        <v>2084</v>
      </c>
      <c r="AS21" s="37">
        <f t="shared" si="15"/>
        <v>2085</v>
      </c>
      <c r="AT21" s="37">
        <f t="shared" si="15"/>
        <v>2086</v>
      </c>
      <c r="AU21" s="37">
        <f t="shared" si="15"/>
        <v>2087</v>
      </c>
      <c r="AV21" s="37">
        <f t="shared" si="15"/>
        <v>2088</v>
      </c>
      <c r="AW21" s="37">
        <f t="shared" si="15"/>
        <v>2089</v>
      </c>
      <c r="AX21" s="38">
        <f t="shared" si="12"/>
        <v>2090</v>
      </c>
      <c r="AY21" s="36">
        <f t="shared" si="12"/>
        <v>2091</v>
      </c>
      <c r="AZ21" s="37">
        <f t="shared" si="12"/>
        <v>2092</v>
      </c>
      <c r="BA21" s="37">
        <f t="shared" si="12"/>
        <v>2093</v>
      </c>
      <c r="BB21" s="37">
        <f t="shared" si="12"/>
        <v>2094</v>
      </c>
      <c r="BC21" s="37">
        <f t="shared" si="12"/>
        <v>2095</v>
      </c>
      <c r="BD21" s="37">
        <f t="shared" si="12"/>
        <v>2096</v>
      </c>
      <c r="BE21" s="37">
        <f t="shared" si="12"/>
        <v>2097</v>
      </c>
      <c r="BF21" s="37">
        <f t="shared" si="12"/>
        <v>2098</v>
      </c>
      <c r="BG21" s="37">
        <f t="shared" si="12"/>
        <v>2099</v>
      </c>
      <c r="BH21" s="38">
        <f t="shared" si="12"/>
        <v>2100</v>
      </c>
      <c r="BI21" s="36">
        <f t="shared" si="12"/>
        <v>2101</v>
      </c>
      <c r="BJ21" s="37">
        <f t="shared" si="12"/>
        <v>2102</v>
      </c>
      <c r="BK21" s="37">
        <f t="shared" si="12"/>
        <v>2103</v>
      </c>
      <c r="BL21" s="37">
        <f t="shared" si="12"/>
        <v>2104</v>
      </c>
      <c r="BM21" s="37">
        <f t="shared" si="12"/>
        <v>2105</v>
      </c>
      <c r="BN21" s="37">
        <f t="shared" si="16"/>
        <v>2106</v>
      </c>
      <c r="BO21" s="37">
        <f t="shared" si="9"/>
        <v>2107</v>
      </c>
      <c r="BP21" s="37">
        <f t="shared" si="9"/>
        <v>2108</v>
      </c>
      <c r="BQ21" s="37">
        <f t="shared" si="9"/>
        <v>2109</v>
      </c>
      <c r="BR21" s="39">
        <f t="shared" si="9"/>
        <v>2110</v>
      </c>
      <c r="BS21" s="36">
        <f t="shared" si="9"/>
        <v>2111</v>
      </c>
      <c r="BT21" s="37">
        <f t="shared" si="9"/>
        <v>2112</v>
      </c>
      <c r="BU21" s="37">
        <f t="shared" si="9"/>
        <v>2113</v>
      </c>
      <c r="BV21" s="37">
        <f t="shared" si="9"/>
        <v>2114</v>
      </c>
      <c r="BW21" s="37">
        <f t="shared" si="9"/>
        <v>2115</v>
      </c>
      <c r="BX21" s="37">
        <f t="shared" si="9"/>
        <v>2116</v>
      </c>
      <c r="BY21" s="37">
        <f t="shared" si="9"/>
        <v>2117</v>
      </c>
      <c r="BZ21" s="37">
        <f t="shared" si="9"/>
        <v>2118</v>
      </c>
      <c r="CA21" s="37">
        <f t="shared" si="9"/>
        <v>2119</v>
      </c>
      <c r="CB21" s="38">
        <f t="shared" si="9"/>
        <v>2120</v>
      </c>
      <c r="CC21" s="40">
        <f t="shared" si="9"/>
        <v>2121</v>
      </c>
      <c r="CD21" s="37">
        <f t="shared" si="9"/>
        <v>2122</v>
      </c>
      <c r="CE21" s="37">
        <f t="shared" si="10"/>
        <v>2123</v>
      </c>
      <c r="CF21" s="37">
        <f t="shared" si="10"/>
        <v>2124</v>
      </c>
      <c r="CG21" s="37">
        <f t="shared" si="10"/>
        <v>2125</v>
      </c>
      <c r="CH21" s="37">
        <f t="shared" si="10"/>
        <v>2126</v>
      </c>
      <c r="CI21" s="37">
        <f t="shared" si="10"/>
        <v>2127</v>
      </c>
      <c r="CJ21" s="37">
        <f t="shared" si="10"/>
        <v>2128</v>
      </c>
      <c r="CK21" s="37">
        <f t="shared" si="10"/>
        <v>2129</v>
      </c>
      <c r="CL21" s="39">
        <f t="shared" si="10"/>
        <v>2130</v>
      </c>
      <c r="CM21" s="36">
        <f t="shared" si="10"/>
        <v>2131</v>
      </c>
      <c r="CN21" s="37">
        <f t="shared" si="10"/>
        <v>2132</v>
      </c>
      <c r="CO21" s="37">
        <f t="shared" si="10"/>
        <v>2133</v>
      </c>
      <c r="CP21" s="37">
        <f t="shared" si="10"/>
        <v>2134</v>
      </c>
      <c r="CQ21" s="37">
        <f t="shared" si="10"/>
        <v>2135</v>
      </c>
      <c r="CR21" s="37">
        <f t="shared" si="10"/>
        <v>2136</v>
      </c>
      <c r="CS21" s="37">
        <f t="shared" si="10"/>
        <v>2137</v>
      </c>
      <c r="CT21" s="37">
        <f t="shared" si="10"/>
        <v>2138</v>
      </c>
      <c r="CU21" s="37">
        <f t="shared" si="11"/>
        <v>2139</v>
      </c>
      <c r="CV21" s="38">
        <f t="shared" si="11"/>
        <v>2140</v>
      </c>
      <c r="CW21" s="40">
        <f t="shared" si="11"/>
        <v>2141</v>
      </c>
      <c r="CX21" s="37">
        <f t="shared" si="11"/>
        <v>2142</v>
      </c>
      <c r="CY21" s="37">
        <f t="shared" si="11"/>
        <v>2143</v>
      </c>
      <c r="CZ21" s="37">
        <f t="shared" si="11"/>
        <v>2144</v>
      </c>
      <c r="DA21" s="37">
        <f t="shared" si="11"/>
        <v>2145</v>
      </c>
      <c r="DB21" s="37">
        <f t="shared" si="11"/>
        <v>2146</v>
      </c>
      <c r="DC21" s="37">
        <f t="shared" si="11"/>
        <v>2147</v>
      </c>
      <c r="DD21" s="37">
        <f t="shared" si="11"/>
        <v>2148</v>
      </c>
      <c r="DE21" s="37">
        <f t="shared" si="11"/>
        <v>2149</v>
      </c>
      <c r="DF21" s="39">
        <f t="shared" si="11"/>
        <v>2150</v>
      </c>
      <c r="DG21" s="36">
        <f t="shared" si="11"/>
        <v>2151</v>
      </c>
      <c r="DH21" s="37">
        <f t="shared" si="11"/>
        <v>2152</v>
      </c>
      <c r="DI21" s="37">
        <f t="shared" si="11"/>
        <v>2153</v>
      </c>
      <c r="DJ21" s="37">
        <f t="shared" si="11"/>
        <v>2154</v>
      </c>
      <c r="DK21" s="37">
        <f t="shared" si="7"/>
        <v>2155</v>
      </c>
      <c r="DL21" s="37">
        <f t="shared" si="7"/>
        <v>2156</v>
      </c>
      <c r="DM21" s="37">
        <f t="shared" si="7"/>
        <v>2157</v>
      </c>
      <c r="DN21" s="37">
        <f t="shared" si="7"/>
        <v>2158</v>
      </c>
      <c r="DO21" s="37">
        <f t="shared" si="7"/>
        <v>2159</v>
      </c>
      <c r="DP21" s="38">
        <f t="shared" si="7"/>
        <v>2160</v>
      </c>
      <c r="DR21" s="966"/>
      <c r="DS21" s="967"/>
      <c r="DT21" s="967"/>
      <c r="DU21" s="968"/>
    </row>
    <row r="22" spans="1:125" ht="5.75" customHeight="1">
      <c r="A22" s="36">
        <v>2161</v>
      </c>
      <c r="B22" s="37">
        <f t="shared" si="13"/>
        <v>2162</v>
      </c>
      <c r="C22" s="37">
        <f t="shared" si="13"/>
        <v>2163</v>
      </c>
      <c r="D22" s="37">
        <f t="shared" si="13"/>
        <v>2164</v>
      </c>
      <c r="E22" s="37">
        <f t="shared" si="13"/>
        <v>2165</v>
      </c>
      <c r="F22" s="37">
        <f t="shared" si="13"/>
        <v>2166</v>
      </c>
      <c r="G22" s="37">
        <f t="shared" si="13"/>
        <v>2167</v>
      </c>
      <c r="H22" s="37">
        <f t="shared" si="13"/>
        <v>2168</v>
      </c>
      <c r="I22" s="37">
        <f t="shared" si="13"/>
        <v>2169</v>
      </c>
      <c r="J22" s="38">
        <f t="shared" si="13"/>
        <v>2170</v>
      </c>
      <c r="K22" s="36">
        <f t="shared" si="13"/>
        <v>2171</v>
      </c>
      <c r="L22" s="37">
        <f t="shared" si="13"/>
        <v>2172</v>
      </c>
      <c r="M22" s="37">
        <f t="shared" si="13"/>
        <v>2173</v>
      </c>
      <c r="N22" s="37">
        <f t="shared" si="13"/>
        <v>2174</v>
      </c>
      <c r="O22" s="37">
        <f t="shared" si="13"/>
        <v>2175</v>
      </c>
      <c r="P22" s="37">
        <f t="shared" si="13"/>
        <v>2176</v>
      </c>
      <c r="Q22" s="37">
        <f t="shared" si="13"/>
        <v>2177</v>
      </c>
      <c r="R22" s="37">
        <f t="shared" si="14"/>
        <v>2178</v>
      </c>
      <c r="S22" s="37">
        <f t="shared" si="14"/>
        <v>2179</v>
      </c>
      <c r="T22" s="38">
        <f t="shared" si="14"/>
        <v>2180</v>
      </c>
      <c r="U22" s="36">
        <f t="shared" si="14"/>
        <v>2181</v>
      </c>
      <c r="V22" s="37">
        <f t="shared" si="14"/>
        <v>2182</v>
      </c>
      <c r="W22" s="37">
        <f t="shared" si="14"/>
        <v>2183</v>
      </c>
      <c r="X22" s="37">
        <f t="shared" si="14"/>
        <v>2184</v>
      </c>
      <c r="Y22" s="37">
        <f t="shared" si="14"/>
        <v>2185</v>
      </c>
      <c r="Z22" s="37">
        <f t="shared" si="14"/>
        <v>2186</v>
      </c>
      <c r="AA22" s="37">
        <f t="shared" si="14"/>
        <v>2187</v>
      </c>
      <c r="AB22" s="37">
        <f t="shared" si="14"/>
        <v>2188</v>
      </c>
      <c r="AC22" s="37">
        <f t="shared" si="14"/>
        <v>2189</v>
      </c>
      <c r="AD22" s="38">
        <f t="shared" si="14"/>
        <v>2190</v>
      </c>
      <c r="AE22" s="36">
        <f t="shared" si="14"/>
        <v>2191</v>
      </c>
      <c r="AF22" s="37">
        <f t="shared" si="14"/>
        <v>2192</v>
      </c>
      <c r="AG22" s="37">
        <f t="shared" si="14"/>
        <v>2193</v>
      </c>
      <c r="AH22" s="37">
        <f t="shared" si="15"/>
        <v>2194</v>
      </c>
      <c r="AI22" s="37">
        <f t="shared" si="15"/>
        <v>2195</v>
      </c>
      <c r="AJ22" s="37">
        <f t="shared" si="15"/>
        <v>2196</v>
      </c>
      <c r="AK22" s="37">
        <f t="shared" si="15"/>
        <v>2197</v>
      </c>
      <c r="AL22" s="37">
        <f t="shared" si="15"/>
        <v>2198</v>
      </c>
      <c r="AM22" s="37">
        <f t="shared" si="15"/>
        <v>2199</v>
      </c>
      <c r="AN22" s="38">
        <f t="shared" si="15"/>
        <v>2200</v>
      </c>
      <c r="AO22" s="36">
        <f t="shared" si="15"/>
        <v>2201</v>
      </c>
      <c r="AP22" s="37">
        <f t="shared" si="15"/>
        <v>2202</v>
      </c>
      <c r="AQ22" s="37">
        <f t="shared" si="15"/>
        <v>2203</v>
      </c>
      <c r="AR22" s="37">
        <f t="shared" si="15"/>
        <v>2204</v>
      </c>
      <c r="AS22" s="37">
        <f t="shared" si="15"/>
        <v>2205</v>
      </c>
      <c r="AT22" s="37">
        <f t="shared" si="15"/>
        <v>2206</v>
      </c>
      <c r="AU22" s="37">
        <f t="shared" si="15"/>
        <v>2207</v>
      </c>
      <c r="AV22" s="37">
        <f t="shared" si="15"/>
        <v>2208</v>
      </c>
      <c r="AW22" s="37">
        <f t="shared" si="15"/>
        <v>2209</v>
      </c>
      <c r="AX22" s="38">
        <f t="shared" si="12"/>
        <v>2210</v>
      </c>
      <c r="AY22" s="36">
        <f t="shared" si="12"/>
        <v>2211</v>
      </c>
      <c r="AZ22" s="37">
        <f t="shared" si="12"/>
        <v>2212</v>
      </c>
      <c r="BA22" s="37">
        <f t="shared" si="12"/>
        <v>2213</v>
      </c>
      <c r="BB22" s="37">
        <f t="shared" si="12"/>
        <v>2214</v>
      </c>
      <c r="BC22" s="37">
        <f t="shared" si="12"/>
        <v>2215</v>
      </c>
      <c r="BD22" s="37">
        <f t="shared" si="12"/>
        <v>2216</v>
      </c>
      <c r="BE22" s="37">
        <f t="shared" si="12"/>
        <v>2217</v>
      </c>
      <c r="BF22" s="37">
        <f t="shared" si="12"/>
        <v>2218</v>
      </c>
      <c r="BG22" s="37">
        <f t="shared" si="12"/>
        <v>2219</v>
      </c>
      <c r="BH22" s="38">
        <f t="shared" si="12"/>
        <v>2220</v>
      </c>
      <c r="BI22" s="36">
        <f t="shared" si="12"/>
        <v>2221</v>
      </c>
      <c r="BJ22" s="37">
        <f t="shared" si="12"/>
        <v>2222</v>
      </c>
      <c r="BK22" s="37">
        <f t="shared" si="12"/>
        <v>2223</v>
      </c>
      <c r="BL22" s="37">
        <f t="shared" si="12"/>
        <v>2224</v>
      </c>
      <c r="BM22" s="37">
        <f t="shared" si="12"/>
        <v>2225</v>
      </c>
      <c r="BN22" s="37">
        <f t="shared" si="16"/>
        <v>2226</v>
      </c>
      <c r="BO22" s="37">
        <f t="shared" si="9"/>
        <v>2227</v>
      </c>
      <c r="BP22" s="37">
        <f t="shared" si="9"/>
        <v>2228</v>
      </c>
      <c r="BQ22" s="37">
        <f t="shared" si="9"/>
        <v>2229</v>
      </c>
      <c r="BR22" s="39">
        <f t="shared" si="9"/>
        <v>2230</v>
      </c>
      <c r="BS22" s="36">
        <f t="shared" si="9"/>
        <v>2231</v>
      </c>
      <c r="BT22" s="37">
        <f t="shared" si="9"/>
        <v>2232</v>
      </c>
      <c r="BU22" s="37">
        <f t="shared" si="9"/>
        <v>2233</v>
      </c>
      <c r="BV22" s="37">
        <f t="shared" si="9"/>
        <v>2234</v>
      </c>
      <c r="BW22" s="37">
        <f t="shared" si="9"/>
        <v>2235</v>
      </c>
      <c r="BX22" s="37">
        <f t="shared" si="9"/>
        <v>2236</v>
      </c>
      <c r="BY22" s="37">
        <f t="shared" si="9"/>
        <v>2237</v>
      </c>
      <c r="BZ22" s="37">
        <f t="shared" si="9"/>
        <v>2238</v>
      </c>
      <c r="CA22" s="37">
        <f t="shared" si="9"/>
        <v>2239</v>
      </c>
      <c r="CB22" s="38">
        <f t="shared" si="9"/>
        <v>2240</v>
      </c>
      <c r="CC22" s="40">
        <f t="shared" si="9"/>
        <v>2241</v>
      </c>
      <c r="CD22" s="37">
        <f t="shared" si="9"/>
        <v>2242</v>
      </c>
      <c r="CE22" s="37">
        <f t="shared" si="10"/>
        <v>2243</v>
      </c>
      <c r="CF22" s="37">
        <f t="shared" si="10"/>
        <v>2244</v>
      </c>
      <c r="CG22" s="37">
        <f t="shared" si="10"/>
        <v>2245</v>
      </c>
      <c r="CH22" s="37">
        <f t="shared" si="10"/>
        <v>2246</v>
      </c>
      <c r="CI22" s="37">
        <f t="shared" si="10"/>
        <v>2247</v>
      </c>
      <c r="CJ22" s="37">
        <f t="shared" si="10"/>
        <v>2248</v>
      </c>
      <c r="CK22" s="37">
        <f t="shared" si="10"/>
        <v>2249</v>
      </c>
      <c r="CL22" s="39">
        <f t="shared" si="10"/>
        <v>2250</v>
      </c>
      <c r="CM22" s="36">
        <f t="shared" si="10"/>
        <v>2251</v>
      </c>
      <c r="CN22" s="37">
        <f t="shared" si="10"/>
        <v>2252</v>
      </c>
      <c r="CO22" s="37">
        <f t="shared" si="10"/>
        <v>2253</v>
      </c>
      <c r="CP22" s="37">
        <f t="shared" si="10"/>
        <v>2254</v>
      </c>
      <c r="CQ22" s="37">
        <f t="shared" si="10"/>
        <v>2255</v>
      </c>
      <c r="CR22" s="37">
        <f t="shared" si="10"/>
        <v>2256</v>
      </c>
      <c r="CS22" s="37">
        <f t="shared" si="10"/>
        <v>2257</v>
      </c>
      <c r="CT22" s="37">
        <f t="shared" si="10"/>
        <v>2258</v>
      </c>
      <c r="CU22" s="37">
        <f t="shared" si="11"/>
        <v>2259</v>
      </c>
      <c r="CV22" s="38">
        <f t="shared" si="11"/>
        <v>2260</v>
      </c>
      <c r="CW22" s="40">
        <f t="shared" si="11"/>
        <v>2261</v>
      </c>
      <c r="CX22" s="37">
        <f t="shared" si="11"/>
        <v>2262</v>
      </c>
      <c r="CY22" s="37">
        <f t="shared" si="11"/>
        <v>2263</v>
      </c>
      <c r="CZ22" s="37">
        <f t="shared" si="11"/>
        <v>2264</v>
      </c>
      <c r="DA22" s="37">
        <f t="shared" si="11"/>
        <v>2265</v>
      </c>
      <c r="DB22" s="37">
        <f t="shared" si="11"/>
        <v>2266</v>
      </c>
      <c r="DC22" s="37">
        <f t="shared" si="11"/>
        <v>2267</v>
      </c>
      <c r="DD22" s="37">
        <f t="shared" si="11"/>
        <v>2268</v>
      </c>
      <c r="DE22" s="37">
        <f t="shared" si="11"/>
        <v>2269</v>
      </c>
      <c r="DF22" s="39">
        <f t="shared" si="11"/>
        <v>2270</v>
      </c>
      <c r="DG22" s="36">
        <f t="shared" si="11"/>
        <v>2271</v>
      </c>
      <c r="DH22" s="37">
        <f t="shared" si="11"/>
        <v>2272</v>
      </c>
      <c r="DI22" s="37">
        <f t="shared" si="11"/>
        <v>2273</v>
      </c>
      <c r="DJ22" s="37">
        <f t="shared" si="11"/>
        <v>2274</v>
      </c>
      <c r="DK22" s="37">
        <f t="shared" si="7"/>
        <v>2275</v>
      </c>
      <c r="DL22" s="37">
        <f t="shared" si="7"/>
        <v>2276</v>
      </c>
      <c r="DM22" s="37">
        <f t="shared" si="7"/>
        <v>2277</v>
      </c>
      <c r="DN22" s="37">
        <f t="shared" si="7"/>
        <v>2278</v>
      </c>
      <c r="DO22" s="37">
        <f t="shared" si="7"/>
        <v>2279</v>
      </c>
      <c r="DP22" s="38">
        <f t="shared" si="7"/>
        <v>2280</v>
      </c>
      <c r="DQ22" s="64"/>
      <c r="DR22" s="966"/>
      <c r="DS22" s="967"/>
      <c r="DT22" s="967"/>
      <c r="DU22" s="968"/>
    </row>
    <row r="23" spans="1:125" ht="5.75" customHeight="1">
      <c r="A23" s="36">
        <v>2281</v>
      </c>
      <c r="B23" s="37">
        <f t="shared" si="13"/>
        <v>2282</v>
      </c>
      <c r="C23" s="37">
        <f t="shared" si="13"/>
        <v>2283</v>
      </c>
      <c r="D23" s="37">
        <f t="shared" si="13"/>
        <v>2284</v>
      </c>
      <c r="E23" s="37">
        <f t="shared" si="13"/>
        <v>2285</v>
      </c>
      <c r="F23" s="37">
        <f t="shared" si="13"/>
        <v>2286</v>
      </c>
      <c r="G23" s="37">
        <f t="shared" si="13"/>
        <v>2287</v>
      </c>
      <c r="H23" s="37">
        <f t="shared" si="13"/>
        <v>2288</v>
      </c>
      <c r="I23" s="37">
        <f t="shared" si="13"/>
        <v>2289</v>
      </c>
      <c r="J23" s="38">
        <f t="shared" si="13"/>
        <v>2290</v>
      </c>
      <c r="K23" s="36">
        <f t="shared" si="13"/>
        <v>2291</v>
      </c>
      <c r="L23" s="37">
        <f t="shared" si="13"/>
        <v>2292</v>
      </c>
      <c r="M23" s="37">
        <f t="shared" si="13"/>
        <v>2293</v>
      </c>
      <c r="N23" s="37">
        <f t="shared" si="13"/>
        <v>2294</v>
      </c>
      <c r="O23" s="37">
        <f t="shared" si="13"/>
        <v>2295</v>
      </c>
      <c r="P23" s="37">
        <f t="shared" si="13"/>
        <v>2296</v>
      </c>
      <c r="Q23" s="37">
        <f t="shared" si="13"/>
        <v>2297</v>
      </c>
      <c r="R23" s="37">
        <f t="shared" si="14"/>
        <v>2298</v>
      </c>
      <c r="S23" s="37">
        <f t="shared" si="14"/>
        <v>2299</v>
      </c>
      <c r="T23" s="38">
        <f t="shared" si="14"/>
        <v>2300</v>
      </c>
      <c r="U23" s="36">
        <f t="shared" si="14"/>
        <v>2301</v>
      </c>
      <c r="V23" s="37">
        <f t="shared" si="14"/>
        <v>2302</v>
      </c>
      <c r="W23" s="37">
        <f t="shared" si="14"/>
        <v>2303</v>
      </c>
      <c r="X23" s="37">
        <f t="shared" si="14"/>
        <v>2304</v>
      </c>
      <c r="Y23" s="37">
        <f t="shared" si="14"/>
        <v>2305</v>
      </c>
      <c r="Z23" s="37">
        <f t="shared" si="14"/>
        <v>2306</v>
      </c>
      <c r="AA23" s="37">
        <f t="shared" si="14"/>
        <v>2307</v>
      </c>
      <c r="AB23" s="37">
        <f t="shared" si="14"/>
        <v>2308</v>
      </c>
      <c r="AC23" s="37">
        <f t="shared" si="14"/>
        <v>2309</v>
      </c>
      <c r="AD23" s="38">
        <f t="shared" si="14"/>
        <v>2310</v>
      </c>
      <c r="AE23" s="36">
        <f t="shared" si="14"/>
        <v>2311</v>
      </c>
      <c r="AF23" s="37">
        <f t="shared" si="14"/>
        <v>2312</v>
      </c>
      <c r="AG23" s="37">
        <f t="shared" si="14"/>
        <v>2313</v>
      </c>
      <c r="AH23" s="37">
        <f t="shared" si="15"/>
        <v>2314</v>
      </c>
      <c r="AI23" s="37">
        <f t="shared" si="15"/>
        <v>2315</v>
      </c>
      <c r="AJ23" s="37">
        <f t="shared" si="15"/>
        <v>2316</v>
      </c>
      <c r="AK23" s="37">
        <f t="shared" si="15"/>
        <v>2317</v>
      </c>
      <c r="AL23" s="37">
        <f t="shared" si="15"/>
        <v>2318</v>
      </c>
      <c r="AM23" s="37">
        <f t="shared" si="15"/>
        <v>2319</v>
      </c>
      <c r="AN23" s="38">
        <f t="shared" si="15"/>
        <v>2320</v>
      </c>
      <c r="AO23" s="36">
        <f t="shared" si="15"/>
        <v>2321</v>
      </c>
      <c r="AP23" s="37">
        <f t="shared" si="15"/>
        <v>2322</v>
      </c>
      <c r="AQ23" s="37">
        <f t="shared" si="15"/>
        <v>2323</v>
      </c>
      <c r="AR23" s="37">
        <f t="shared" si="15"/>
        <v>2324</v>
      </c>
      <c r="AS23" s="37">
        <f t="shared" si="15"/>
        <v>2325</v>
      </c>
      <c r="AT23" s="37">
        <f t="shared" si="15"/>
        <v>2326</v>
      </c>
      <c r="AU23" s="37">
        <f t="shared" si="15"/>
        <v>2327</v>
      </c>
      <c r="AV23" s="37">
        <f t="shared" si="15"/>
        <v>2328</v>
      </c>
      <c r="AW23" s="37">
        <f t="shared" si="15"/>
        <v>2329</v>
      </c>
      <c r="AX23" s="38">
        <f t="shared" si="12"/>
        <v>2330</v>
      </c>
      <c r="AY23" s="36">
        <f t="shared" si="12"/>
        <v>2331</v>
      </c>
      <c r="AZ23" s="37">
        <f t="shared" si="12"/>
        <v>2332</v>
      </c>
      <c r="BA23" s="37">
        <f t="shared" si="12"/>
        <v>2333</v>
      </c>
      <c r="BB23" s="37">
        <f t="shared" si="12"/>
        <v>2334</v>
      </c>
      <c r="BC23" s="37">
        <f t="shared" si="12"/>
        <v>2335</v>
      </c>
      <c r="BD23" s="37">
        <f t="shared" si="12"/>
        <v>2336</v>
      </c>
      <c r="BE23" s="37">
        <f t="shared" si="12"/>
        <v>2337</v>
      </c>
      <c r="BF23" s="37">
        <f t="shared" si="12"/>
        <v>2338</v>
      </c>
      <c r="BG23" s="37">
        <f t="shared" si="12"/>
        <v>2339</v>
      </c>
      <c r="BH23" s="38">
        <f t="shared" si="12"/>
        <v>2340</v>
      </c>
      <c r="BI23" s="36">
        <f t="shared" si="12"/>
        <v>2341</v>
      </c>
      <c r="BJ23" s="37">
        <f t="shared" si="12"/>
        <v>2342</v>
      </c>
      <c r="BK23" s="37">
        <f t="shared" si="12"/>
        <v>2343</v>
      </c>
      <c r="BL23" s="37">
        <f t="shared" si="12"/>
        <v>2344</v>
      </c>
      <c r="BM23" s="37">
        <f t="shared" si="12"/>
        <v>2345</v>
      </c>
      <c r="BN23" s="37">
        <f t="shared" si="16"/>
        <v>2346</v>
      </c>
      <c r="BO23" s="37">
        <f t="shared" si="9"/>
        <v>2347</v>
      </c>
      <c r="BP23" s="37">
        <f t="shared" si="9"/>
        <v>2348</v>
      </c>
      <c r="BQ23" s="37">
        <f t="shared" si="9"/>
        <v>2349</v>
      </c>
      <c r="BR23" s="39">
        <f t="shared" si="9"/>
        <v>2350</v>
      </c>
      <c r="BS23" s="36">
        <f t="shared" si="9"/>
        <v>2351</v>
      </c>
      <c r="BT23" s="37">
        <f t="shared" si="9"/>
        <v>2352</v>
      </c>
      <c r="BU23" s="37">
        <f t="shared" si="9"/>
        <v>2353</v>
      </c>
      <c r="BV23" s="37">
        <f t="shared" si="9"/>
        <v>2354</v>
      </c>
      <c r="BW23" s="37">
        <f t="shared" si="9"/>
        <v>2355</v>
      </c>
      <c r="BX23" s="37">
        <f t="shared" si="9"/>
        <v>2356</v>
      </c>
      <c r="BY23" s="37">
        <f t="shared" si="9"/>
        <v>2357</v>
      </c>
      <c r="BZ23" s="37">
        <f t="shared" si="9"/>
        <v>2358</v>
      </c>
      <c r="CA23" s="37">
        <f t="shared" si="9"/>
        <v>2359</v>
      </c>
      <c r="CB23" s="38">
        <f t="shared" si="9"/>
        <v>2360</v>
      </c>
      <c r="CC23" s="40">
        <f t="shared" si="9"/>
        <v>2361</v>
      </c>
      <c r="CD23" s="37">
        <f t="shared" si="9"/>
        <v>2362</v>
      </c>
      <c r="CE23" s="37">
        <f t="shared" si="10"/>
        <v>2363</v>
      </c>
      <c r="CF23" s="37">
        <f t="shared" si="10"/>
        <v>2364</v>
      </c>
      <c r="CG23" s="37">
        <f t="shared" si="10"/>
        <v>2365</v>
      </c>
      <c r="CH23" s="37">
        <f t="shared" si="10"/>
        <v>2366</v>
      </c>
      <c r="CI23" s="37">
        <f t="shared" si="10"/>
        <v>2367</v>
      </c>
      <c r="CJ23" s="37">
        <f t="shared" si="10"/>
        <v>2368</v>
      </c>
      <c r="CK23" s="37">
        <f t="shared" si="10"/>
        <v>2369</v>
      </c>
      <c r="CL23" s="39">
        <f t="shared" si="10"/>
        <v>2370</v>
      </c>
      <c r="CM23" s="36">
        <f t="shared" si="10"/>
        <v>2371</v>
      </c>
      <c r="CN23" s="37">
        <f t="shared" si="10"/>
        <v>2372</v>
      </c>
      <c r="CO23" s="37">
        <f t="shared" si="10"/>
        <v>2373</v>
      </c>
      <c r="CP23" s="37">
        <f t="shared" si="10"/>
        <v>2374</v>
      </c>
      <c r="CQ23" s="37">
        <f t="shared" si="10"/>
        <v>2375</v>
      </c>
      <c r="CR23" s="37">
        <f t="shared" si="10"/>
        <v>2376</v>
      </c>
      <c r="CS23" s="37">
        <f t="shared" si="10"/>
        <v>2377</v>
      </c>
      <c r="CT23" s="37">
        <f t="shared" si="10"/>
        <v>2378</v>
      </c>
      <c r="CU23" s="37">
        <f t="shared" si="11"/>
        <v>2379</v>
      </c>
      <c r="CV23" s="38">
        <f t="shared" si="11"/>
        <v>2380</v>
      </c>
      <c r="CW23" s="40">
        <f t="shared" si="11"/>
        <v>2381</v>
      </c>
      <c r="CX23" s="37">
        <f t="shared" si="11"/>
        <v>2382</v>
      </c>
      <c r="CY23" s="37">
        <f t="shared" si="11"/>
        <v>2383</v>
      </c>
      <c r="CZ23" s="37">
        <f t="shared" si="11"/>
        <v>2384</v>
      </c>
      <c r="DA23" s="37">
        <f t="shared" si="11"/>
        <v>2385</v>
      </c>
      <c r="DB23" s="37">
        <f t="shared" si="11"/>
        <v>2386</v>
      </c>
      <c r="DC23" s="37">
        <f t="shared" si="11"/>
        <v>2387</v>
      </c>
      <c r="DD23" s="37">
        <f t="shared" si="11"/>
        <v>2388</v>
      </c>
      <c r="DE23" s="37">
        <f t="shared" si="11"/>
        <v>2389</v>
      </c>
      <c r="DF23" s="39">
        <f t="shared" si="11"/>
        <v>2390</v>
      </c>
      <c r="DG23" s="36">
        <f t="shared" si="11"/>
        <v>2391</v>
      </c>
      <c r="DH23" s="37">
        <f t="shared" si="11"/>
        <v>2392</v>
      </c>
      <c r="DI23" s="37">
        <f t="shared" si="11"/>
        <v>2393</v>
      </c>
      <c r="DJ23" s="37">
        <f t="shared" si="11"/>
        <v>2394</v>
      </c>
      <c r="DK23" s="37">
        <f t="shared" si="7"/>
        <v>2395</v>
      </c>
      <c r="DL23" s="37">
        <f t="shared" si="7"/>
        <v>2396</v>
      </c>
      <c r="DM23" s="37">
        <f t="shared" si="7"/>
        <v>2397</v>
      </c>
      <c r="DN23" s="37">
        <f t="shared" si="7"/>
        <v>2398</v>
      </c>
      <c r="DO23" s="37">
        <f t="shared" si="7"/>
        <v>2399</v>
      </c>
      <c r="DP23" s="38">
        <f t="shared" si="7"/>
        <v>2400</v>
      </c>
      <c r="DQ23" s="63"/>
      <c r="DR23" s="966">
        <v>6</v>
      </c>
      <c r="DS23" s="967"/>
      <c r="DT23" s="967"/>
      <c r="DU23" s="968"/>
    </row>
    <row r="24" spans="1:125" ht="5.75" customHeight="1">
      <c r="A24" s="36">
        <v>2401</v>
      </c>
      <c r="B24" s="37">
        <f t="shared" si="13"/>
        <v>2402</v>
      </c>
      <c r="C24" s="37">
        <f t="shared" si="13"/>
        <v>2403</v>
      </c>
      <c r="D24" s="37">
        <f t="shared" si="13"/>
        <v>2404</v>
      </c>
      <c r="E24" s="37">
        <f t="shared" si="13"/>
        <v>2405</v>
      </c>
      <c r="F24" s="37">
        <f t="shared" si="13"/>
        <v>2406</v>
      </c>
      <c r="G24" s="37">
        <f t="shared" si="13"/>
        <v>2407</v>
      </c>
      <c r="H24" s="37">
        <f t="shared" si="13"/>
        <v>2408</v>
      </c>
      <c r="I24" s="37">
        <f t="shared" si="13"/>
        <v>2409</v>
      </c>
      <c r="J24" s="38">
        <f t="shared" si="13"/>
        <v>2410</v>
      </c>
      <c r="K24" s="36">
        <f t="shared" si="13"/>
        <v>2411</v>
      </c>
      <c r="L24" s="37">
        <f t="shared" si="13"/>
        <v>2412</v>
      </c>
      <c r="M24" s="37">
        <f t="shared" si="13"/>
        <v>2413</v>
      </c>
      <c r="N24" s="37">
        <f t="shared" si="13"/>
        <v>2414</v>
      </c>
      <c r="O24" s="37">
        <f t="shared" si="13"/>
        <v>2415</v>
      </c>
      <c r="P24" s="37">
        <f t="shared" si="13"/>
        <v>2416</v>
      </c>
      <c r="Q24" s="37">
        <f t="shared" si="13"/>
        <v>2417</v>
      </c>
      <c r="R24" s="37">
        <f t="shared" si="14"/>
        <v>2418</v>
      </c>
      <c r="S24" s="37">
        <f t="shared" si="14"/>
        <v>2419</v>
      </c>
      <c r="T24" s="38">
        <f t="shared" si="14"/>
        <v>2420</v>
      </c>
      <c r="U24" s="36">
        <f t="shared" si="14"/>
        <v>2421</v>
      </c>
      <c r="V24" s="37">
        <f t="shared" si="14"/>
        <v>2422</v>
      </c>
      <c r="W24" s="37">
        <f t="shared" si="14"/>
        <v>2423</v>
      </c>
      <c r="X24" s="37">
        <f t="shared" si="14"/>
        <v>2424</v>
      </c>
      <c r="Y24" s="37">
        <f t="shared" si="14"/>
        <v>2425</v>
      </c>
      <c r="Z24" s="37">
        <f t="shared" si="14"/>
        <v>2426</v>
      </c>
      <c r="AA24" s="37">
        <f t="shared" si="14"/>
        <v>2427</v>
      </c>
      <c r="AB24" s="37">
        <f t="shared" si="14"/>
        <v>2428</v>
      </c>
      <c r="AC24" s="37">
        <f t="shared" si="14"/>
        <v>2429</v>
      </c>
      <c r="AD24" s="38">
        <f t="shared" si="14"/>
        <v>2430</v>
      </c>
      <c r="AE24" s="36">
        <f t="shared" si="14"/>
        <v>2431</v>
      </c>
      <c r="AF24" s="37">
        <f t="shared" si="14"/>
        <v>2432</v>
      </c>
      <c r="AG24" s="37">
        <f t="shared" si="14"/>
        <v>2433</v>
      </c>
      <c r="AH24" s="37">
        <f t="shared" si="15"/>
        <v>2434</v>
      </c>
      <c r="AI24" s="37">
        <f t="shared" si="15"/>
        <v>2435</v>
      </c>
      <c r="AJ24" s="37">
        <f t="shared" si="15"/>
        <v>2436</v>
      </c>
      <c r="AK24" s="37">
        <f t="shared" si="15"/>
        <v>2437</v>
      </c>
      <c r="AL24" s="37">
        <f t="shared" si="15"/>
        <v>2438</v>
      </c>
      <c r="AM24" s="37">
        <f t="shared" si="15"/>
        <v>2439</v>
      </c>
      <c r="AN24" s="38">
        <f t="shared" si="15"/>
        <v>2440</v>
      </c>
      <c r="AO24" s="36">
        <f t="shared" si="15"/>
        <v>2441</v>
      </c>
      <c r="AP24" s="37">
        <f t="shared" si="15"/>
        <v>2442</v>
      </c>
      <c r="AQ24" s="37">
        <f t="shared" si="15"/>
        <v>2443</v>
      </c>
      <c r="AR24" s="37">
        <f t="shared" si="15"/>
        <v>2444</v>
      </c>
      <c r="AS24" s="37">
        <f t="shared" si="15"/>
        <v>2445</v>
      </c>
      <c r="AT24" s="37">
        <f t="shared" si="15"/>
        <v>2446</v>
      </c>
      <c r="AU24" s="37">
        <f t="shared" si="15"/>
        <v>2447</v>
      </c>
      <c r="AV24" s="37">
        <f t="shared" si="15"/>
        <v>2448</v>
      </c>
      <c r="AW24" s="37">
        <f t="shared" si="15"/>
        <v>2449</v>
      </c>
      <c r="AX24" s="38">
        <f t="shared" si="12"/>
        <v>2450</v>
      </c>
      <c r="AY24" s="36">
        <f t="shared" si="12"/>
        <v>2451</v>
      </c>
      <c r="AZ24" s="37">
        <f t="shared" si="12"/>
        <v>2452</v>
      </c>
      <c r="BA24" s="37">
        <f t="shared" si="12"/>
        <v>2453</v>
      </c>
      <c r="BB24" s="37">
        <f t="shared" si="12"/>
        <v>2454</v>
      </c>
      <c r="BC24" s="37">
        <f t="shared" si="12"/>
        <v>2455</v>
      </c>
      <c r="BD24" s="37">
        <f t="shared" si="12"/>
        <v>2456</v>
      </c>
      <c r="BE24" s="37">
        <f t="shared" si="12"/>
        <v>2457</v>
      </c>
      <c r="BF24" s="37">
        <f t="shared" si="12"/>
        <v>2458</v>
      </c>
      <c r="BG24" s="37">
        <f t="shared" si="12"/>
        <v>2459</v>
      </c>
      <c r="BH24" s="38">
        <f t="shared" si="12"/>
        <v>2460</v>
      </c>
      <c r="BI24" s="36">
        <f t="shared" si="12"/>
        <v>2461</v>
      </c>
      <c r="BJ24" s="37">
        <f t="shared" si="12"/>
        <v>2462</v>
      </c>
      <c r="BK24" s="37">
        <f t="shared" si="12"/>
        <v>2463</v>
      </c>
      <c r="BL24" s="37">
        <f t="shared" si="12"/>
        <v>2464</v>
      </c>
      <c r="BM24" s="37">
        <f t="shared" si="12"/>
        <v>2465</v>
      </c>
      <c r="BN24" s="37">
        <f t="shared" si="16"/>
        <v>2466</v>
      </c>
      <c r="BO24" s="37">
        <f t="shared" si="9"/>
        <v>2467</v>
      </c>
      <c r="BP24" s="37">
        <f t="shared" si="9"/>
        <v>2468</v>
      </c>
      <c r="BQ24" s="37">
        <f t="shared" si="9"/>
        <v>2469</v>
      </c>
      <c r="BR24" s="39">
        <f t="shared" si="9"/>
        <v>2470</v>
      </c>
      <c r="BS24" s="36">
        <f t="shared" si="9"/>
        <v>2471</v>
      </c>
      <c r="BT24" s="37">
        <f t="shared" si="9"/>
        <v>2472</v>
      </c>
      <c r="BU24" s="37">
        <f t="shared" si="9"/>
        <v>2473</v>
      </c>
      <c r="BV24" s="37">
        <f t="shared" si="9"/>
        <v>2474</v>
      </c>
      <c r="BW24" s="37">
        <f t="shared" si="9"/>
        <v>2475</v>
      </c>
      <c r="BX24" s="37">
        <f t="shared" si="9"/>
        <v>2476</v>
      </c>
      <c r="BY24" s="37">
        <f t="shared" si="9"/>
        <v>2477</v>
      </c>
      <c r="BZ24" s="37">
        <f t="shared" si="9"/>
        <v>2478</v>
      </c>
      <c r="CA24" s="37">
        <f t="shared" si="9"/>
        <v>2479</v>
      </c>
      <c r="CB24" s="38">
        <f t="shared" si="9"/>
        <v>2480</v>
      </c>
      <c r="CC24" s="40">
        <f t="shared" si="9"/>
        <v>2481</v>
      </c>
      <c r="CD24" s="37">
        <f t="shared" si="9"/>
        <v>2482</v>
      </c>
      <c r="CE24" s="37">
        <f t="shared" si="10"/>
        <v>2483</v>
      </c>
      <c r="CF24" s="37">
        <f t="shared" si="10"/>
        <v>2484</v>
      </c>
      <c r="CG24" s="37">
        <f t="shared" si="10"/>
        <v>2485</v>
      </c>
      <c r="CH24" s="37">
        <f t="shared" si="10"/>
        <v>2486</v>
      </c>
      <c r="CI24" s="37">
        <f t="shared" si="10"/>
        <v>2487</v>
      </c>
      <c r="CJ24" s="37">
        <f t="shared" si="10"/>
        <v>2488</v>
      </c>
      <c r="CK24" s="37">
        <f t="shared" si="10"/>
        <v>2489</v>
      </c>
      <c r="CL24" s="39">
        <f t="shared" si="10"/>
        <v>2490</v>
      </c>
      <c r="CM24" s="36">
        <f t="shared" si="10"/>
        <v>2491</v>
      </c>
      <c r="CN24" s="37">
        <f t="shared" si="10"/>
        <v>2492</v>
      </c>
      <c r="CO24" s="37">
        <f t="shared" si="10"/>
        <v>2493</v>
      </c>
      <c r="CP24" s="37">
        <f t="shared" si="10"/>
        <v>2494</v>
      </c>
      <c r="CQ24" s="37">
        <f t="shared" si="10"/>
        <v>2495</v>
      </c>
      <c r="CR24" s="37">
        <f t="shared" si="10"/>
        <v>2496</v>
      </c>
      <c r="CS24" s="37">
        <f t="shared" si="10"/>
        <v>2497</v>
      </c>
      <c r="CT24" s="37">
        <f t="shared" si="10"/>
        <v>2498</v>
      </c>
      <c r="CU24" s="37">
        <f t="shared" si="11"/>
        <v>2499</v>
      </c>
      <c r="CV24" s="38">
        <f t="shared" si="11"/>
        <v>2500</v>
      </c>
      <c r="CW24" s="40">
        <f t="shared" si="11"/>
        <v>2501</v>
      </c>
      <c r="CX24" s="37">
        <f t="shared" si="11"/>
        <v>2502</v>
      </c>
      <c r="CY24" s="37">
        <f t="shared" si="11"/>
        <v>2503</v>
      </c>
      <c r="CZ24" s="37">
        <f t="shared" si="11"/>
        <v>2504</v>
      </c>
      <c r="DA24" s="37">
        <f t="shared" si="11"/>
        <v>2505</v>
      </c>
      <c r="DB24" s="37">
        <f t="shared" si="11"/>
        <v>2506</v>
      </c>
      <c r="DC24" s="37">
        <f t="shared" si="11"/>
        <v>2507</v>
      </c>
      <c r="DD24" s="37">
        <f t="shared" si="11"/>
        <v>2508</v>
      </c>
      <c r="DE24" s="37">
        <f t="shared" si="11"/>
        <v>2509</v>
      </c>
      <c r="DF24" s="39">
        <f t="shared" si="11"/>
        <v>2510</v>
      </c>
      <c r="DG24" s="36">
        <f t="shared" si="11"/>
        <v>2511</v>
      </c>
      <c r="DH24" s="37">
        <f t="shared" si="11"/>
        <v>2512</v>
      </c>
      <c r="DI24" s="37">
        <f t="shared" si="11"/>
        <v>2513</v>
      </c>
      <c r="DJ24" s="37">
        <f t="shared" si="11"/>
        <v>2514</v>
      </c>
      <c r="DK24" s="37">
        <f t="shared" si="7"/>
        <v>2515</v>
      </c>
      <c r="DL24" s="37">
        <f t="shared" si="7"/>
        <v>2516</v>
      </c>
      <c r="DM24" s="37">
        <f t="shared" si="7"/>
        <v>2517</v>
      </c>
      <c r="DN24" s="37">
        <f t="shared" si="7"/>
        <v>2518</v>
      </c>
      <c r="DO24" s="37">
        <f t="shared" si="7"/>
        <v>2519</v>
      </c>
      <c r="DP24" s="38">
        <f t="shared" si="7"/>
        <v>2520</v>
      </c>
      <c r="DQ24" s="63"/>
      <c r="DR24" s="966"/>
      <c r="DS24" s="967"/>
      <c r="DT24" s="967"/>
      <c r="DU24" s="968"/>
    </row>
    <row r="25" spans="1:125" ht="5.75" customHeight="1">
      <c r="A25" s="36">
        <v>2521</v>
      </c>
      <c r="B25" s="37">
        <f t="shared" si="13"/>
        <v>2522</v>
      </c>
      <c r="C25" s="37">
        <f t="shared" si="13"/>
        <v>2523</v>
      </c>
      <c r="D25" s="37">
        <f t="shared" si="13"/>
        <v>2524</v>
      </c>
      <c r="E25" s="37">
        <f t="shared" si="13"/>
        <v>2525</v>
      </c>
      <c r="F25" s="37">
        <f t="shared" si="13"/>
        <v>2526</v>
      </c>
      <c r="G25" s="37">
        <f t="shared" si="13"/>
        <v>2527</v>
      </c>
      <c r="H25" s="37">
        <f t="shared" si="13"/>
        <v>2528</v>
      </c>
      <c r="I25" s="37">
        <f t="shared" si="13"/>
        <v>2529</v>
      </c>
      <c r="J25" s="38">
        <f t="shared" si="13"/>
        <v>2530</v>
      </c>
      <c r="K25" s="36">
        <f t="shared" si="13"/>
        <v>2531</v>
      </c>
      <c r="L25" s="37">
        <f t="shared" si="13"/>
        <v>2532</v>
      </c>
      <c r="M25" s="37">
        <f t="shared" si="13"/>
        <v>2533</v>
      </c>
      <c r="N25" s="37">
        <f t="shared" si="13"/>
        <v>2534</v>
      </c>
      <c r="O25" s="37">
        <f t="shared" si="13"/>
        <v>2535</v>
      </c>
      <c r="P25" s="37">
        <f t="shared" si="13"/>
        <v>2536</v>
      </c>
      <c r="Q25" s="37">
        <f t="shared" si="13"/>
        <v>2537</v>
      </c>
      <c r="R25" s="37">
        <f t="shared" si="14"/>
        <v>2538</v>
      </c>
      <c r="S25" s="37">
        <f t="shared" si="14"/>
        <v>2539</v>
      </c>
      <c r="T25" s="38">
        <f t="shared" si="14"/>
        <v>2540</v>
      </c>
      <c r="U25" s="36">
        <f t="shared" si="14"/>
        <v>2541</v>
      </c>
      <c r="V25" s="37">
        <f t="shared" si="14"/>
        <v>2542</v>
      </c>
      <c r="W25" s="37">
        <f t="shared" si="14"/>
        <v>2543</v>
      </c>
      <c r="X25" s="37">
        <f t="shared" si="14"/>
        <v>2544</v>
      </c>
      <c r="Y25" s="37">
        <f t="shared" si="14"/>
        <v>2545</v>
      </c>
      <c r="Z25" s="37">
        <f t="shared" si="14"/>
        <v>2546</v>
      </c>
      <c r="AA25" s="37">
        <f t="shared" si="14"/>
        <v>2547</v>
      </c>
      <c r="AB25" s="37">
        <f t="shared" si="14"/>
        <v>2548</v>
      </c>
      <c r="AC25" s="37">
        <f t="shared" si="14"/>
        <v>2549</v>
      </c>
      <c r="AD25" s="38">
        <f t="shared" si="14"/>
        <v>2550</v>
      </c>
      <c r="AE25" s="36">
        <f t="shared" si="14"/>
        <v>2551</v>
      </c>
      <c r="AF25" s="37">
        <f t="shared" si="14"/>
        <v>2552</v>
      </c>
      <c r="AG25" s="37">
        <f t="shared" si="14"/>
        <v>2553</v>
      </c>
      <c r="AH25" s="37">
        <f t="shared" si="15"/>
        <v>2554</v>
      </c>
      <c r="AI25" s="37">
        <f t="shared" si="15"/>
        <v>2555</v>
      </c>
      <c r="AJ25" s="37">
        <f t="shared" si="15"/>
        <v>2556</v>
      </c>
      <c r="AK25" s="37">
        <f t="shared" si="15"/>
        <v>2557</v>
      </c>
      <c r="AL25" s="37">
        <f t="shared" si="15"/>
        <v>2558</v>
      </c>
      <c r="AM25" s="37">
        <f t="shared" si="15"/>
        <v>2559</v>
      </c>
      <c r="AN25" s="38">
        <f t="shared" si="15"/>
        <v>2560</v>
      </c>
      <c r="AO25" s="36">
        <f t="shared" si="15"/>
        <v>2561</v>
      </c>
      <c r="AP25" s="37">
        <f t="shared" si="15"/>
        <v>2562</v>
      </c>
      <c r="AQ25" s="37">
        <f t="shared" si="15"/>
        <v>2563</v>
      </c>
      <c r="AR25" s="37">
        <f t="shared" si="15"/>
        <v>2564</v>
      </c>
      <c r="AS25" s="37">
        <f t="shared" si="15"/>
        <v>2565</v>
      </c>
      <c r="AT25" s="37">
        <f t="shared" si="15"/>
        <v>2566</v>
      </c>
      <c r="AU25" s="37">
        <f t="shared" si="15"/>
        <v>2567</v>
      </c>
      <c r="AV25" s="37">
        <f t="shared" si="15"/>
        <v>2568</v>
      </c>
      <c r="AW25" s="37">
        <f t="shared" si="15"/>
        <v>2569</v>
      </c>
      <c r="AX25" s="38">
        <f t="shared" si="12"/>
        <v>2570</v>
      </c>
      <c r="AY25" s="36">
        <f t="shared" si="12"/>
        <v>2571</v>
      </c>
      <c r="AZ25" s="37">
        <f t="shared" si="12"/>
        <v>2572</v>
      </c>
      <c r="BA25" s="37">
        <f t="shared" si="12"/>
        <v>2573</v>
      </c>
      <c r="BB25" s="37">
        <f t="shared" si="12"/>
        <v>2574</v>
      </c>
      <c r="BC25" s="37">
        <f t="shared" si="12"/>
        <v>2575</v>
      </c>
      <c r="BD25" s="37">
        <f t="shared" si="12"/>
        <v>2576</v>
      </c>
      <c r="BE25" s="37">
        <f t="shared" si="12"/>
        <v>2577</v>
      </c>
      <c r="BF25" s="37">
        <f t="shared" si="12"/>
        <v>2578</v>
      </c>
      <c r="BG25" s="37">
        <f t="shared" si="12"/>
        <v>2579</v>
      </c>
      <c r="BH25" s="38">
        <f t="shared" si="12"/>
        <v>2580</v>
      </c>
      <c r="BI25" s="36">
        <f t="shared" si="12"/>
        <v>2581</v>
      </c>
      <c r="BJ25" s="37">
        <f t="shared" si="12"/>
        <v>2582</v>
      </c>
      <c r="BK25" s="37">
        <f t="shared" si="12"/>
        <v>2583</v>
      </c>
      <c r="BL25" s="37">
        <f t="shared" si="12"/>
        <v>2584</v>
      </c>
      <c r="BM25" s="37">
        <f t="shared" si="12"/>
        <v>2585</v>
      </c>
      <c r="BN25" s="37">
        <f t="shared" si="16"/>
        <v>2586</v>
      </c>
      <c r="BO25" s="37">
        <f t="shared" si="9"/>
        <v>2587</v>
      </c>
      <c r="BP25" s="37">
        <f t="shared" si="9"/>
        <v>2588</v>
      </c>
      <c r="BQ25" s="37">
        <f t="shared" si="9"/>
        <v>2589</v>
      </c>
      <c r="BR25" s="39">
        <f t="shared" si="9"/>
        <v>2590</v>
      </c>
      <c r="BS25" s="36">
        <f t="shared" si="9"/>
        <v>2591</v>
      </c>
      <c r="BT25" s="37">
        <f t="shared" si="9"/>
        <v>2592</v>
      </c>
      <c r="BU25" s="37">
        <f t="shared" si="9"/>
        <v>2593</v>
      </c>
      <c r="BV25" s="37">
        <f t="shared" si="9"/>
        <v>2594</v>
      </c>
      <c r="BW25" s="37">
        <f t="shared" si="9"/>
        <v>2595</v>
      </c>
      <c r="BX25" s="37">
        <f t="shared" si="9"/>
        <v>2596</v>
      </c>
      <c r="BY25" s="37">
        <f t="shared" si="9"/>
        <v>2597</v>
      </c>
      <c r="BZ25" s="37">
        <f t="shared" si="9"/>
        <v>2598</v>
      </c>
      <c r="CA25" s="37">
        <f t="shared" si="9"/>
        <v>2599</v>
      </c>
      <c r="CB25" s="38">
        <f t="shared" si="9"/>
        <v>2600</v>
      </c>
      <c r="CC25" s="40">
        <f t="shared" si="9"/>
        <v>2601</v>
      </c>
      <c r="CD25" s="37">
        <f t="shared" si="9"/>
        <v>2602</v>
      </c>
      <c r="CE25" s="37">
        <f t="shared" si="10"/>
        <v>2603</v>
      </c>
      <c r="CF25" s="37">
        <f t="shared" si="10"/>
        <v>2604</v>
      </c>
      <c r="CG25" s="37">
        <f t="shared" si="10"/>
        <v>2605</v>
      </c>
      <c r="CH25" s="37">
        <f t="shared" si="10"/>
        <v>2606</v>
      </c>
      <c r="CI25" s="37">
        <f t="shared" si="10"/>
        <v>2607</v>
      </c>
      <c r="CJ25" s="37">
        <f t="shared" si="10"/>
        <v>2608</v>
      </c>
      <c r="CK25" s="37">
        <f t="shared" si="10"/>
        <v>2609</v>
      </c>
      <c r="CL25" s="39">
        <f t="shared" si="10"/>
        <v>2610</v>
      </c>
      <c r="CM25" s="36">
        <f t="shared" si="10"/>
        <v>2611</v>
      </c>
      <c r="CN25" s="37">
        <f t="shared" si="10"/>
        <v>2612</v>
      </c>
      <c r="CO25" s="37">
        <f t="shared" si="10"/>
        <v>2613</v>
      </c>
      <c r="CP25" s="37">
        <f t="shared" si="10"/>
        <v>2614</v>
      </c>
      <c r="CQ25" s="37">
        <f t="shared" si="10"/>
        <v>2615</v>
      </c>
      <c r="CR25" s="37">
        <f t="shared" si="10"/>
        <v>2616</v>
      </c>
      <c r="CS25" s="37">
        <f t="shared" si="10"/>
        <v>2617</v>
      </c>
      <c r="CT25" s="37">
        <f t="shared" si="10"/>
        <v>2618</v>
      </c>
      <c r="CU25" s="37">
        <f t="shared" si="11"/>
        <v>2619</v>
      </c>
      <c r="CV25" s="38">
        <f t="shared" si="11"/>
        <v>2620</v>
      </c>
      <c r="CW25" s="40">
        <f t="shared" si="11"/>
        <v>2621</v>
      </c>
      <c r="CX25" s="37">
        <f t="shared" si="11"/>
        <v>2622</v>
      </c>
      <c r="CY25" s="37">
        <f t="shared" si="11"/>
        <v>2623</v>
      </c>
      <c r="CZ25" s="37">
        <f t="shared" si="11"/>
        <v>2624</v>
      </c>
      <c r="DA25" s="37">
        <f t="shared" si="11"/>
        <v>2625</v>
      </c>
      <c r="DB25" s="37">
        <f t="shared" si="11"/>
        <v>2626</v>
      </c>
      <c r="DC25" s="37">
        <f t="shared" si="11"/>
        <v>2627</v>
      </c>
      <c r="DD25" s="37">
        <f t="shared" si="11"/>
        <v>2628</v>
      </c>
      <c r="DE25" s="37">
        <f t="shared" si="11"/>
        <v>2629</v>
      </c>
      <c r="DF25" s="39">
        <f t="shared" si="11"/>
        <v>2630</v>
      </c>
      <c r="DG25" s="36">
        <f t="shared" si="11"/>
        <v>2631</v>
      </c>
      <c r="DH25" s="37">
        <f t="shared" si="11"/>
        <v>2632</v>
      </c>
      <c r="DI25" s="37">
        <f t="shared" si="11"/>
        <v>2633</v>
      </c>
      <c r="DJ25" s="37">
        <f t="shared" si="11"/>
        <v>2634</v>
      </c>
      <c r="DK25" s="37">
        <f t="shared" si="7"/>
        <v>2635</v>
      </c>
      <c r="DL25" s="37">
        <f t="shared" si="7"/>
        <v>2636</v>
      </c>
      <c r="DM25" s="37">
        <f t="shared" si="7"/>
        <v>2637</v>
      </c>
      <c r="DN25" s="37">
        <f t="shared" si="7"/>
        <v>2638</v>
      </c>
      <c r="DO25" s="37">
        <f t="shared" si="7"/>
        <v>2639</v>
      </c>
      <c r="DP25" s="38">
        <f t="shared" si="7"/>
        <v>2640</v>
      </c>
      <c r="DQ25" s="63"/>
      <c r="DR25" s="966"/>
      <c r="DS25" s="967"/>
      <c r="DT25" s="967"/>
      <c r="DU25" s="968"/>
    </row>
    <row r="26" spans="1:125" ht="5.75" customHeight="1">
      <c r="A26" s="36">
        <v>2641</v>
      </c>
      <c r="B26" s="37">
        <f t="shared" si="13"/>
        <v>2642</v>
      </c>
      <c r="C26" s="37">
        <f t="shared" si="13"/>
        <v>2643</v>
      </c>
      <c r="D26" s="37">
        <f t="shared" si="13"/>
        <v>2644</v>
      </c>
      <c r="E26" s="37">
        <f t="shared" si="13"/>
        <v>2645</v>
      </c>
      <c r="F26" s="37">
        <f t="shared" si="13"/>
        <v>2646</v>
      </c>
      <c r="G26" s="37">
        <f t="shared" si="13"/>
        <v>2647</v>
      </c>
      <c r="H26" s="37">
        <f t="shared" si="13"/>
        <v>2648</v>
      </c>
      <c r="I26" s="37">
        <f t="shared" si="13"/>
        <v>2649</v>
      </c>
      <c r="J26" s="38">
        <f t="shared" si="13"/>
        <v>2650</v>
      </c>
      <c r="K26" s="36">
        <f t="shared" si="13"/>
        <v>2651</v>
      </c>
      <c r="L26" s="37">
        <f t="shared" si="13"/>
        <v>2652</v>
      </c>
      <c r="M26" s="37">
        <f t="shared" si="13"/>
        <v>2653</v>
      </c>
      <c r="N26" s="37">
        <f t="shared" si="13"/>
        <v>2654</v>
      </c>
      <c r="O26" s="37">
        <f t="shared" si="13"/>
        <v>2655</v>
      </c>
      <c r="P26" s="37">
        <f t="shared" si="13"/>
        <v>2656</v>
      </c>
      <c r="Q26" s="37">
        <f t="shared" si="13"/>
        <v>2657</v>
      </c>
      <c r="R26" s="37">
        <f t="shared" si="14"/>
        <v>2658</v>
      </c>
      <c r="S26" s="37">
        <f t="shared" si="14"/>
        <v>2659</v>
      </c>
      <c r="T26" s="38">
        <f t="shared" si="14"/>
        <v>2660</v>
      </c>
      <c r="U26" s="36">
        <f t="shared" si="14"/>
        <v>2661</v>
      </c>
      <c r="V26" s="37">
        <f t="shared" si="14"/>
        <v>2662</v>
      </c>
      <c r="W26" s="37">
        <f t="shared" si="14"/>
        <v>2663</v>
      </c>
      <c r="X26" s="37">
        <f t="shared" si="14"/>
        <v>2664</v>
      </c>
      <c r="Y26" s="37">
        <f t="shared" si="14"/>
        <v>2665</v>
      </c>
      <c r="Z26" s="37">
        <f t="shared" si="14"/>
        <v>2666</v>
      </c>
      <c r="AA26" s="37">
        <f t="shared" si="14"/>
        <v>2667</v>
      </c>
      <c r="AB26" s="37">
        <f t="shared" si="14"/>
        <v>2668</v>
      </c>
      <c r="AC26" s="37">
        <f t="shared" si="14"/>
        <v>2669</v>
      </c>
      <c r="AD26" s="38">
        <f t="shared" si="14"/>
        <v>2670</v>
      </c>
      <c r="AE26" s="36">
        <f t="shared" si="14"/>
        <v>2671</v>
      </c>
      <c r="AF26" s="37">
        <f t="shared" si="14"/>
        <v>2672</v>
      </c>
      <c r="AG26" s="37">
        <f t="shared" si="14"/>
        <v>2673</v>
      </c>
      <c r="AH26" s="37">
        <f t="shared" si="15"/>
        <v>2674</v>
      </c>
      <c r="AI26" s="37">
        <f t="shared" si="15"/>
        <v>2675</v>
      </c>
      <c r="AJ26" s="37">
        <f t="shared" si="15"/>
        <v>2676</v>
      </c>
      <c r="AK26" s="37">
        <f t="shared" si="15"/>
        <v>2677</v>
      </c>
      <c r="AL26" s="37">
        <f t="shared" si="15"/>
        <v>2678</v>
      </c>
      <c r="AM26" s="37">
        <f t="shared" si="15"/>
        <v>2679</v>
      </c>
      <c r="AN26" s="38">
        <f t="shared" si="15"/>
        <v>2680</v>
      </c>
      <c r="AO26" s="36">
        <f t="shared" si="15"/>
        <v>2681</v>
      </c>
      <c r="AP26" s="37">
        <f t="shared" si="15"/>
        <v>2682</v>
      </c>
      <c r="AQ26" s="37">
        <f t="shared" si="15"/>
        <v>2683</v>
      </c>
      <c r="AR26" s="37">
        <f t="shared" si="15"/>
        <v>2684</v>
      </c>
      <c r="AS26" s="37">
        <f t="shared" si="15"/>
        <v>2685</v>
      </c>
      <c r="AT26" s="37">
        <f t="shared" si="15"/>
        <v>2686</v>
      </c>
      <c r="AU26" s="37">
        <f t="shared" si="15"/>
        <v>2687</v>
      </c>
      <c r="AV26" s="37">
        <f t="shared" si="15"/>
        <v>2688</v>
      </c>
      <c r="AW26" s="37">
        <f t="shared" si="15"/>
        <v>2689</v>
      </c>
      <c r="AX26" s="38">
        <f t="shared" si="12"/>
        <v>2690</v>
      </c>
      <c r="AY26" s="36">
        <f t="shared" si="12"/>
        <v>2691</v>
      </c>
      <c r="AZ26" s="37">
        <f t="shared" si="12"/>
        <v>2692</v>
      </c>
      <c r="BA26" s="37">
        <f t="shared" si="12"/>
        <v>2693</v>
      </c>
      <c r="BB26" s="37">
        <f t="shared" si="12"/>
        <v>2694</v>
      </c>
      <c r="BC26" s="37">
        <f t="shared" si="12"/>
        <v>2695</v>
      </c>
      <c r="BD26" s="37">
        <f t="shared" si="12"/>
        <v>2696</v>
      </c>
      <c r="BE26" s="37">
        <f t="shared" si="12"/>
        <v>2697</v>
      </c>
      <c r="BF26" s="37">
        <f t="shared" si="12"/>
        <v>2698</v>
      </c>
      <c r="BG26" s="37">
        <f t="shared" si="12"/>
        <v>2699</v>
      </c>
      <c r="BH26" s="38">
        <f t="shared" si="12"/>
        <v>2700</v>
      </c>
      <c r="BI26" s="36">
        <f t="shared" si="12"/>
        <v>2701</v>
      </c>
      <c r="BJ26" s="37">
        <f t="shared" si="12"/>
        <v>2702</v>
      </c>
      <c r="BK26" s="37">
        <f t="shared" si="12"/>
        <v>2703</v>
      </c>
      <c r="BL26" s="37">
        <f t="shared" si="12"/>
        <v>2704</v>
      </c>
      <c r="BM26" s="37">
        <f t="shared" si="12"/>
        <v>2705</v>
      </c>
      <c r="BN26" s="37">
        <f t="shared" si="16"/>
        <v>2706</v>
      </c>
      <c r="BO26" s="37">
        <f t="shared" si="9"/>
        <v>2707</v>
      </c>
      <c r="BP26" s="37">
        <f t="shared" si="9"/>
        <v>2708</v>
      </c>
      <c r="BQ26" s="37">
        <f t="shared" si="9"/>
        <v>2709</v>
      </c>
      <c r="BR26" s="39">
        <f t="shared" si="9"/>
        <v>2710</v>
      </c>
      <c r="BS26" s="36">
        <f t="shared" si="9"/>
        <v>2711</v>
      </c>
      <c r="BT26" s="37">
        <f t="shared" si="9"/>
        <v>2712</v>
      </c>
      <c r="BU26" s="37">
        <f t="shared" si="9"/>
        <v>2713</v>
      </c>
      <c r="BV26" s="37">
        <f t="shared" si="9"/>
        <v>2714</v>
      </c>
      <c r="BW26" s="37">
        <f t="shared" si="9"/>
        <v>2715</v>
      </c>
      <c r="BX26" s="37">
        <f t="shared" si="9"/>
        <v>2716</v>
      </c>
      <c r="BY26" s="37">
        <f t="shared" si="9"/>
        <v>2717</v>
      </c>
      <c r="BZ26" s="37">
        <f t="shared" si="9"/>
        <v>2718</v>
      </c>
      <c r="CA26" s="37">
        <f t="shared" si="9"/>
        <v>2719</v>
      </c>
      <c r="CB26" s="38">
        <f t="shared" si="9"/>
        <v>2720</v>
      </c>
      <c r="CC26" s="40">
        <f t="shared" si="9"/>
        <v>2721</v>
      </c>
      <c r="CD26" s="37">
        <f t="shared" si="9"/>
        <v>2722</v>
      </c>
      <c r="CE26" s="37">
        <f t="shared" si="10"/>
        <v>2723</v>
      </c>
      <c r="CF26" s="37">
        <f t="shared" si="10"/>
        <v>2724</v>
      </c>
      <c r="CG26" s="37">
        <f t="shared" si="10"/>
        <v>2725</v>
      </c>
      <c r="CH26" s="37">
        <f t="shared" si="10"/>
        <v>2726</v>
      </c>
      <c r="CI26" s="37">
        <f t="shared" si="10"/>
        <v>2727</v>
      </c>
      <c r="CJ26" s="37">
        <f t="shared" si="10"/>
        <v>2728</v>
      </c>
      <c r="CK26" s="37">
        <f t="shared" si="10"/>
        <v>2729</v>
      </c>
      <c r="CL26" s="39">
        <f t="shared" si="10"/>
        <v>2730</v>
      </c>
      <c r="CM26" s="36">
        <f t="shared" si="10"/>
        <v>2731</v>
      </c>
      <c r="CN26" s="37">
        <f t="shared" si="10"/>
        <v>2732</v>
      </c>
      <c r="CO26" s="37">
        <f t="shared" si="10"/>
        <v>2733</v>
      </c>
      <c r="CP26" s="37">
        <f t="shared" si="10"/>
        <v>2734</v>
      </c>
      <c r="CQ26" s="37">
        <f t="shared" si="10"/>
        <v>2735</v>
      </c>
      <c r="CR26" s="37">
        <f t="shared" si="10"/>
        <v>2736</v>
      </c>
      <c r="CS26" s="37">
        <f t="shared" si="10"/>
        <v>2737</v>
      </c>
      <c r="CT26" s="37">
        <f t="shared" si="10"/>
        <v>2738</v>
      </c>
      <c r="CU26" s="37">
        <f t="shared" si="11"/>
        <v>2739</v>
      </c>
      <c r="CV26" s="38">
        <f t="shared" si="11"/>
        <v>2740</v>
      </c>
      <c r="CW26" s="40">
        <f t="shared" si="11"/>
        <v>2741</v>
      </c>
      <c r="CX26" s="37">
        <f t="shared" si="11"/>
        <v>2742</v>
      </c>
      <c r="CY26" s="37">
        <f t="shared" si="11"/>
        <v>2743</v>
      </c>
      <c r="CZ26" s="37">
        <f t="shared" si="11"/>
        <v>2744</v>
      </c>
      <c r="DA26" s="37">
        <f t="shared" si="11"/>
        <v>2745</v>
      </c>
      <c r="DB26" s="37">
        <f t="shared" si="11"/>
        <v>2746</v>
      </c>
      <c r="DC26" s="37">
        <f t="shared" si="11"/>
        <v>2747</v>
      </c>
      <c r="DD26" s="37">
        <f t="shared" si="11"/>
        <v>2748</v>
      </c>
      <c r="DE26" s="37">
        <f t="shared" si="11"/>
        <v>2749</v>
      </c>
      <c r="DF26" s="39">
        <f t="shared" si="11"/>
        <v>2750</v>
      </c>
      <c r="DG26" s="36">
        <f t="shared" si="11"/>
        <v>2751</v>
      </c>
      <c r="DH26" s="37">
        <f t="shared" si="11"/>
        <v>2752</v>
      </c>
      <c r="DI26" s="37">
        <f t="shared" si="11"/>
        <v>2753</v>
      </c>
      <c r="DJ26" s="37">
        <f t="shared" si="11"/>
        <v>2754</v>
      </c>
      <c r="DK26" s="37">
        <f t="shared" si="7"/>
        <v>2755</v>
      </c>
      <c r="DL26" s="37">
        <f t="shared" si="7"/>
        <v>2756</v>
      </c>
      <c r="DM26" s="37">
        <f t="shared" si="7"/>
        <v>2757</v>
      </c>
      <c r="DN26" s="37">
        <f t="shared" si="7"/>
        <v>2758</v>
      </c>
      <c r="DO26" s="37">
        <f t="shared" si="7"/>
        <v>2759</v>
      </c>
      <c r="DP26" s="38">
        <f t="shared" si="7"/>
        <v>2760</v>
      </c>
      <c r="DQ26" s="62"/>
      <c r="DR26" s="966">
        <v>7</v>
      </c>
      <c r="DS26" s="967"/>
      <c r="DT26" s="967"/>
      <c r="DU26" s="968"/>
    </row>
    <row r="27" spans="1:125" ht="5.75" customHeight="1">
      <c r="A27" s="36">
        <v>2761</v>
      </c>
      <c r="B27" s="37">
        <f t="shared" si="13"/>
        <v>2762</v>
      </c>
      <c r="C27" s="37">
        <f t="shared" si="13"/>
        <v>2763</v>
      </c>
      <c r="D27" s="37">
        <f t="shared" si="13"/>
        <v>2764</v>
      </c>
      <c r="E27" s="37">
        <f t="shared" si="13"/>
        <v>2765</v>
      </c>
      <c r="F27" s="37">
        <f t="shared" si="13"/>
        <v>2766</v>
      </c>
      <c r="G27" s="37">
        <f t="shared" si="13"/>
        <v>2767</v>
      </c>
      <c r="H27" s="37">
        <f t="shared" si="13"/>
        <v>2768</v>
      </c>
      <c r="I27" s="37">
        <f t="shared" si="13"/>
        <v>2769</v>
      </c>
      <c r="J27" s="38">
        <f t="shared" si="13"/>
        <v>2770</v>
      </c>
      <c r="K27" s="36">
        <f t="shared" si="13"/>
        <v>2771</v>
      </c>
      <c r="L27" s="37">
        <f t="shared" si="13"/>
        <v>2772</v>
      </c>
      <c r="M27" s="37">
        <f t="shared" si="13"/>
        <v>2773</v>
      </c>
      <c r="N27" s="37">
        <f t="shared" si="13"/>
        <v>2774</v>
      </c>
      <c r="O27" s="37">
        <f t="shared" si="13"/>
        <v>2775</v>
      </c>
      <c r="P27" s="37">
        <f t="shared" si="13"/>
        <v>2776</v>
      </c>
      <c r="Q27" s="37">
        <f t="shared" si="13"/>
        <v>2777</v>
      </c>
      <c r="R27" s="37">
        <f t="shared" si="14"/>
        <v>2778</v>
      </c>
      <c r="S27" s="37">
        <f t="shared" si="14"/>
        <v>2779</v>
      </c>
      <c r="T27" s="38">
        <f t="shared" si="14"/>
        <v>2780</v>
      </c>
      <c r="U27" s="36">
        <f t="shared" si="14"/>
        <v>2781</v>
      </c>
      <c r="V27" s="37">
        <f t="shared" si="14"/>
        <v>2782</v>
      </c>
      <c r="W27" s="37">
        <f t="shared" si="14"/>
        <v>2783</v>
      </c>
      <c r="X27" s="37">
        <f t="shared" si="14"/>
        <v>2784</v>
      </c>
      <c r="Y27" s="37">
        <f t="shared" si="14"/>
        <v>2785</v>
      </c>
      <c r="Z27" s="37">
        <f t="shared" si="14"/>
        <v>2786</v>
      </c>
      <c r="AA27" s="37">
        <f t="shared" si="14"/>
        <v>2787</v>
      </c>
      <c r="AB27" s="37">
        <f t="shared" si="14"/>
        <v>2788</v>
      </c>
      <c r="AC27" s="37">
        <f t="shared" si="14"/>
        <v>2789</v>
      </c>
      <c r="AD27" s="38">
        <f t="shared" si="14"/>
        <v>2790</v>
      </c>
      <c r="AE27" s="36">
        <f t="shared" si="14"/>
        <v>2791</v>
      </c>
      <c r="AF27" s="37">
        <f t="shared" si="14"/>
        <v>2792</v>
      </c>
      <c r="AG27" s="37">
        <f t="shared" si="14"/>
        <v>2793</v>
      </c>
      <c r="AH27" s="37">
        <f t="shared" si="15"/>
        <v>2794</v>
      </c>
      <c r="AI27" s="37">
        <f t="shared" si="15"/>
        <v>2795</v>
      </c>
      <c r="AJ27" s="37">
        <f t="shared" si="15"/>
        <v>2796</v>
      </c>
      <c r="AK27" s="37">
        <f t="shared" si="15"/>
        <v>2797</v>
      </c>
      <c r="AL27" s="37">
        <f t="shared" si="15"/>
        <v>2798</v>
      </c>
      <c r="AM27" s="37">
        <f t="shared" si="15"/>
        <v>2799</v>
      </c>
      <c r="AN27" s="38">
        <f t="shared" si="15"/>
        <v>2800</v>
      </c>
      <c r="AO27" s="36">
        <f t="shared" si="15"/>
        <v>2801</v>
      </c>
      <c r="AP27" s="37">
        <f t="shared" si="15"/>
        <v>2802</v>
      </c>
      <c r="AQ27" s="37">
        <f t="shared" si="15"/>
        <v>2803</v>
      </c>
      <c r="AR27" s="37">
        <f t="shared" si="15"/>
        <v>2804</v>
      </c>
      <c r="AS27" s="37">
        <f t="shared" si="15"/>
        <v>2805</v>
      </c>
      <c r="AT27" s="37">
        <f t="shared" si="15"/>
        <v>2806</v>
      </c>
      <c r="AU27" s="37">
        <f t="shared" si="15"/>
        <v>2807</v>
      </c>
      <c r="AV27" s="37">
        <f t="shared" si="15"/>
        <v>2808</v>
      </c>
      <c r="AW27" s="37">
        <f t="shared" si="15"/>
        <v>2809</v>
      </c>
      <c r="AX27" s="38">
        <f t="shared" si="12"/>
        <v>2810</v>
      </c>
      <c r="AY27" s="36">
        <f t="shared" si="12"/>
        <v>2811</v>
      </c>
      <c r="AZ27" s="37">
        <f t="shared" si="12"/>
        <v>2812</v>
      </c>
      <c r="BA27" s="37">
        <f t="shared" si="12"/>
        <v>2813</v>
      </c>
      <c r="BB27" s="37">
        <f t="shared" si="12"/>
        <v>2814</v>
      </c>
      <c r="BC27" s="37">
        <f t="shared" si="12"/>
        <v>2815</v>
      </c>
      <c r="BD27" s="37">
        <f t="shared" si="12"/>
        <v>2816</v>
      </c>
      <c r="BE27" s="37">
        <f t="shared" si="12"/>
        <v>2817</v>
      </c>
      <c r="BF27" s="37">
        <f t="shared" si="12"/>
        <v>2818</v>
      </c>
      <c r="BG27" s="37">
        <f t="shared" si="12"/>
        <v>2819</v>
      </c>
      <c r="BH27" s="38">
        <f t="shared" si="12"/>
        <v>2820</v>
      </c>
      <c r="BI27" s="36">
        <f t="shared" si="12"/>
        <v>2821</v>
      </c>
      <c r="BJ27" s="37">
        <f t="shared" si="12"/>
        <v>2822</v>
      </c>
      <c r="BK27" s="37">
        <f t="shared" si="12"/>
        <v>2823</v>
      </c>
      <c r="BL27" s="37">
        <f t="shared" si="12"/>
        <v>2824</v>
      </c>
      <c r="BM27" s="37">
        <f t="shared" si="12"/>
        <v>2825</v>
      </c>
      <c r="BN27" s="37">
        <f t="shared" si="16"/>
        <v>2826</v>
      </c>
      <c r="BO27" s="37">
        <f t="shared" si="9"/>
        <v>2827</v>
      </c>
      <c r="BP27" s="37">
        <f t="shared" si="9"/>
        <v>2828</v>
      </c>
      <c r="BQ27" s="37">
        <f t="shared" si="9"/>
        <v>2829</v>
      </c>
      <c r="BR27" s="39">
        <f t="shared" si="9"/>
        <v>2830</v>
      </c>
      <c r="BS27" s="36">
        <f t="shared" si="9"/>
        <v>2831</v>
      </c>
      <c r="BT27" s="37">
        <f t="shared" si="9"/>
        <v>2832</v>
      </c>
      <c r="BU27" s="37">
        <f t="shared" si="9"/>
        <v>2833</v>
      </c>
      <c r="BV27" s="37">
        <f t="shared" si="9"/>
        <v>2834</v>
      </c>
      <c r="BW27" s="37">
        <f t="shared" si="9"/>
        <v>2835</v>
      </c>
      <c r="BX27" s="37">
        <f t="shared" si="9"/>
        <v>2836</v>
      </c>
      <c r="BY27" s="37">
        <f t="shared" si="9"/>
        <v>2837</v>
      </c>
      <c r="BZ27" s="37">
        <f t="shared" si="9"/>
        <v>2838</v>
      </c>
      <c r="CA27" s="37">
        <f t="shared" si="9"/>
        <v>2839</v>
      </c>
      <c r="CB27" s="38">
        <f t="shared" si="9"/>
        <v>2840</v>
      </c>
      <c r="CC27" s="40">
        <f t="shared" si="9"/>
        <v>2841</v>
      </c>
      <c r="CD27" s="37">
        <f t="shared" si="9"/>
        <v>2842</v>
      </c>
      <c r="CE27" s="37">
        <f t="shared" si="10"/>
        <v>2843</v>
      </c>
      <c r="CF27" s="37">
        <f t="shared" si="10"/>
        <v>2844</v>
      </c>
      <c r="CG27" s="37">
        <f t="shared" si="10"/>
        <v>2845</v>
      </c>
      <c r="CH27" s="37">
        <f t="shared" si="10"/>
        <v>2846</v>
      </c>
      <c r="CI27" s="37">
        <f t="shared" si="10"/>
        <v>2847</v>
      </c>
      <c r="CJ27" s="37">
        <f t="shared" si="10"/>
        <v>2848</v>
      </c>
      <c r="CK27" s="37">
        <f t="shared" si="10"/>
        <v>2849</v>
      </c>
      <c r="CL27" s="39">
        <f t="shared" si="10"/>
        <v>2850</v>
      </c>
      <c r="CM27" s="36">
        <f t="shared" si="10"/>
        <v>2851</v>
      </c>
      <c r="CN27" s="37">
        <f t="shared" si="10"/>
        <v>2852</v>
      </c>
      <c r="CO27" s="37">
        <f t="shared" si="10"/>
        <v>2853</v>
      </c>
      <c r="CP27" s="37">
        <f t="shared" si="10"/>
        <v>2854</v>
      </c>
      <c r="CQ27" s="37">
        <f t="shared" si="10"/>
        <v>2855</v>
      </c>
      <c r="CR27" s="37">
        <f t="shared" si="10"/>
        <v>2856</v>
      </c>
      <c r="CS27" s="37">
        <f t="shared" si="10"/>
        <v>2857</v>
      </c>
      <c r="CT27" s="37">
        <f t="shared" si="10"/>
        <v>2858</v>
      </c>
      <c r="CU27" s="37">
        <f t="shared" si="11"/>
        <v>2859</v>
      </c>
      <c r="CV27" s="38">
        <f t="shared" si="11"/>
        <v>2860</v>
      </c>
      <c r="CW27" s="40">
        <f t="shared" si="11"/>
        <v>2861</v>
      </c>
      <c r="CX27" s="37">
        <f t="shared" si="11"/>
        <v>2862</v>
      </c>
      <c r="CY27" s="37">
        <f t="shared" si="11"/>
        <v>2863</v>
      </c>
      <c r="CZ27" s="37">
        <f t="shared" si="11"/>
        <v>2864</v>
      </c>
      <c r="DA27" s="37">
        <f t="shared" si="11"/>
        <v>2865</v>
      </c>
      <c r="DB27" s="37">
        <f t="shared" si="11"/>
        <v>2866</v>
      </c>
      <c r="DC27" s="37">
        <f t="shared" si="11"/>
        <v>2867</v>
      </c>
      <c r="DD27" s="37">
        <f t="shared" si="11"/>
        <v>2868</v>
      </c>
      <c r="DE27" s="37">
        <f t="shared" si="11"/>
        <v>2869</v>
      </c>
      <c r="DF27" s="39">
        <f t="shared" si="11"/>
        <v>2870</v>
      </c>
      <c r="DG27" s="36">
        <f t="shared" si="11"/>
        <v>2871</v>
      </c>
      <c r="DH27" s="37">
        <f t="shared" si="11"/>
        <v>2872</v>
      </c>
      <c r="DI27" s="37">
        <f t="shared" si="11"/>
        <v>2873</v>
      </c>
      <c r="DJ27" s="37">
        <f t="shared" si="11"/>
        <v>2874</v>
      </c>
      <c r="DK27" s="37">
        <f t="shared" si="7"/>
        <v>2875</v>
      </c>
      <c r="DL27" s="37">
        <f t="shared" si="7"/>
        <v>2876</v>
      </c>
      <c r="DM27" s="37">
        <f t="shared" si="7"/>
        <v>2877</v>
      </c>
      <c r="DN27" s="37">
        <f t="shared" si="7"/>
        <v>2878</v>
      </c>
      <c r="DO27" s="37">
        <f t="shared" si="7"/>
        <v>2879</v>
      </c>
      <c r="DP27" s="38">
        <f t="shared" si="7"/>
        <v>2880</v>
      </c>
      <c r="DQ27" s="62"/>
      <c r="DR27" s="966"/>
      <c r="DS27" s="967"/>
      <c r="DT27" s="967"/>
      <c r="DU27" s="968"/>
    </row>
    <row r="28" spans="1:125" ht="5.75" customHeight="1">
      <c r="A28" s="36">
        <v>2881</v>
      </c>
      <c r="B28" s="37">
        <f t="shared" si="13"/>
        <v>2882</v>
      </c>
      <c r="C28" s="37">
        <f t="shared" si="13"/>
        <v>2883</v>
      </c>
      <c r="D28" s="37">
        <f t="shared" si="13"/>
        <v>2884</v>
      </c>
      <c r="E28" s="37">
        <f t="shared" si="13"/>
        <v>2885</v>
      </c>
      <c r="F28" s="37">
        <f t="shared" si="13"/>
        <v>2886</v>
      </c>
      <c r="G28" s="37">
        <f t="shared" si="13"/>
        <v>2887</v>
      </c>
      <c r="H28" s="37">
        <f t="shared" si="13"/>
        <v>2888</v>
      </c>
      <c r="I28" s="37">
        <f t="shared" si="13"/>
        <v>2889</v>
      </c>
      <c r="J28" s="38">
        <f t="shared" si="13"/>
        <v>2890</v>
      </c>
      <c r="K28" s="36">
        <f t="shared" si="13"/>
        <v>2891</v>
      </c>
      <c r="L28" s="37">
        <f t="shared" si="13"/>
        <v>2892</v>
      </c>
      <c r="M28" s="37">
        <f t="shared" si="13"/>
        <v>2893</v>
      </c>
      <c r="N28" s="37">
        <f t="shared" si="13"/>
        <v>2894</v>
      </c>
      <c r="O28" s="37">
        <f t="shared" si="13"/>
        <v>2895</v>
      </c>
      <c r="P28" s="37">
        <f t="shared" si="13"/>
        <v>2896</v>
      </c>
      <c r="Q28" s="37">
        <f t="shared" si="13"/>
        <v>2897</v>
      </c>
      <c r="R28" s="37">
        <f t="shared" si="14"/>
        <v>2898</v>
      </c>
      <c r="S28" s="37">
        <f t="shared" si="14"/>
        <v>2899</v>
      </c>
      <c r="T28" s="38">
        <f t="shared" si="14"/>
        <v>2900</v>
      </c>
      <c r="U28" s="36">
        <f t="shared" si="14"/>
        <v>2901</v>
      </c>
      <c r="V28" s="37">
        <f t="shared" si="14"/>
        <v>2902</v>
      </c>
      <c r="W28" s="37">
        <f t="shared" si="14"/>
        <v>2903</v>
      </c>
      <c r="X28" s="37">
        <f t="shared" si="14"/>
        <v>2904</v>
      </c>
      <c r="Y28" s="37">
        <f t="shared" si="14"/>
        <v>2905</v>
      </c>
      <c r="Z28" s="37">
        <f t="shared" si="14"/>
        <v>2906</v>
      </c>
      <c r="AA28" s="37">
        <f t="shared" si="14"/>
        <v>2907</v>
      </c>
      <c r="AB28" s="37">
        <f t="shared" si="14"/>
        <v>2908</v>
      </c>
      <c r="AC28" s="37">
        <f t="shared" si="14"/>
        <v>2909</v>
      </c>
      <c r="AD28" s="38">
        <f t="shared" si="14"/>
        <v>2910</v>
      </c>
      <c r="AE28" s="36">
        <f t="shared" si="14"/>
        <v>2911</v>
      </c>
      <c r="AF28" s="37">
        <f t="shared" si="14"/>
        <v>2912</v>
      </c>
      <c r="AG28" s="37">
        <f t="shared" si="14"/>
        <v>2913</v>
      </c>
      <c r="AH28" s="37">
        <f t="shared" si="15"/>
        <v>2914</v>
      </c>
      <c r="AI28" s="37">
        <f t="shared" si="15"/>
        <v>2915</v>
      </c>
      <c r="AJ28" s="37">
        <f t="shared" si="15"/>
        <v>2916</v>
      </c>
      <c r="AK28" s="37">
        <f t="shared" si="15"/>
        <v>2917</v>
      </c>
      <c r="AL28" s="37">
        <f t="shared" si="15"/>
        <v>2918</v>
      </c>
      <c r="AM28" s="37">
        <f t="shared" si="15"/>
        <v>2919</v>
      </c>
      <c r="AN28" s="38">
        <f t="shared" si="15"/>
        <v>2920</v>
      </c>
      <c r="AO28" s="36">
        <f t="shared" si="15"/>
        <v>2921</v>
      </c>
      <c r="AP28" s="37">
        <f t="shared" si="15"/>
        <v>2922</v>
      </c>
      <c r="AQ28" s="37">
        <f t="shared" si="15"/>
        <v>2923</v>
      </c>
      <c r="AR28" s="37">
        <f t="shared" si="15"/>
        <v>2924</v>
      </c>
      <c r="AS28" s="37">
        <f t="shared" si="15"/>
        <v>2925</v>
      </c>
      <c r="AT28" s="37">
        <f t="shared" si="15"/>
        <v>2926</v>
      </c>
      <c r="AU28" s="37">
        <f t="shared" si="15"/>
        <v>2927</v>
      </c>
      <c r="AV28" s="37">
        <f t="shared" si="15"/>
        <v>2928</v>
      </c>
      <c r="AW28" s="37">
        <f t="shared" si="15"/>
        <v>2929</v>
      </c>
      <c r="AX28" s="38">
        <f t="shared" si="12"/>
        <v>2930</v>
      </c>
      <c r="AY28" s="36">
        <f t="shared" si="12"/>
        <v>2931</v>
      </c>
      <c r="AZ28" s="37">
        <f t="shared" si="12"/>
        <v>2932</v>
      </c>
      <c r="BA28" s="37">
        <f t="shared" si="12"/>
        <v>2933</v>
      </c>
      <c r="BB28" s="37">
        <f t="shared" si="12"/>
        <v>2934</v>
      </c>
      <c r="BC28" s="37">
        <f t="shared" si="12"/>
        <v>2935</v>
      </c>
      <c r="BD28" s="37">
        <f t="shared" si="12"/>
        <v>2936</v>
      </c>
      <c r="BE28" s="37">
        <f t="shared" si="12"/>
        <v>2937</v>
      </c>
      <c r="BF28" s="37">
        <f t="shared" si="12"/>
        <v>2938</v>
      </c>
      <c r="BG28" s="37">
        <f t="shared" si="12"/>
        <v>2939</v>
      </c>
      <c r="BH28" s="38">
        <f t="shared" si="12"/>
        <v>2940</v>
      </c>
      <c r="BI28" s="36">
        <f t="shared" si="12"/>
        <v>2941</v>
      </c>
      <c r="BJ28" s="37">
        <f t="shared" si="12"/>
        <v>2942</v>
      </c>
      <c r="BK28" s="37">
        <f t="shared" si="12"/>
        <v>2943</v>
      </c>
      <c r="BL28" s="37">
        <f t="shared" si="12"/>
        <v>2944</v>
      </c>
      <c r="BM28" s="37">
        <f t="shared" si="12"/>
        <v>2945</v>
      </c>
      <c r="BN28" s="37">
        <f t="shared" si="16"/>
        <v>2946</v>
      </c>
      <c r="BO28" s="37">
        <f t="shared" si="9"/>
        <v>2947</v>
      </c>
      <c r="BP28" s="37">
        <f t="shared" si="9"/>
        <v>2948</v>
      </c>
      <c r="BQ28" s="37">
        <f t="shared" si="9"/>
        <v>2949</v>
      </c>
      <c r="BR28" s="39">
        <f t="shared" si="9"/>
        <v>2950</v>
      </c>
      <c r="BS28" s="36">
        <f t="shared" si="9"/>
        <v>2951</v>
      </c>
      <c r="BT28" s="37">
        <f t="shared" si="9"/>
        <v>2952</v>
      </c>
      <c r="BU28" s="37">
        <f t="shared" si="9"/>
        <v>2953</v>
      </c>
      <c r="BV28" s="37">
        <f t="shared" si="9"/>
        <v>2954</v>
      </c>
      <c r="BW28" s="37">
        <f t="shared" si="9"/>
        <v>2955</v>
      </c>
      <c r="BX28" s="37">
        <f t="shared" si="9"/>
        <v>2956</v>
      </c>
      <c r="BY28" s="37">
        <f t="shared" si="9"/>
        <v>2957</v>
      </c>
      <c r="BZ28" s="37">
        <f t="shared" si="9"/>
        <v>2958</v>
      </c>
      <c r="CA28" s="37">
        <f t="shared" si="9"/>
        <v>2959</v>
      </c>
      <c r="CB28" s="38">
        <f t="shared" si="9"/>
        <v>2960</v>
      </c>
      <c r="CC28" s="40">
        <f t="shared" si="9"/>
        <v>2961</v>
      </c>
      <c r="CD28" s="37">
        <f t="shared" si="9"/>
        <v>2962</v>
      </c>
      <c r="CE28" s="37">
        <f t="shared" si="10"/>
        <v>2963</v>
      </c>
      <c r="CF28" s="37">
        <f t="shared" si="10"/>
        <v>2964</v>
      </c>
      <c r="CG28" s="37">
        <f t="shared" si="10"/>
        <v>2965</v>
      </c>
      <c r="CH28" s="37">
        <f t="shared" si="10"/>
        <v>2966</v>
      </c>
      <c r="CI28" s="37">
        <f t="shared" si="10"/>
        <v>2967</v>
      </c>
      <c r="CJ28" s="37">
        <f t="shared" si="10"/>
        <v>2968</v>
      </c>
      <c r="CK28" s="37">
        <f t="shared" si="10"/>
        <v>2969</v>
      </c>
      <c r="CL28" s="39">
        <f t="shared" si="10"/>
        <v>2970</v>
      </c>
      <c r="CM28" s="36">
        <f t="shared" si="10"/>
        <v>2971</v>
      </c>
      <c r="CN28" s="37">
        <f t="shared" si="10"/>
        <v>2972</v>
      </c>
      <c r="CO28" s="37">
        <f t="shared" si="10"/>
        <v>2973</v>
      </c>
      <c r="CP28" s="37">
        <f t="shared" si="10"/>
        <v>2974</v>
      </c>
      <c r="CQ28" s="37">
        <f t="shared" si="10"/>
        <v>2975</v>
      </c>
      <c r="CR28" s="37">
        <f t="shared" si="10"/>
        <v>2976</v>
      </c>
      <c r="CS28" s="37">
        <f t="shared" si="10"/>
        <v>2977</v>
      </c>
      <c r="CT28" s="37">
        <f t="shared" si="10"/>
        <v>2978</v>
      </c>
      <c r="CU28" s="37">
        <f t="shared" si="11"/>
        <v>2979</v>
      </c>
      <c r="CV28" s="38">
        <f t="shared" si="11"/>
        <v>2980</v>
      </c>
      <c r="CW28" s="40">
        <f t="shared" si="11"/>
        <v>2981</v>
      </c>
      <c r="CX28" s="37">
        <f t="shared" si="11"/>
        <v>2982</v>
      </c>
      <c r="CY28" s="37">
        <f t="shared" si="11"/>
        <v>2983</v>
      </c>
      <c r="CZ28" s="37">
        <f t="shared" si="11"/>
        <v>2984</v>
      </c>
      <c r="DA28" s="37">
        <f t="shared" si="11"/>
        <v>2985</v>
      </c>
      <c r="DB28" s="37">
        <f t="shared" si="11"/>
        <v>2986</v>
      </c>
      <c r="DC28" s="37">
        <f t="shared" si="11"/>
        <v>2987</v>
      </c>
      <c r="DD28" s="37">
        <f t="shared" si="11"/>
        <v>2988</v>
      </c>
      <c r="DE28" s="37">
        <f t="shared" si="11"/>
        <v>2989</v>
      </c>
      <c r="DF28" s="39">
        <f t="shared" si="11"/>
        <v>2990</v>
      </c>
      <c r="DG28" s="36">
        <f t="shared" si="11"/>
        <v>2991</v>
      </c>
      <c r="DH28" s="37">
        <f t="shared" si="11"/>
        <v>2992</v>
      </c>
      <c r="DI28" s="37">
        <f t="shared" si="11"/>
        <v>2993</v>
      </c>
      <c r="DJ28" s="37">
        <f t="shared" si="11"/>
        <v>2994</v>
      </c>
      <c r="DK28" s="37">
        <f t="shared" si="7"/>
        <v>2995</v>
      </c>
      <c r="DL28" s="37">
        <f t="shared" si="7"/>
        <v>2996</v>
      </c>
      <c r="DM28" s="37">
        <f t="shared" si="7"/>
        <v>2997</v>
      </c>
      <c r="DN28" s="37">
        <f t="shared" si="7"/>
        <v>2998</v>
      </c>
      <c r="DO28" s="37">
        <f t="shared" si="7"/>
        <v>2999</v>
      </c>
      <c r="DP28" s="38">
        <f t="shared" si="7"/>
        <v>3000</v>
      </c>
      <c r="DQ28" s="62"/>
      <c r="DR28" s="966"/>
      <c r="DS28" s="967"/>
      <c r="DT28" s="967"/>
      <c r="DU28" s="968"/>
    </row>
    <row r="29" spans="1:125" ht="5.75" customHeight="1">
      <c r="A29" s="36">
        <v>3001</v>
      </c>
      <c r="B29" s="37">
        <f t="shared" ref="B29:B92" si="17">A29+1</f>
        <v>3002</v>
      </c>
      <c r="C29" s="37">
        <f t="shared" ref="C29:C92" si="18">B29+1</f>
        <v>3003</v>
      </c>
      <c r="D29" s="37">
        <f t="shared" ref="D29:D92" si="19">C29+1</f>
        <v>3004</v>
      </c>
      <c r="E29" s="37">
        <f t="shared" ref="E29:E92" si="20">D29+1</f>
        <v>3005</v>
      </c>
      <c r="F29" s="37">
        <f t="shared" ref="F29:F92" si="21">E29+1</f>
        <v>3006</v>
      </c>
      <c r="G29" s="37">
        <f t="shared" ref="G29:G92" si="22">F29+1</f>
        <v>3007</v>
      </c>
      <c r="H29" s="37">
        <f t="shared" ref="H29:H92" si="23">G29+1</f>
        <v>3008</v>
      </c>
      <c r="I29" s="37">
        <f t="shared" ref="I29:I92" si="24">H29+1</f>
        <v>3009</v>
      </c>
      <c r="J29" s="38">
        <f t="shared" ref="J29:J92" si="25">I29+1</f>
        <v>3010</v>
      </c>
      <c r="K29" s="36">
        <f t="shared" ref="K29:K92" si="26">J29+1</f>
        <v>3011</v>
      </c>
      <c r="L29" s="37">
        <f t="shared" ref="L29:L92" si="27">K29+1</f>
        <v>3012</v>
      </c>
      <c r="M29" s="37">
        <f t="shared" ref="M29:M92" si="28">L29+1</f>
        <v>3013</v>
      </c>
      <c r="N29" s="37">
        <f t="shared" ref="N29:N92" si="29">M29+1</f>
        <v>3014</v>
      </c>
      <c r="O29" s="37">
        <f t="shared" ref="O29:O92" si="30">N29+1</f>
        <v>3015</v>
      </c>
      <c r="P29" s="37">
        <f t="shared" ref="P29:P92" si="31">O29+1</f>
        <v>3016</v>
      </c>
      <c r="Q29" s="37">
        <f t="shared" ref="Q29:Q92" si="32">P29+1</f>
        <v>3017</v>
      </c>
      <c r="R29" s="37">
        <f t="shared" ref="R29:R92" si="33">Q29+1</f>
        <v>3018</v>
      </c>
      <c r="S29" s="37">
        <f t="shared" ref="S29:S92" si="34">R29+1</f>
        <v>3019</v>
      </c>
      <c r="T29" s="38">
        <f t="shared" ref="T29:T92" si="35">S29+1</f>
        <v>3020</v>
      </c>
      <c r="U29" s="36">
        <f t="shared" ref="U29:U92" si="36">T29+1</f>
        <v>3021</v>
      </c>
      <c r="V29" s="37">
        <f t="shared" ref="V29:V92" si="37">U29+1</f>
        <v>3022</v>
      </c>
      <c r="W29" s="37">
        <f t="shared" ref="W29:W92" si="38">V29+1</f>
        <v>3023</v>
      </c>
      <c r="X29" s="37">
        <f t="shared" ref="X29:X92" si="39">W29+1</f>
        <v>3024</v>
      </c>
      <c r="Y29" s="37">
        <f t="shared" ref="Y29:Y92" si="40">X29+1</f>
        <v>3025</v>
      </c>
      <c r="Z29" s="37">
        <f t="shared" ref="Z29:Z92" si="41">Y29+1</f>
        <v>3026</v>
      </c>
      <c r="AA29" s="37">
        <f t="shared" ref="AA29:AA92" si="42">Z29+1</f>
        <v>3027</v>
      </c>
      <c r="AB29" s="37">
        <f t="shared" ref="AB29:AB92" si="43">AA29+1</f>
        <v>3028</v>
      </c>
      <c r="AC29" s="37">
        <f t="shared" ref="AC29:AC92" si="44">AB29+1</f>
        <v>3029</v>
      </c>
      <c r="AD29" s="38">
        <f t="shared" ref="AD29:AD92" si="45">AC29+1</f>
        <v>3030</v>
      </c>
      <c r="AE29" s="36">
        <f t="shared" ref="AE29:AE92" si="46">AD29+1</f>
        <v>3031</v>
      </c>
      <c r="AF29" s="37">
        <f t="shared" ref="AF29:AF92" si="47">AE29+1</f>
        <v>3032</v>
      </c>
      <c r="AG29" s="37">
        <f t="shared" ref="AG29:AG92" si="48">AF29+1</f>
        <v>3033</v>
      </c>
      <c r="AH29" s="37">
        <f t="shared" ref="AH29:AH92" si="49">AG29+1</f>
        <v>3034</v>
      </c>
      <c r="AI29" s="37">
        <f t="shared" ref="AI29:AI92" si="50">AH29+1</f>
        <v>3035</v>
      </c>
      <c r="AJ29" s="37">
        <f t="shared" ref="AJ29:AJ92" si="51">AI29+1</f>
        <v>3036</v>
      </c>
      <c r="AK29" s="37">
        <f t="shared" ref="AK29:AK92" si="52">AJ29+1</f>
        <v>3037</v>
      </c>
      <c r="AL29" s="37">
        <f t="shared" ref="AL29:AL92" si="53">AK29+1</f>
        <v>3038</v>
      </c>
      <c r="AM29" s="37">
        <f t="shared" ref="AM29:AM92" si="54">AL29+1</f>
        <v>3039</v>
      </c>
      <c r="AN29" s="38">
        <f t="shared" ref="AN29:AN92" si="55">AM29+1</f>
        <v>3040</v>
      </c>
      <c r="AO29" s="36">
        <f t="shared" ref="AO29:AO92" si="56">AN29+1</f>
        <v>3041</v>
      </c>
      <c r="AP29" s="37">
        <f t="shared" ref="AP29:AP92" si="57">AO29+1</f>
        <v>3042</v>
      </c>
      <c r="AQ29" s="37">
        <f t="shared" ref="AQ29:AQ92" si="58">AP29+1</f>
        <v>3043</v>
      </c>
      <c r="AR29" s="37">
        <f t="shared" ref="AR29:AR92" si="59">AQ29+1</f>
        <v>3044</v>
      </c>
      <c r="AS29" s="37">
        <f t="shared" ref="AS29:AS92" si="60">AR29+1</f>
        <v>3045</v>
      </c>
      <c r="AT29" s="37">
        <f t="shared" ref="AT29:AT92" si="61">AS29+1</f>
        <v>3046</v>
      </c>
      <c r="AU29" s="37">
        <f t="shared" ref="AU29:AU92" si="62">AT29+1</f>
        <v>3047</v>
      </c>
      <c r="AV29" s="37">
        <f t="shared" ref="AV29:AV92" si="63">AU29+1</f>
        <v>3048</v>
      </c>
      <c r="AW29" s="37">
        <f t="shared" ref="AW29:AW92" si="64">AV29+1</f>
        <v>3049</v>
      </c>
      <c r="AX29" s="38">
        <f t="shared" ref="AX29:AX92" si="65">AW29+1</f>
        <v>3050</v>
      </c>
      <c r="AY29" s="36">
        <f t="shared" ref="AY29:AY92" si="66">AX29+1</f>
        <v>3051</v>
      </c>
      <c r="AZ29" s="37">
        <f t="shared" ref="AZ29:AZ92" si="67">AY29+1</f>
        <v>3052</v>
      </c>
      <c r="BA29" s="37">
        <f t="shared" ref="BA29:BA92" si="68">AZ29+1</f>
        <v>3053</v>
      </c>
      <c r="BB29" s="37">
        <f t="shared" ref="BB29:BB92" si="69">BA29+1</f>
        <v>3054</v>
      </c>
      <c r="BC29" s="37">
        <f t="shared" ref="BC29:BC92" si="70">BB29+1</f>
        <v>3055</v>
      </c>
      <c r="BD29" s="37">
        <f t="shared" ref="BD29:BD92" si="71">BC29+1</f>
        <v>3056</v>
      </c>
      <c r="BE29" s="37">
        <f t="shared" ref="BE29:BE92" si="72">BD29+1</f>
        <v>3057</v>
      </c>
      <c r="BF29" s="37">
        <f t="shared" ref="BF29:BF92" si="73">BE29+1</f>
        <v>3058</v>
      </c>
      <c r="BG29" s="37">
        <f t="shared" ref="BG29:BG92" si="74">BF29+1</f>
        <v>3059</v>
      </c>
      <c r="BH29" s="38">
        <f t="shared" ref="BH29:BH92" si="75">BG29+1</f>
        <v>3060</v>
      </c>
      <c r="BI29" s="36">
        <f t="shared" ref="BI29:BI92" si="76">BH29+1</f>
        <v>3061</v>
      </c>
      <c r="BJ29" s="37">
        <f t="shared" ref="BJ29:BJ92" si="77">BI29+1</f>
        <v>3062</v>
      </c>
      <c r="BK29" s="37">
        <f t="shared" ref="BK29:BK92" si="78">BJ29+1</f>
        <v>3063</v>
      </c>
      <c r="BL29" s="37">
        <f t="shared" ref="BL29:BL92" si="79">BK29+1</f>
        <v>3064</v>
      </c>
      <c r="BM29" s="37">
        <f t="shared" ref="BM29:BM92" si="80">BL29+1</f>
        <v>3065</v>
      </c>
      <c r="BN29" s="37">
        <f t="shared" ref="BN29:BN92" si="81">BM29+1</f>
        <v>3066</v>
      </c>
      <c r="BO29" s="37">
        <f t="shared" ref="BO29:BO92" si="82">BN29+1</f>
        <v>3067</v>
      </c>
      <c r="BP29" s="37">
        <f t="shared" ref="BP29:BP92" si="83">BO29+1</f>
        <v>3068</v>
      </c>
      <c r="BQ29" s="37">
        <f t="shared" ref="BQ29:BQ92" si="84">BP29+1</f>
        <v>3069</v>
      </c>
      <c r="BR29" s="39">
        <f t="shared" ref="BR29:BR92" si="85">BQ29+1</f>
        <v>3070</v>
      </c>
      <c r="BS29" s="36">
        <f t="shared" ref="BS29:BS92" si="86">BR29+1</f>
        <v>3071</v>
      </c>
      <c r="BT29" s="37">
        <f t="shared" ref="BT29:BT92" si="87">BS29+1</f>
        <v>3072</v>
      </c>
      <c r="BU29" s="37">
        <f t="shared" ref="BU29:BU92" si="88">BT29+1</f>
        <v>3073</v>
      </c>
      <c r="BV29" s="37">
        <f t="shared" ref="BV29:BV92" si="89">BU29+1</f>
        <v>3074</v>
      </c>
      <c r="BW29" s="37">
        <f t="shared" ref="BW29:BW92" si="90">BV29+1</f>
        <v>3075</v>
      </c>
      <c r="BX29" s="37">
        <f t="shared" ref="BX29:BX92" si="91">BW29+1</f>
        <v>3076</v>
      </c>
      <c r="BY29" s="37">
        <f t="shared" ref="BY29:BY92" si="92">BX29+1</f>
        <v>3077</v>
      </c>
      <c r="BZ29" s="37">
        <f t="shared" ref="BZ29:BZ92" si="93">BY29+1</f>
        <v>3078</v>
      </c>
      <c r="CA29" s="37">
        <f t="shared" ref="CA29:CA92" si="94">BZ29+1</f>
        <v>3079</v>
      </c>
      <c r="CB29" s="38">
        <f t="shared" ref="CB29:CB92" si="95">CA29+1</f>
        <v>3080</v>
      </c>
      <c r="CC29" s="40">
        <f t="shared" ref="CC29:CC92" si="96">CB29+1</f>
        <v>3081</v>
      </c>
      <c r="CD29" s="37">
        <f t="shared" ref="CD29:CD92" si="97">CC29+1</f>
        <v>3082</v>
      </c>
      <c r="CE29" s="37">
        <f t="shared" ref="CE29:CE92" si="98">CD29+1</f>
        <v>3083</v>
      </c>
      <c r="CF29" s="37">
        <f t="shared" ref="CF29:CF92" si="99">CE29+1</f>
        <v>3084</v>
      </c>
      <c r="CG29" s="37">
        <f t="shared" ref="CG29:CG92" si="100">CF29+1</f>
        <v>3085</v>
      </c>
      <c r="CH29" s="37">
        <f t="shared" ref="CH29:CH92" si="101">CG29+1</f>
        <v>3086</v>
      </c>
      <c r="CI29" s="37">
        <f t="shared" ref="CI29:CI92" si="102">CH29+1</f>
        <v>3087</v>
      </c>
      <c r="CJ29" s="37">
        <f t="shared" ref="CJ29:CJ92" si="103">CI29+1</f>
        <v>3088</v>
      </c>
      <c r="CK29" s="37">
        <f t="shared" ref="CK29:CK92" si="104">CJ29+1</f>
        <v>3089</v>
      </c>
      <c r="CL29" s="39">
        <f t="shared" ref="CL29:CL92" si="105">CK29+1</f>
        <v>3090</v>
      </c>
      <c r="CM29" s="36">
        <f t="shared" ref="CM29:CM92" si="106">CL29+1</f>
        <v>3091</v>
      </c>
      <c r="CN29" s="37">
        <f t="shared" ref="CN29:CN92" si="107">CM29+1</f>
        <v>3092</v>
      </c>
      <c r="CO29" s="37">
        <f t="shared" ref="CO29:CO92" si="108">CN29+1</f>
        <v>3093</v>
      </c>
      <c r="CP29" s="37">
        <f t="shared" ref="CP29:CP92" si="109">CO29+1</f>
        <v>3094</v>
      </c>
      <c r="CQ29" s="37">
        <f t="shared" ref="CQ29:CQ92" si="110">CP29+1</f>
        <v>3095</v>
      </c>
      <c r="CR29" s="37">
        <f t="shared" ref="CR29:CR92" si="111">CQ29+1</f>
        <v>3096</v>
      </c>
      <c r="CS29" s="37">
        <f t="shared" ref="CS29:CS92" si="112">CR29+1</f>
        <v>3097</v>
      </c>
      <c r="CT29" s="37">
        <f t="shared" ref="CT29:CT92" si="113">CS29+1</f>
        <v>3098</v>
      </c>
      <c r="CU29" s="37">
        <f t="shared" ref="CU29:CU92" si="114">CT29+1</f>
        <v>3099</v>
      </c>
      <c r="CV29" s="38">
        <f t="shared" ref="CV29:CV92" si="115">CU29+1</f>
        <v>3100</v>
      </c>
      <c r="CW29" s="40">
        <f t="shared" ref="CW29:CW92" si="116">CV29+1</f>
        <v>3101</v>
      </c>
      <c r="CX29" s="37">
        <f t="shared" ref="CX29:CX92" si="117">CW29+1</f>
        <v>3102</v>
      </c>
      <c r="CY29" s="37">
        <f t="shared" ref="CY29:CY92" si="118">CX29+1</f>
        <v>3103</v>
      </c>
      <c r="CZ29" s="37">
        <f t="shared" ref="CZ29:CZ92" si="119">CY29+1</f>
        <v>3104</v>
      </c>
      <c r="DA29" s="37">
        <f t="shared" ref="DA29:DA92" si="120">CZ29+1</f>
        <v>3105</v>
      </c>
      <c r="DB29" s="37">
        <f t="shared" ref="DB29:DB92" si="121">DA29+1</f>
        <v>3106</v>
      </c>
      <c r="DC29" s="37">
        <f t="shared" ref="DC29:DC92" si="122">DB29+1</f>
        <v>3107</v>
      </c>
      <c r="DD29" s="37">
        <f t="shared" ref="DD29:DD92" si="123">DC29+1</f>
        <v>3108</v>
      </c>
      <c r="DE29" s="37">
        <f t="shared" ref="DE29:DE92" si="124">DD29+1</f>
        <v>3109</v>
      </c>
      <c r="DF29" s="39">
        <f t="shared" ref="DF29:DF92" si="125">DE29+1</f>
        <v>3110</v>
      </c>
      <c r="DG29" s="36">
        <f t="shared" ref="DG29:DG92" si="126">DF29+1</f>
        <v>3111</v>
      </c>
      <c r="DH29" s="37">
        <f t="shared" ref="DH29:DH92" si="127">DG29+1</f>
        <v>3112</v>
      </c>
      <c r="DI29" s="37">
        <f t="shared" ref="DI29:DI92" si="128">DH29+1</f>
        <v>3113</v>
      </c>
      <c r="DJ29" s="37">
        <f t="shared" ref="DJ29:DJ92" si="129">DI29+1</f>
        <v>3114</v>
      </c>
      <c r="DK29" s="37">
        <f t="shared" ref="DK29:DK92" si="130">DJ29+1</f>
        <v>3115</v>
      </c>
      <c r="DL29" s="37">
        <f t="shared" ref="DL29:DL92" si="131">DK29+1</f>
        <v>3116</v>
      </c>
      <c r="DM29" s="37">
        <f t="shared" ref="DM29:DM92" si="132">DL29+1</f>
        <v>3117</v>
      </c>
      <c r="DN29" s="37">
        <f t="shared" ref="DN29:DN92" si="133">DM29+1</f>
        <v>3118</v>
      </c>
      <c r="DO29" s="37">
        <f t="shared" ref="DO29:DO92" si="134">DN29+1</f>
        <v>3119</v>
      </c>
      <c r="DP29" s="38">
        <f t="shared" ref="DP29:DP92" si="135">DO29+1</f>
        <v>3120</v>
      </c>
      <c r="DR29" s="966">
        <v>8</v>
      </c>
      <c r="DS29" s="967"/>
      <c r="DT29" s="967"/>
      <c r="DU29" s="968"/>
    </row>
    <row r="30" spans="1:125" ht="5.75" customHeight="1">
      <c r="A30" s="36">
        <v>2881</v>
      </c>
      <c r="B30" s="37">
        <f t="shared" si="17"/>
        <v>2882</v>
      </c>
      <c r="C30" s="37">
        <f t="shared" si="18"/>
        <v>2883</v>
      </c>
      <c r="D30" s="37">
        <f t="shared" si="19"/>
        <v>2884</v>
      </c>
      <c r="E30" s="37">
        <f t="shared" si="20"/>
        <v>2885</v>
      </c>
      <c r="F30" s="37">
        <f t="shared" si="21"/>
        <v>2886</v>
      </c>
      <c r="G30" s="37">
        <f t="shared" si="22"/>
        <v>2887</v>
      </c>
      <c r="H30" s="37">
        <f t="shared" si="23"/>
        <v>2888</v>
      </c>
      <c r="I30" s="37">
        <f t="shared" si="24"/>
        <v>2889</v>
      </c>
      <c r="J30" s="38">
        <f t="shared" si="25"/>
        <v>2890</v>
      </c>
      <c r="K30" s="36">
        <f t="shared" si="26"/>
        <v>2891</v>
      </c>
      <c r="L30" s="37">
        <f t="shared" si="27"/>
        <v>2892</v>
      </c>
      <c r="M30" s="37">
        <f t="shared" si="28"/>
        <v>2893</v>
      </c>
      <c r="N30" s="37">
        <f t="shared" si="29"/>
        <v>2894</v>
      </c>
      <c r="O30" s="37">
        <f t="shared" si="30"/>
        <v>2895</v>
      </c>
      <c r="P30" s="37">
        <f t="shared" si="31"/>
        <v>2896</v>
      </c>
      <c r="Q30" s="37">
        <f t="shared" si="32"/>
        <v>2897</v>
      </c>
      <c r="R30" s="37">
        <f t="shared" si="33"/>
        <v>2898</v>
      </c>
      <c r="S30" s="37">
        <f t="shared" si="34"/>
        <v>2899</v>
      </c>
      <c r="T30" s="38">
        <f t="shared" si="35"/>
        <v>2900</v>
      </c>
      <c r="U30" s="36">
        <f t="shared" si="36"/>
        <v>2901</v>
      </c>
      <c r="V30" s="37">
        <f t="shared" si="37"/>
        <v>2902</v>
      </c>
      <c r="W30" s="37">
        <f t="shared" si="38"/>
        <v>2903</v>
      </c>
      <c r="X30" s="37">
        <f t="shared" si="39"/>
        <v>2904</v>
      </c>
      <c r="Y30" s="37">
        <f t="shared" si="40"/>
        <v>2905</v>
      </c>
      <c r="Z30" s="37">
        <f t="shared" si="41"/>
        <v>2906</v>
      </c>
      <c r="AA30" s="37">
        <f t="shared" si="42"/>
        <v>2907</v>
      </c>
      <c r="AB30" s="37">
        <f t="shared" si="43"/>
        <v>2908</v>
      </c>
      <c r="AC30" s="37">
        <f t="shared" si="44"/>
        <v>2909</v>
      </c>
      <c r="AD30" s="38">
        <f t="shared" si="45"/>
        <v>2910</v>
      </c>
      <c r="AE30" s="36">
        <f t="shared" si="46"/>
        <v>2911</v>
      </c>
      <c r="AF30" s="37">
        <f t="shared" si="47"/>
        <v>2912</v>
      </c>
      <c r="AG30" s="37">
        <f t="shared" si="48"/>
        <v>2913</v>
      </c>
      <c r="AH30" s="37">
        <f t="shared" si="49"/>
        <v>2914</v>
      </c>
      <c r="AI30" s="37">
        <f t="shared" si="50"/>
        <v>2915</v>
      </c>
      <c r="AJ30" s="37">
        <f t="shared" si="51"/>
        <v>2916</v>
      </c>
      <c r="AK30" s="37">
        <f t="shared" si="52"/>
        <v>2917</v>
      </c>
      <c r="AL30" s="37">
        <f t="shared" si="53"/>
        <v>2918</v>
      </c>
      <c r="AM30" s="37">
        <f t="shared" si="54"/>
        <v>2919</v>
      </c>
      <c r="AN30" s="38">
        <f t="shared" si="55"/>
        <v>2920</v>
      </c>
      <c r="AO30" s="36">
        <f t="shared" si="56"/>
        <v>2921</v>
      </c>
      <c r="AP30" s="37">
        <f t="shared" si="57"/>
        <v>2922</v>
      </c>
      <c r="AQ30" s="37">
        <f t="shared" si="58"/>
        <v>2923</v>
      </c>
      <c r="AR30" s="37">
        <f t="shared" si="59"/>
        <v>2924</v>
      </c>
      <c r="AS30" s="37">
        <f t="shared" si="60"/>
        <v>2925</v>
      </c>
      <c r="AT30" s="37">
        <f t="shared" si="61"/>
        <v>2926</v>
      </c>
      <c r="AU30" s="37">
        <f t="shared" si="62"/>
        <v>2927</v>
      </c>
      <c r="AV30" s="37">
        <f t="shared" si="63"/>
        <v>2928</v>
      </c>
      <c r="AW30" s="37">
        <f t="shared" si="64"/>
        <v>2929</v>
      </c>
      <c r="AX30" s="38">
        <f t="shared" si="65"/>
        <v>2930</v>
      </c>
      <c r="AY30" s="36">
        <f t="shared" si="66"/>
        <v>2931</v>
      </c>
      <c r="AZ30" s="37">
        <f t="shared" si="67"/>
        <v>2932</v>
      </c>
      <c r="BA30" s="37">
        <f t="shared" si="68"/>
        <v>2933</v>
      </c>
      <c r="BB30" s="37">
        <f t="shared" si="69"/>
        <v>2934</v>
      </c>
      <c r="BC30" s="37">
        <f t="shared" si="70"/>
        <v>2935</v>
      </c>
      <c r="BD30" s="37">
        <f t="shared" si="71"/>
        <v>2936</v>
      </c>
      <c r="BE30" s="37">
        <f t="shared" si="72"/>
        <v>2937</v>
      </c>
      <c r="BF30" s="37">
        <f t="shared" si="73"/>
        <v>2938</v>
      </c>
      <c r="BG30" s="37">
        <f t="shared" si="74"/>
        <v>2939</v>
      </c>
      <c r="BH30" s="38">
        <f t="shared" si="75"/>
        <v>2940</v>
      </c>
      <c r="BI30" s="36">
        <f t="shared" si="76"/>
        <v>2941</v>
      </c>
      <c r="BJ30" s="37">
        <f t="shared" si="77"/>
        <v>2942</v>
      </c>
      <c r="BK30" s="37">
        <f t="shared" si="78"/>
        <v>2943</v>
      </c>
      <c r="BL30" s="37">
        <f t="shared" si="79"/>
        <v>2944</v>
      </c>
      <c r="BM30" s="37">
        <f t="shared" si="80"/>
        <v>2945</v>
      </c>
      <c r="BN30" s="37">
        <f t="shared" si="81"/>
        <v>2946</v>
      </c>
      <c r="BO30" s="37">
        <f t="shared" si="82"/>
        <v>2947</v>
      </c>
      <c r="BP30" s="37">
        <f t="shared" si="83"/>
        <v>2948</v>
      </c>
      <c r="BQ30" s="37">
        <f t="shared" si="84"/>
        <v>2949</v>
      </c>
      <c r="BR30" s="39">
        <f t="shared" si="85"/>
        <v>2950</v>
      </c>
      <c r="BS30" s="36">
        <f t="shared" si="86"/>
        <v>2951</v>
      </c>
      <c r="BT30" s="37">
        <f t="shared" si="87"/>
        <v>2952</v>
      </c>
      <c r="BU30" s="37">
        <f t="shared" si="88"/>
        <v>2953</v>
      </c>
      <c r="BV30" s="37">
        <f t="shared" si="89"/>
        <v>2954</v>
      </c>
      <c r="BW30" s="37">
        <f t="shared" si="90"/>
        <v>2955</v>
      </c>
      <c r="BX30" s="37">
        <f t="shared" si="91"/>
        <v>2956</v>
      </c>
      <c r="BY30" s="37">
        <f t="shared" si="92"/>
        <v>2957</v>
      </c>
      <c r="BZ30" s="37">
        <f t="shared" si="93"/>
        <v>2958</v>
      </c>
      <c r="CA30" s="37">
        <f t="shared" si="94"/>
        <v>2959</v>
      </c>
      <c r="CB30" s="38">
        <f t="shared" si="95"/>
        <v>2960</v>
      </c>
      <c r="CC30" s="40">
        <f t="shared" si="96"/>
        <v>2961</v>
      </c>
      <c r="CD30" s="37">
        <f t="shared" si="97"/>
        <v>2962</v>
      </c>
      <c r="CE30" s="37">
        <f t="shared" si="98"/>
        <v>2963</v>
      </c>
      <c r="CF30" s="37">
        <f t="shared" si="99"/>
        <v>2964</v>
      </c>
      <c r="CG30" s="37">
        <f t="shared" si="100"/>
        <v>2965</v>
      </c>
      <c r="CH30" s="37">
        <f t="shared" si="101"/>
        <v>2966</v>
      </c>
      <c r="CI30" s="37">
        <f t="shared" si="102"/>
        <v>2967</v>
      </c>
      <c r="CJ30" s="37">
        <f t="shared" si="103"/>
        <v>2968</v>
      </c>
      <c r="CK30" s="37">
        <f t="shared" si="104"/>
        <v>2969</v>
      </c>
      <c r="CL30" s="39">
        <f t="shared" si="105"/>
        <v>2970</v>
      </c>
      <c r="CM30" s="36">
        <f t="shared" si="106"/>
        <v>2971</v>
      </c>
      <c r="CN30" s="37">
        <f t="shared" si="107"/>
        <v>2972</v>
      </c>
      <c r="CO30" s="37">
        <f t="shared" si="108"/>
        <v>2973</v>
      </c>
      <c r="CP30" s="37">
        <f t="shared" si="109"/>
        <v>2974</v>
      </c>
      <c r="CQ30" s="37">
        <f t="shared" si="110"/>
        <v>2975</v>
      </c>
      <c r="CR30" s="37">
        <f t="shared" si="111"/>
        <v>2976</v>
      </c>
      <c r="CS30" s="37">
        <f t="shared" si="112"/>
        <v>2977</v>
      </c>
      <c r="CT30" s="37">
        <f t="shared" si="113"/>
        <v>2978</v>
      </c>
      <c r="CU30" s="37">
        <f t="shared" si="114"/>
        <v>2979</v>
      </c>
      <c r="CV30" s="38">
        <f t="shared" si="115"/>
        <v>2980</v>
      </c>
      <c r="CW30" s="40">
        <f t="shared" si="116"/>
        <v>2981</v>
      </c>
      <c r="CX30" s="37">
        <f t="shared" si="117"/>
        <v>2982</v>
      </c>
      <c r="CY30" s="37">
        <f t="shared" si="118"/>
        <v>2983</v>
      </c>
      <c r="CZ30" s="37">
        <f t="shared" si="119"/>
        <v>2984</v>
      </c>
      <c r="DA30" s="37">
        <f t="shared" si="120"/>
        <v>2985</v>
      </c>
      <c r="DB30" s="37">
        <f t="shared" si="121"/>
        <v>2986</v>
      </c>
      <c r="DC30" s="37">
        <f t="shared" si="122"/>
        <v>2987</v>
      </c>
      <c r="DD30" s="37">
        <f t="shared" si="123"/>
        <v>2988</v>
      </c>
      <c r="DE30" s="37">
        <f t="shared" si="124"/>
        <v>2989</v>
      </c>
      <c r="DF30" s="39">
        <f t="shared" si="125"/>
        <v>2990</v>
      </c>
      <c r="DG30" s="36">
        <f t="shared" si="126"/>
        <v>2991</v>
      </c>
      <c r="DH30" s="37">
        <f t="shared" si="127"/>
        <v>2992</v>
      </c>
      <c r="DI30" s="37">
        <f t="shared" si="128"/>
        <v>2993</v>
      </c>
      <c r="DJ30" s="37">
        <f t="shared" si="129"/>
        <v>2994</v>
      </c>
      <c r="DK30" s="37">
        <f t="shared" si="130"/>
        <v>2995</v>
      </c>
      <c r="DL30" s="37">
        <f t="shared" si="131"/>
        <v>2996</v>
      </c>
      <c r="DM30" s="37">
        <f t="shared" si="132"/>
        <v>2997</v>
      </c>
      <c r="DN30" s="37">
        <f t="shared" si="133"/>
        <v>2998</v>
      </c>
      <c r="DO30" s="37">
        <f t="shared" si="134"/>
        <v>2999</v>
      </c>
      <c r="DP30" s="38">
        <f t="shared" si="135"/>
        <v>3000</v>
      </c>
      <c r="DR30" s="966"/>
      <c r="DS30" s="967"/>
      <c r="DT30" s="967"/>
      <c r="DU30" s="968"/>
    </row>
    <row r="31" spans="1:125" ht="5.75" customHeight="1">
      <c r="A31" s="36">
        <f>DP30+1</f>
        <v>3001</v>
      </c>
      <c r="B31" s="37">
        <f t="shared" si="17"/>
        <v>3002</v>
      </c>
      <c r="C31" s="37">
        <f t="shared" si="18"/>
        <v>3003</v>
      </c>
      <c r="D31" s="37">
        <f t="shared" si="19"/>
        <v>3004</v>
      </c>
      <c r="E31" s="37">
        <f t="shared" si="20"/>
        <v>3005</v>
      </c>
      <c r="F31" s="37">
        <f t="shared" si="21"/>
        <v>3006</v>
      </c>
      <c r="G31" s="37">
        <f t="shared" si="22"/>
        <v>3007</v>
      </c>
      <c r="H31" s="37">
        <f t="shared" si="23"/>
        <v>3008</v>
      </c>
      <c r="I31" s="37">
        <f t="shared" si="24"/>
        <v>3009</v>
      </c>
      <c r="J31" s="38">
        <f t="shared" si="25"/>
        <v>3010</v>
      </c>
      <c r="K31" s="36">
        <f t="shared" si="26"/>
        <v>3011</v>
      </c>
      <c r="L31" s="37">
        <f t="shared" si="27"/>
        <v>3012</v>
      </c>
      <c r="M31" s="37">
        <f t="shared" si="28"/>
        <v>3013</v>
      </c>
      <c r="N31" s="37">
        <f t="shared" si="29"/>
        <v>3014</v>
      </c>
      <c r="O31" s="37">
        <f t="shared" si="30"/>
        <v>3015</v>
      </c>
      <c r="P31" s="37">
        <f t="shared" si="31"/>
        <v>3016</v>
      </c>
      <c r="Q31" s="37">
        <f t="shared" si="32"/>
        <v>3017</v>
      </c>
      <c r="R31" s="37">
        <f t="shared" si="33"/>
        <v>3018</v>
      </c>
      <c r="S31" s="37">
        <f t="shared" si="34"/>
        <v>3019</v>
      </c>
      <c r="T31" s="38">
        <f t="shared" si="35"/>
        <v>3020</v>
      </c>
      <c r="U31" s="36">
        <f t="shared" si="36"/>
        <v>3021</v>
      </c>
      <c r="V31" s="37">
        <f t="shared" si="37"/>
        <v>3022</v>
      </c>
      <c r="W31" s="37">
        <f t="shared" si="38"/>
        <v>3023</v>
      </c>
      <c r="X31" s="37">
        <f t="shared" si="39"/>
        <v>3024</v>
      </c>
      <c r="Y31" s="37">
        <f t="shared" si="40"/>
        <v>3025</v>
      </c>
      <c r="Z31" s="37">
        <f t="shared" si="41"/>
        <v>3026</v>
      </c>
      <c r="AA31" s="37">
        <f t="shared" si="42"/>
        <v>3027</v>
      </c>
      <c r="AB31" s="37">
        <f t="shared" si="43"/>
        <v>3028</v>
      </c>
      <c r="AC31" s="37">
        <f t="shared" si="44"/>
        <v>3029</v>
      </c>
      <c r="AD31" s="38">
        <f t="shared" si="45"/>
        <v>3030</v>
      </c>
      <c r="AE31" s="36">
        <f t="shared" si="46"/>
        <v>3031</v>
      </c>
      <c r="AF31" s="37">
        <f t="shared" si="47"/>
        <v>3032</v>
      </c>
      <c r="AG31" s="37">
        <f t="shared" si="48"/>
        <v>3033</v>
      </c>
      <c r="AH31" s="37">
        <f t="shared" si="49"/>
        <v>3034</v>
      </c>
      <c r="AI31" s="37">
        <f t="shared" si="50"/>
        <v>3035</v>
      </c>
      <c r="AJ31" s="37">
        <f t="shared" si="51"/>
        <v>3036</v>
      </c>
      <c r="AK31" s="37">
        <f t="shared" si="52"/>
        <v>3037</v>
      </c>
      <c r="AL31" s="37">
        <f t="shared" si="53"/>
        <v>3038</v>
      </c>
      <c r="AM31" s="37">
        <f t="shared" si="54"/>
        <v>3039</v>
      </c>
      <c r="AN31" s="38">
        <f t="shared" si="55"/>
        <v>3040</v>
      </c>
      <c r="AO31" s="36">
        <f t="shared" si="56"/>
        <v>3041</v>
      </c>
      <c r="AP31" s="37">
        <f t="shared" si="57"/>
        <v>3042</v>
      </c>
      <c r="AQ31" s="37">
        <f t="shared" si="58"/>
        <v>3043</v>
      </c>
      <c r="AR31" s="37">
        <f t="shared" si="59"/>
        <v>3044</v>
      </c>
      <c r="AS31" s="37">
        <f t="shared" si="60"/>
        <v>3045</v>
      </c>
      <c r="AT31" s="37">
        <f t="shared" si="61"/>
        <v>3046</v>
      </c>
      <c r="AU31" s="37">
        <f t="shared" si="62"/>
        <v>3047</v>
      </c>
      <c r="AV31" s="37">
        <f t="shared" si="63"/>
        <v>3048</v>
      </c>
      <c r="AW31" s="37">
        <f t="shared" si="64"/>
        <v>3049</v>
      </c>
      <c r="AX31" s="38">
        <f t="shared" si="65"/>
        <v>3050</v>
      </c>
      <c r="AY31" s="36">
        <f t="shared" si="66"/>
        <v>3051</v>
      </c>
      <c r="AZ31" s="37">
        <f t="shared" si="67"/>
        <v>3052</v>
      </c>
      <c r="BA31" s="37">
        <f t="shared" si="68"/>
        <v>3053</v>
      </c>
      <c r="BB31" s="37">
        <f t="shared" si="69"/>
        <v>3054</v>
      </c>
      <c r="BC31" s="37">
        <f t="shared" si="70"/>
        <v>3055</v>
      </c>
      <c r="BD31" s="37">
        <f t="shared" si="71"/>
        <v>3056</v>
      </c>
      <c r="BE31" s="37">
        <f t="shared" si="72"/>
        <v>3057</v>
      </c>
      <c r="BF31" s="37">
        <f t="shared" si="73"/>
        <v>3058</v>
      </c>
      <c r="BG31" s="37">
        <f t="shared" si="74"/>
        <v>3059</v>
      </c>
      <c r="BH31" s="38">
        <f t="shared" si="75"/>
        <v>3060</v>
      </c>
      <c r="BI31" s="36">
        <f t="shared" si="76"/>
        <v>3061</v>
      </c>
      <c r="BJ31" s="37">
        <f t="shared" si="77"/>
        <v>3062</v>
      </c>
      <c r="BK31" s="37">
        <f t="shared" si="78"/>
        <v>3063</v>
      </c>
      <c r="BL31" s="37">
        <f t="shared" si="79"/>
        <v>3064</v>
      </c>
      <c r="BM31" s="37">
        <f t="shared" si="80"/>
        <v>3065</v>
      </c>
      <c r="BN31" s="37">
        <f t="shared" si="81"/>
        <v>3066</v>
      </c>
      <c r="BO31" s="37">
        <f t="shared" si="82"/>
        <v>3067</v>
      </c>
      <c r="BP31" s="37">
        <f t="shared" si="83"/>
        <v>3068</v>
      </c>
      <c r="BQ31" s="37">
        <f t="shared" si="84"/>
        <v>3069</v>
      </c>
      <c r="BR31" s="39">
        <f t="shared" si="85"/>
        <v>3070</v>
      </c>
      <c r="BS31" s="36">
        <f t="shared" si="86"/>
        <v>3071</v>
      </c>
      <c r="BT31" s="37">
        <f t="shared" si="87"/>
        <v>3072</v>
      </c>
      <c r="BU31" s="37">
        <f t="shared" si="88"/>
        <v>3073</v>
      </c>
      <c r="BV31" s="37">
        <f t="shared" si="89"/>
        <v>3074</v>
      </c>
      <c r="BW31" s="37">
        <f t="shared" si="90"/>
        <v>3075</v>
      </c>
      <c r="BX31" s="37">
        <f t="shared" si="91"/>
        <v>3076</v>
      </c>
      <c r="BY31" s="37">
        <f t="shared" si="92"/>
        <v>3077</v>
      </c>
      <c r="BZ31" s="37">
        <f t="shared" si="93"/>
        <v>3078</v>
      </c>
      <c r="CA31" s="37">
        <f t="shared" si="94"/>
        <v>3079</v>
      </c>
      <c r="CB31" s="38">
        <f t="shared" si="95"/>
        <v>3080</v>
      </c>
      <c r="CC31" s="40">
        <f t="shared" si="96"/>
        <v>3081</v>
      </c>
      <c r="CD31" s="37">
        <f t="shared" si="97"/>
        <v>3082</v>
      </c>
      <c r="CE31" s="37">
        <f t="shared" si="98"/>
        <v>3083</v>
      </c>
      <c r="CF31" s="37">
        <f t="shared" si="99"/>
        <v>3084</v>
      </c>
      <c r="CG31" s="37">
        <f t="shared" si="100"/>
        <v>3085</v>
      </c>
      <c r="CH31" s="37">
        <f t="shared" si="101"/>
        <v>3086</v>
      </c>
      <c r="CI31" s="37">
        <f t="shared" si="102"/>
        <v>3087</v>
      </c>
      <c r="CJ31" s="37">
        <f t="shared" si="103"/>
        <v>3088</v>
      </c>
      <c r="CK31" s="37">
        <f t="shared" si="104"/>
        <v>3089</v>
      </c>
      <c r="CL31" s="39">
        <f t="shared" si="105"/>
        <v>3090</v>
      </c>
      <c r="CM31" s="36">
        <f t="shared" si="106"/>
        <v>3091</v>
      </c>
      <c r="CN31" s="37">
        <f t="shared" si="107"/>
        <v>3092</v>
      </c>
      <c r="CO31" s="37">
        <f t="shared" si="108"/>
        <v>3093</v>
      </c>
      <c r="CP31" s="37">
        <f t="shared" si="109"/>
        <v>3094</v>
      </c>
      <c r="CQ31" s="37">
        <f t="shared" si="110"/>
        <v>3095</v>
      </c>
      <c r="CR31" s="37">
        <f t="shared" si="111"/>
        <v>3096</v>
      </c>
      <c r="CS31" s="37">
        <f t="shared" si="112"/>
        <v>3097</v>
      </c>
      <c r="CT31" s="37">
        <f t="shared" si="113"/>
        <v>3098</v>
      </c>
      <c r="CU31" s="37">
        <f t="shared" si="114"/>
        <v>3099</v>
      </c>
      <c r="CV31" s="38">
        <f t="shared" si="115"/>
        <v>3100</v>
      </c>
      <c r="CW31" s="40">
        <f t="shared" si="116"/>
        <v>3101</v>
      </c>
      <c r="CX31" s="37">
        <f t="shared" si="117"/>
        <v>3102</v>
      </c>
      <c r="CY31" s="37">
        <f t="shared" si="118"/>
        <v>3103</v>
      </c>
      <c r="CZ31" s="37">
        <f t="shared" si="119"/>
        <v>3104</v>
      </c>
      <c r="DA31" s="37">
        <f t="shared" si="120"/>
        <v>3105</v>
      </c>
      <c r="DB31" s="37">
        <f t="shared" si="121"/>
        <v>3106</v>
      </c>
      <c r="DC31" s="37">
        <f t="shared" si="122"/>
        <v>3107</v>
      </c>
      <c r="DD31" s="37">
        <f t="shared" si="123"/>
        <v>3108</v>
      </c>
      <c r="DE31" s="37">
        <f t="shared" si="124"/>
        <v>3109</v>
      </c>
      <c r="DF31" s="39">
        <f t="shared" si="125"/>
        <v>3110</v>
      </c>
      <c r="DG31" s="36">
        <f t="shared" si="126"/>
        <v>3111</v>
      </c>
      <c r="DH31" s="37">
        <f t="shared" si="127"/>
        <v>3112</v>
      </c>
      <c r="DI31" s="37">
        <f t="shared" si="128"/>
        <v>3113</v>
      </c>
      <c r="DJ31" s="37">
        <f t="shared" si="129"/>
        <v>3114</v>
      </c>
      <c r="DK31" s="37">
        <f t="shared" si="130"/>
        <v>3115</v>
      </c>
      <c r="DL31" s="37">
        <f t="shared" si="131"/>
        <v>3116</v>
      </c>
      <c r="DM31" s="37">
        <f t="shared" si="132"/>
        <v>3117</v>
      </c>
      <c r="DN31" s="37">
        <f t="shared" si="133"/>
        <v>3118</v>
      </c>
      <c r="DO31" s="37">
        <f t="shared" si="134"/>
        <v>3119</v>
      </c>
      <c r="DP31" s="38">
        <f t="shared" si="135"/>
        <v>3120</v>
      </c>
      <c r="DR31" s="966"/>
      <c r="DS31" s="967"/>
      <c r="DT31" s="967"/>
      <c r="DU31" s="968"/>
    </row>
    <row r="32" spans="1:125" ht="5.75" customHeight="1">
      <c r="A32" s="36">
        <f t="shared" ref="A32:A93" si="136">DP31+1</f>
        <v>3121</v>
      </c>
      <c r="B32" s="37">
        <f t="shared" si="17"/>
        <v>3122</v>
      </c>
      <c r="C32" s="37">
        <f t="shared" si="18"/>
        <v>3123</v>
      </c>
      <c r="D32" s="37">
        <f t="shared" si="19"/>
        <v>3124</v>
      </c>
      <c r="E32" s="37">
        <f t="shared" si="20"/>
        <v>3125</v>
      </c>
      <c r="F32" s="37">
        <f t="shared" si="21"/>
        <v>3126</v>
      </c>
      <c r="G32" s="37">
        <f t="shared" si="22"/>
        <v>3127</v>
      </c>
      <c r="H32" s="37">
        <f t="shared" si="23"/>
        <v>3128</v>
      </c>
      <c r="I32" s="37">
        <f t="shared" si="24"/>
        <v>3129</v>
      </c>
      <c r="J32" s="38">
        <f t="shared" si="25"/>
        <v>3130</v>
      </c>
      <c r="K32" s="36">
        <f t="shared" si="26"/>
        <v>3131</v>
      </c>
      <c r="L32" s="37">
        <f t="shared" si="27"/>
        <v>3132</v>
      </c>
      <c r="M32" s="37">
        <f t="shared" si="28"/>
        <v>3133</v>
      </c>
      <c r="N32" s="37">
        <f t="shared" si="29"/>
        <v>3134</v>
      </c>
      <c r="O32" s="37">
        <f t="shared" si="30"/>
        <v>3135</v>
      </c>
      <c r="P32" s="37">
        <f t="shared" si="31"/>
        <v>3136</v>
      </c>
      <c r="Q32" s="37">
        <f t="shared" si="32"/>
        <v>3137</v>
      </c>
      <c r="R32" s="37">
        <f t="shared" si="33"/>
        <v>3138</v>
      </c>
      <c r="S32" s="37">
        <f t="shared" si="34"/>
        <v>3139</v>
      </c>
      <c r="T32" s="38">
        <f t="shared" si="35"/>
        <v>3140</v>
      </c>
      <c r="U32" s="36">
        <f t="shared" si="36"/>
        <v>3141</v>
      </c>
      <c r="V32" s="37">
        <f t="shared" si="37"/>
        <v>3142</v>
      </c>
      <c r="W32" s="37">
        <f t="shared" si="38"/>
        <v>3143</v>
      </c>
      <c r="X32" s="37">
        <f t="shared" si="39"/>
        <v>3144</v>
      </c>
      <c r="Y32" s="37">
        <f t="shared" si="40"/>
        <v>3145</v>
      </c>
      <c r="Z32" s="37">
        <f t="shared" si="41"/>
        <v>3146</v>
      </c>
      <c r="AA32" s="37">
        <f t="shared" si="42"/>
        <v>3147</v>
      </c>
      <c r="AB32" s="37">
        <f t="shared" si="43"/>
        <v>3148</v>
      </c>
      <c r="AC32" s="37">
        <f t="shared" si="44"/>
        <v>3149</v>
      </c>
      <c r="AD32" s="38">
        <f t="shared" si="45"/>
        <v>3150</v>
      </c>
      <c r="AE32" s="36">
        <f t="shared" si="46"/>
        <v>3151</v>
      </c>
      <c r="AF32" s="37">
        <f t="shared" si="47"/>
        <v>3152</v>
      </c>
      <c r="AG32" s="37">
        <f t="shared" si="48"/>
        <v>3153</v>
      </c>
      <c r="AH32" s="37">
        <f t="shared" si="49"/>
        <v>3154</v>
      </c>
      <c r="AI32" s="37">
        <f t="shared" si="50"/>
        <v>3155</v>
      </c>
      <c r="AJ32" s="37">
        <f t="shared" si="51"/>
        <v>3156</v>
      </c>
      <c r="AK32" s="37">
        <f t="shared" si="52"/>
        <v>3157</v>
      </c>
      <c r="AL32" s="37">
        <f t="shared" si="53"/>
        <v>3158</v>
      </c>
      <c r="AM32" s="37">
        <f t="shared" si="54"/>
        <v>3159</v>
      </c>
      <c r="AN32" s="38">
        <f t="shared" si="55"/>
        <v>3160</v>
      </c>
      <c r="AO32" s="36">
        <f t="shared" si="56"/>
        <v>3161</v>
      </c>
      <c r="AP32" s="37">
        <f t="shared" si="57"/>
        <v>3162</v>
      </c>
      <c r="AQ32" s="37">
        <f t="shared" si="58"/>
        <v>3163</v>
      </c>
      <c r="AR32" s="37">
        <f t="shared" si="59"/>
        <v>3164</v>
      </c>
      <c r="AS32" s="37">
        <f t="shared" si="60"/>
        <v>3165</v>
      </c>
      <c r="AT32" s="37">
        <f t="shared" si="61"/>
        <v>3166</v>
      </c>
      <c r="AU32" s="37">
        <f t="shared" si="62"/>
        <v>3167</v>
      </c>
      <c r="AV32" s="37">
        <f t="shared" si="63"/>
        <v>3168</v>
      </c>
      <c r="AW32" s="37">
        <f t="shared" si="64"/>
        <v>3169</v>
      </c>
      <c r="AX32" s="38">
        <f t="shared" si="65"/>
        <v>3170</v>
      </c>
      <c r="AY32" s="36">
        <f t="shared" si="66"/>
        <v>3171</v>
      </c>
      <c r="AZ32" s="37">
        <f t="shared" si="67"/>
        <v>3172</v>
      </c>
      <c r="BA32" s="37">
        <f t="shared" si="68"/>
        <v>3173</v>
      </c>
      <c r="BB32" s="37">
        <f t="shared" si="69"/>
        <v>3174</v>
      </c>
      <c r="BC32" s="37">
        <f t="shared" si="70"/>
        <v>3175</v>
      </c>
      <c r="BD32" s="37">
        <f t="shared" si="71"/>
        <v>3176</v>
      </c>
      <c r="BE32" s="37">
        <f t="shared" si="72"/>
        <v>3177</v>
      </c>
      <c r="BF32" s="37">
        <f t="shared" si="73"/>
        <v>3178</v>
      </c>
      <c r="BG32" s="37">
        <f t="shared" si="74"/>
        <v>3179</v>
      </c>
      <c r="BH32" s="38">
        <f t="shared" si="75"/>
        <v>3180</v>
      </c>
      <c r="BI32" s="36">
        <f t="shared" si="76"/>
        <v>3181</v>
      </c>
      <c r="BJ32" s="37">
        <f t="shared" si="77"/>
        <v>3182</v>
      </c>
      <c r="BK32" s="37">
        <f t="shared" si="78"/>
        <v>3183</v>
      </c>
      <c r="BL32" s="37">
        <f t="shared" si="79"/>
        <v>3184</v>
      </c>
      <c r="BM32" s="37">
        <f t="shared" si="80"/>
        <v>3185</v>
      </c>
      <c r="BN32" s="37">
        <f t="shared" si="81"/>
        <v>3186</v>
      </c>
      <c r="BO32" s="37">
        <f t="shared" si="82"/>
        <v>3187</v>
      </c>
      <c r="BP32" s="37">
        <f t="shared" si="83"/>
        <v>3188</v>
      </c>
      <c r="BQ32" s="37">
        <f t="shared" si="84"/>
        <v>3189</v>
      </c>
      <c r="BR32" s="39">
        <f t="shared" si="85"/>
        <v>3190</v>
      </c>
      <c r="BS32" s="36">
        <f t="shared" si="86"/>
        <v>3191</v>
      </c>
      <c r="BT32" s="37">
        <f t="shared" si="87"/>
        <v>3192</v>
      </c>
      <c r="BU32" s="37">
        <f t="shared" si="88"/>
        <v>3193</v>
      </c>
      <c r="BV32" s="37">
        <f t="shared" si="89"/>
        <v>3194</v>
      </c>
      <c r="BW32" s="37">
        <f t="shared" si="90"/>
        <v>3195</v>
      </c>
      <c r="BX32" s="37">
        <f t="shared" si="91"/>
        <v>3196</v>
      </c>
      <c r="BY32" s="37">
        <f t="shared" si="92"/>
        <v>3197</v>
      </c>
      <c r="BZ32" s="37">
        <f t="shared" si="93"/>
        <v>3198</v>
      </c>
      <c r="CA32" s="37">
        <f t="shared" si="94"/>
        <v>3199</v>
      </c>
      <c r="CB32" s="38">
        <f t="shared" si="95"/>
        <v>3200</v>
      </c>
      <c r="CC32" s="40">
        <f t="shared" si="96"/>
        <v>3201</v>
      </c>
      <c r="CD32" s="37">
        <f t="shared" si="97"/>
        <v>3202</v>
      </c>
      <c r="CE32" s="37">
        <f t="shared" si="98"/>
        <v>3203</v>
      </c>
      <c r="CF32" s="37">
        <f t="shared" si="99"/>
        <v>3204</v>
      </c>
      <c r="CG32" s="37">
        <f t="shared" si="100"/>
        <v>3205</v>
      </c>
      <c r="CH32" s="37">
        <f t="shared" si="101"/>
        <v>3206</v>
      </c>
      <c r="CI32" s="37">
        <f t="shared" si="102"/>
        <v>3207</v>
      </c>
      <c r="CJ32" s="37">
        <f t="shared" si="103"/>
        <v>3208</v>
      </c>
      <c r="CK32" s="37">
        <f t="shared" si="104"/>
        <v>3209</v>
      </c>
      <c r="CL32" s="39">
        <f t="shared" si="105"/>
        <v>3210</v>
      </c>
      <c r="CM32" s="36">
        <f t="shared" si="106"/>
        <v>3211</v>
      </c>
      <c r="CN32" s="37">
        <f t="shared" si="107"/>
        <v>3212</v>
      </c>
      <c r="CO32" s="37">
        <f t="shared" si="108"/>
        <v>3213</v>
      </c>
      <c r="CP32" s="37">
        <f t="shared" si="109"/>
        <v>3214</v>
      </c>
      <c r="CQ32" s="37">
        <f t="shared" si="110"/>
        <v>3215</v>
      </c>
      <c r="CR32" s="37">
        <f t="shared" si="111"/>
        <v>3216</v>
      </c>
      <c r="CS32" s="37">
        <f t="shared" si="112"/>
        <v>3217</v>
      </c>
      <c r="CT32" s="37">
        <f t="shared" si="113"/>
        <v>3218</v>
      </c>
      <c r="CU32" s="37">
        <f t="shared" si="114"/>
        <v>3219</v>
      </c>
      <c r="CV32" s="38">
        <f t="shared" si="115"/>
        <v>3220</v>
      </c>
      <c r="CW32" s="40">
        <f t="shared" si="116"/>
        <v>3221</v>
      </c>
      <c r="CX32" s="37">
        <f t="shared" si="117"/>
        <v>3222</v>
      </c>
      <c r="CY32" s="37">
        <f t="shared" si="118"/>
        <v>3223</v>
      </c>
      <c r="CZ32" s="37">
        <f t="shared" si="119"/>
        <v>3224</v>
      </c>
      <c r="DA32" s="37">
        <f t="shared" si="120"/>
        <v>3225</v>
      </c>
      <c r="DB32" s="37">
        <f t="shared" si="121"/>
        <v>3226</v>
      </c>
      <c r="DC32" s="37">
        <f t="shared" si="122"/>
        <v>3227</v>
      </c>
      <c r="DD32" s="37">
        <f t="shared" si="123"/>
        <v>3228</v>
      </c>
      <c r="DE32" s="37">
        <f t="shared" si="124"/>
        <v>3229</v>
      </c>
      <c r="DF32" s="39">
        <f t="shared" si="125"/>
        <v>3230</v>
      </c>
      <c r="DG32" s="36">
        <f t="shared" si="126"/>
        <v>3231</v>
      </c>
      <c r="DH32" s="37">
        <f t="shared" si="127"/>
        <v>3232</v>
      </c>
      <c r="DI32" s="37">
        <f t="shared" si="128"/>
        <v>3233</v>
      </c>
      <c r="DJ32" s="37">
        <f t="shared" si="129"/>
        <v>3234</v>
      </c>
      <c r="DK32" s="37">
        <f t="shared" si="130"/>
        <v>3235</v>
      </c>
      <c r="DL32" s="37">
        <f t="shared" si="131"/>
        <v>3236</v>
      </c>
      <c r="DM32" s="37">
        <f t="shared" si="132"/>
        <v>3237</v>
      </c>
      <c r="DN32" s="37">
        <f t="shared" si="133"/>
        <v>3238</v>
      </c>
      <c r="DO32" s="37">
        <f t="shared" si="134"/>
        <v>3239</v>
      </c>
      <c r="DP32" s="38">
        <f t="shared" si="135"/>
        <v>3240</v>
      </c>
      <c r="DR32" s="966">
        <v>9</v>
      </c>
      <c r="DS32" s="967"/>
      <c r="DT32" s="967"/>
      <c r="DU32" s="968"/>
    </row>
    <row r="33" spans="1:125" ht="5.75" customHeight="1">
      <c r="A33" s="36">
        <f t="shared" si="136"/>
        <v>3241</v>
      </c>
      <c r="B33" s="37">
        <f t="shared" si="17"/>
        <v>3242</v>
      </c>
      <c r="C33" s="37">
        <f t="shared" si="18"/>
        <v>3243</v>
      </c>
      <c r="D33" s="37">
        <f t="shared" si="19"/>
        <v>3244</v>
      </c>
      <c r="E33" s="37">
        <f t="shared" si="20"/>
        <v>3245</v>
      </c>
      <c r="F33" s="37">
        <f t="shared" si="21"/>
        <v>3246</v>
      </c>
      <c r="G33" s="37">
        <f t="shared" si="22"/>
        <v>3247</v>
      </c>
      <c r="H33" s="37">
        <f t="shared" si="23"/>
        <v>3248</v>
      </c>
      <c r="I33" s="37">
        <f t="shared" si="24"/>
        <v>3249</v>
      </c>
      <c r="J33" s="38">
        <f t="shared" si="25"/>
        <v>3250</v>
      </c>
      <c r="K33" s="36">
        <f t="shared" si="26"/>
        <v>3251</v>
      </c>
      <c r="L33" s="37">
        <f t="shared" si="27"/>
        <v>3252</v>
      </c>
      <c r="M33" s="37">
        <f t="shared" si="28"/>
        <v>3253</v>
      </c>
      <c r="N33" s="37">
        <f t="shared" si="29"/>
        <v>3254</v>
      </c>
      <c r="O33" s="37">
        <f t="shared" si="30"/>
        <v>3255</v>
      </c>
      <c r="P33" s="37">
        <f t="shared" si="31"/>
        <v>3256</v>
      </c>
      <c r="Q33" s="37">
        <f t="shared" si="32"/>
        <v>3257</v>
      </c>
      <c r="R33" s="37">
        <f t="shared" si="33"/>
        <v>3258</v>
      </c>
      <c r="S33" s="37">
        <f t="shared" si="34"/>
        <v>3259</v>
      </c>
      <c r="T33" s="38">
        <f t="shared" si="35"/>
        <v>3260</v>
      </c>
      <c r="U33" s="36">
        <f t="shared" si="36"/>
        <v>3261</v>
      </c>
      <c r="V33" s="37">
        <f t="shared" si="37"/>
        <v>3262</v>
      </c>
      <c r="W33" s="37">
        <f t="shared" si="38"/>
        <v>3263</v>
      </c>
      <c r="X33" s="37">
        <f t="shared" si="39"/>
        <v>3264</v>
      </c>
      <c r="Y33" s="37">
        <f t="shared" si="40"/>
        <v>3265</v>
      </c>
      <c r="Z33" s="37">
        <f t="shared" si="41"/>
        <v>3266</v>
      </c>
      <c r="AA33" s="37">
        <f t="shared" si="42"/>
        <v>3267</v>
      </c>
      <c r="AB33" s="37">
        <f t="shared" si="43"/>
        <v>3268</v>
      </c>
      <c r="AC33" s="37">
        <f t="shared" si="44"/>
        <v>3269</v>
      </c>
      <c r="AD33" s="38">
        <f t="shared" si="45"/>
        <v>3270</v>
      </c>
      <c r="AE33" s="36">
        <f t="shared" si="46"/>
        <v>3271</v>
      </c>
      <c r="AF33" s="37">
        <f t="shared" si="47"/>
        <v>3272</v>
      </c>
      <c r="AG33" s="37">
        <f t="shared" si="48"/>
        <v>3273</v>
      </c>
      <c r="AH33" s="37">
        <f t="shared" si="49"/>
        <v>3274</v>
      </c>
      <c r="AI33" s="37">
        <f t="shared" si="50"/>
        <v>3275</v>
      </c>
      <c r="AJ33" s="37">
        <f t="shared" si="51"/>
        <v>3276</v>
      </c>
      <c r="AK33" s="37">
        <f t="shared" si="52"/>
        <v>3277</v>
      </c>
      <c r="AL33" s="37">
        <f t="shared" si="53"/>
        <v>3278</v>
      </c>
      <c r="AM33" s="37">
        <f t="shared" si="54"/>
        <v>3279</v>
      </c>
      <c r="AN33" s="38">
        <f t="shared" si="55"/>
        <v>3280</v>
      </c>
      <c r="AO33" s="36">
        <f t="shared" si="56"/>
        <v>3281</v>
      </c>
      <c r="AP33" s="37">
        <f t="shared" si="57"/>
        <v>3282</v>
      </c>
      <c r="AQ33" s="37">
        <f t="shared" si="58"/>
        <v>3283</v>
      </c>
      <c r="AR33" s="37">
        <f t="shared" si="59"/>
        <v>3284</v>
      </c>
      <c r="AS33" s="37">
        <f t="shared" si="60"/>
        <v>3285</v>
      </c>
      <c r="AT33" s="37">
        <f t="shared" si="61"/>
        <v>3286</v>
      </c>
      <c r="AU33" s="37">
        <f t="shared" si="62"/>
        <v>3287</v>
      </c>
      <c r="AV33" s="37">
        <f t="shared" si="63"/>
        <v>3288</v>
      </c>
      <c r="AW33" s="37">
        <f t="shared" si="64"/>
        <v>3289</v>
      </c>
      <c r="AX33" s="38">
        <f t="shared" si="65"/>
        <v>3290</v>
      </c>
      <c r="AY33" s="36">
        <f t="shared" si="66"/>
        <v>3291</v>
      </c>
      <c r="AZ33" s="37">
        <f t="shared" si="67"/>
        <v>3292</v>
      </c>
      <c r="BA33" s="37">
        <f t="shared" si="68"/>
        <v>3293</v>
      </c>
      <c r="BB33" s="37">
        <f t="shared" si="69"/>
        <v>3294</v>
      </c>
      <c r="BC33" s="37">
        <f t="shared" si="70"/>
        <v>3295</v>
      </c>
      <c r="BD33" s="37">
        <f t="shared" si="71"/>
        <v>3296</v>
      </c>
      <c r="BE33" s="37">
        <f t="shared" si="72"/>
        <v>3297</v>
      </c>
      <c r="BF33" s="37">
        <f t="shared" si="73"/>
        <v>3298</v>
      </c>
      <c r="BG33" s="37">
        <f t="shared" si="74"/>
        <v>3299</v>
      </c>
      <c r="BH33" s="38">
        <f t="shared" si="75"/>
        <v>3300</v>
      </c>
      <c r="BI33" s="36">
        <f t="shared" si="76"/>
        <v>3301</v>
      </c>
      <c r="BJ33" s="37">
        <f t="shared" si="77"/>
        <v>3302</v>
      </c>
      <c r="BK33" s="37">
        <f t="shared" si="78"/>
        <v>3303</v>
      </c>
      <c r="BL33" s="37">
        <f t="shared" si="79"/>
        <v>3304</v>
      </c>
      <c r="BM33" s="37">
        <f t="shared" si="80"/>
        <v>3305</v>
      </c>
      <c r="BN33" s="37">
        <f t="shared" si="81"/>
        <v>3306</v>
      </c>
      <c r="BO33" s="37">
        <f t="shared" si="82"/>
        <v>3307</v>
      </c>
      <c r="BP33" s="37">
        <f t="shared" si="83"/>
        <v>3308</v>
      </c>
      <c r="BQ33" s="37">
        <f t="shared" si="84"/>
        <v>3309</v>
      </c>
      <c r="BR33" s="39">
        <f t="shared" si="85"/>
        <v>3310</v>
      </c>
      <c r="BS33" s="36">
        <f t="shared" si="86"/>
        <v>3311</v>
      </c>
      <c r="BT33" s="37">
        <f t="shared" si="87"/>
        <v>3312</v>
      </c>
      <c r="BU33" s="37">
        <f t="shared" si="88"/>
        <v>3313</v>
      </c>
      <c r="BV33" s="37">
        <f t="shared" si="89"/>
        <v>3314</v>
      </c>
      <c r="BW33" s="37">
        <f t="shared" si="90"/>
        <v>3315</v>
      </c>
      <c r="BX33" s="37">
        <f t="shared" si="91"/>
        <v>3316</v>
      </c>
      <c r="BY33" s="37">
        <f t="shared" si="92"/>
        <v>3317</v>
      </c>
      <c r="BZ33" s="37">
        <f t="shared" si="93"/>
        <v>3318</v>
      </c>
      <c r="CA33" s="37">
        <f t="shared" si="94"/>
        <v>3319</v>
      </c>
      <c r="CB33" s="38">
        <f t="shared" si="95"/>
        <v>3320</v>
      </c>
      <c r="CC33" s="40">
        <f t="shared" si="96"/>
        <v>3321</v>
      </c>
      <c r="CD33" s="37">
        <f t="shared" si="97"/>
        <v>3322</v>
      </c>
      <c r="CE33" s="37">
        <f t="shared" si="98"/>
        <v>3323</v>
      </c>
      <c r="CF33" s="37">
        <f t="shared" si="99"/>
        <v>3324</v>
      </c>
      <c r="CG33" s="37">
        <f t="shared" si="100"/>
        <v>3325</v>
      </c>
      <c r="CH33" s="37">
        <f t="shared" si="101"/>
        <v>3326</v>
      </c>
      <c r="CI33" s="37">
        <f t="shared" si="102"/>
        <v>3327</v>
      </c>
      <c r="CJ33" s="37">
        <f t="shared" si="103"/>
        <v>3328</v>
      </c>
      <c r="CK33" s="37">
        <f t="shared" si="104"/>
        <v>3329</v>
      </c>
      <c r="CL33" s="39">
        <f t="shared" si="105"/>
        <v>3330</v>
      </c>
      <c r="CM33" s="36">
        <f t="shared" si="106"/>
        <v>3331</v>
      </c>
      <c r="CN33" s="37">
        <f t="shared" si="107"/>
        <v>3332</v>
      </c>
      <c r="CO33" s="37">
        <f t="shared" si="108"/>
        <v>3333</v>
      </c>
      <c r="CP33" s="37">
        <f t="shared" si="109"/>
        <v>3334</v>
      </c>
      <c r="CQ33" s="37">
        <f t="shared" si="110"/>
        <v>3335</v>
      </c>
      <c r="CR33" s="37">
        <f t="shared" si="111"/>
        <v>3336</v>
      </c>
      <c r="CS33" s="37">
        <f t="shared" si="112"/>
        <v>3337</v>
      </c>
      <c r="CT33" s="37">
        <f t="shared" si="113"/>
        <v>3338</v>
      </c>
      <c r="CU33" s="37">
        <f t="shared" si="114"/>
        <v>3339</v>
      </c>
      <c r="CV33" s="38">
        <f t="shared" si="115"/>
        <v>3340</v>
      </c>
      <c r="CW33" s="40">
        <f t="shared" si="116"/>
        <v>3341</v>
      </c>
      <c r="CX33" s="37">
        <f t="shared" si="117"/>
        <v>3342</v>
      </c>
      <c r="CY33" s="37">
        <f t="shared" si="118"/>
        <v>3343</v>
      </c>
      <c r="CZ33" s="37">
        <f t="shared" si="119"/>
        <v>3344</v>
      </c>
      <c r="DA33" s="37">
        <f t="shared" si="120"/>
        <v>3345</v>
      </c>
      <c r="DB33" s="37">
        <f t="shared" si="121"/>
        <v>3346</v>
      </c>
      <c r="DC33" s="37">
        <f t="shared" si="122"/>
        <v>3347</v>
      </c>
      <c r="DD33" s="37">
        <f t="shared" si="123"/>
        <v>3348</v>
      </c>
      <c r="DE33" s="37">
        <f t="shared" si="124"/>
        <v>3349</v>
      </c>
      <c r="DF33" s="39">
        <f t="shared" si="125"/>
        <v>3350</v>
      </c>
      <c r="DG33" s="36">
        <f t="shared" si="126"/>
        <v>3351</v>
      </c>
      <c r="DH33" s="37">
        <f t="shared" si="127"/>
        <v>3352</v>
      </c>
      <c r="DI33" s="37">
        <f t="shared" si="128"/>
        <v>3353</v>
      </c>
      <c r="DJ33" s="37">
        <f t="shared" si="129"/>
        <v>3354</v>
      </c>
      <c r="DK33" s="37">
        <f t="shared" si="130"/>
        <v>3355</v>
      </c>
      <c r="DL33" s="37">
        <f t="shared" si="131"/>
        <v>3356</v>
      </c>
      <c r="DM33" s="37">
        <f t="shared" si="132"/>
        <v>3357</v>
      </c>
      <c r="DN33" s="37">
        <f t="shared" si="133"/>
        <v>3358</v>
      </c>
      <c r="DO33" s="37">
        <f t="shared" si="134"/>
        <v>3359</v>
      </c>
      <c r="DP33" s="38">
        <f t="shared" si="135"/>
        <v>3360</v>
      </c>
      <c r="DR33" s="966"/>
      <c r="DS33" s="967"/>
      <c r="DT33" s="967"/>
      <c r="DU33" s="968"/>
    </row>
    <row r="34" spans="1:125" ht="5.75" customHeight="1" thickBot="1">
      <c r="A34" s="36">
        <f t="shared" si="136"/>
        <v>3361</v>
      </c>
      <c r="B34" s="37">
        <f t="shared" si="17"/>
        <v>3362</v>
      </c>
      <c r="C34" s="37">
        <f t="shared" si="18"/>
        <v>3363</v>
      </c>
      <c r="D34" s="37">
        <f t="shared" si="19"/>
        <v>3364</v>
      </c>
      <c r="E34" s="37">
        <f t="shared" si="20"/>
        <v>3365</v>
      </c>
      <c r="F34" s="37">
        <f t="shared" si="21"/>
        <v>3366</v>
      </c>
      <c r="G34" s="37">
        <f t="shared" si="22"/>
        <v>3367</v>
      </c>
      <c r="H34" s="37">
        <f t="shared" si="23"/>
        <v>3368</v>
      </c>
      <c r="I34" s="37">
        <f t="shared" si="24"/>
        <v>3369</v>
      </c>
      <c r="J34" s="38">
        <f t="shared" si="25"/>
        <v>3370</v>
      </c>
      <c r="K34" s="36">
        <f t="shared" si="26"/>
        <v>3371</v>
      </c>
      <c r="L34" s="37">
        <f t="shared" si="27"/>
        <v>3372</v>
      </c>
      <c r="M34" s="37">
        <f t="shared" si="28"/>
        <v>3373</v>
      </c>
      <c r="N34" s="37">
        <f t="shared" si="29"/>
        <v>3374</v>
      </c>
      <c r="O34" s="37">
        <f t="shared" si="30"/>
        <v>3375</v>
      </c>
      <c r="P34" s="37">
        <f t="shared" si="31"/>
        <v>3376</v>
      </c>
      <c r="Q34" s="37">
        <f t="shared" si="32"/>
        <v>3377</v>
      </c>
      <c r="R34" s="37">
        <f t="shared" si="33"/>
        <v>3378</v>
      </c>
      <c r="S34" s="37">
        <f t="shared" si="34"/>
        <v>3379</v>
      </c>
      <c r="T34" s="38">
        <f t="shared" si="35"/>
        <v>3380</v>
      </c>
      <c r="U34" s="36">
        <f t="shared" si="36"/>
        <v>3381</v>
      </c>
      <c r="V34" s="37">
        <f t="shared" si="37"/>
        <v>3382</v>
      </c>
      <c r="W34" s="37">
        <f t="shared" si="38"/>
        <v>3383</v>
      </c>
      <c r="X34" s="37">
        <f t="shared" si="39"/>
        <v>3384</v>
      </c>
      <c r="Y34" s="37">
        <f t="shared" si="40"/>
        <v>3385</v>
      </c>
      <c r="Z34" s="37">
        <f t="shared" si="41"/>
        <v>3386</v>
      </c>
      <c r="AA34" s="37">
        <f t="shared" si="42"/>
        <v>3387</v>
      </c>
      <c r="AB34" s="37">
        <f t="shared" si="43"/>
        <v>3388</v>
      </c>
      <c r="AC34" s="37">
        <f t="shared" si="44"/>
        <v>3389</v>
      </c>
      <c r="AD34" s="38">
        <f t="shared" si="45"/>
        <v>3390</v>
      </c>
      <c r="AE34" s="36">
        <f t="shared" si="46"/>
        <v>3391</v>
      </c>
      <c r="AF34" s="37">
        <f t="shared" si="47"/>
        <v>3392</v>
      </c>
      <c r="AG34" s="37">
        <f t="shared" si="48"/>
        <v>3393</v>
      </c>
      <c r="AH34" s="37">
        <f t="shared" si="49"/>
        <v>3394</v>
      </c>
      <c r="AI34" s="37">
        <f t="shared" si="50"/>
        <v>3395</v>
      </c>
      <c r="AJ34" s="37">
        <f t="shared" si="51"/>
        <v>3396</v>
      </c>
      <c r="AK34" s="37">
        <f t="shared" si="52"/>
        <v>3397</v>
      </c>
      <c r="AL34" s="37">
        <f t="shared" si="53"/>
        <v>3398</v>
      </c>
      <c r="AM34" s="37">
        <f t="shared" si="54"/>
        <v>3399</v>
      </c>
      <c r="AN34" s="38">
        <f t="shared" si="55"/>
        <v>3400</v>
      </c>
      <c r="AO34" s="36">
        <f t="shared" si="56"/>
        <v>3401</v>
      </c>
      <c r="AP34" s="37">
        <f t="shared" si="57"/>
        <v>3402</v>
      </c>
      <c r="AQ34" s="37">
        <f t="shared" si="58"/>
        <v>3403</v>
      </c>
      <c r="AR34" s="37">
        <f t="shared" si="59"/>
        <v>3404</v>
      </c>
      <c r="AS34" s="37">
        <f t="shared" si="60"/>
        <v>3405</v>
      </c>
      <c r="AT34" s="37">
        <f t="shared" si="61"/>
        <v>3406</v>
      </c>
      <c r="AU34" s="37">
        <f t="shared" si="62"/>
        <v>3407</v>
      </c>
      <c r="AV34" s="37">
        <f t="shared" si="63"/>
        <v>3408</v>
      </c>
      <c r="AW34" s="37">
        <f t="shared" si="64"/>
        <v>3409</v>
      </c>
      <c r="AX34" s="38">
        <f t="shared" si="65"/>
        <v>3410</v>
      </c>
      <c r="AY34" s="36">
        <f t="shared" si="66"/>
        <v>3411</v>
      </c>
      <c r="AZ34" s="37">
        <f t="shared" si="67"/>
        <v>3412</v>
      </c>
      <c r="BA34" s="37">
        <f t="shared" si="68"/>
        <v>3413</v>
      </c>
      <c r="BB34" s="37">
        <f t="shared" si="69"/>
        <v>3414</v>
      </c>
      <c r="BC34" s="37">
        <f t="shared" si="70"/>
        <v>3415</v>
      </c>
      <c r="BD34" s="37">
        <f t="shared" si="71"/>
        <v>3416</v>
      </c>
      <c r="BE34" s="37">
        <f t="shared" si="72"/>
        <v>3417</v>
      </c>
      <c r="BF34" s="37">
        <f t="shared" si="73"/>
        <v>3418</v>
      </c>
      <c r="BG34" s="37">
        <f t="shared" si="74"/>
        <v>3419</v>
      </c>
      <c r="BH34" s="38">
        <f t="shared" si="75"/>
        <v>3420</v>
      </c>
      <c r="BI34" s="36">
        <f t="shared" si="76"/>
        <v>3421</v>
      </c>
      <c r="BJ34" s="37">
        <f t="shared" si="77"/>
        <v>3422</v>
      </c>
      <c r="BK34" s="37">
        <f t="shared" si="78"/>
        <v>3423</v>
      </c>
      <c r="BL34" s="37">
        <f t="shared" si="79"/>
        <v>3424</v>
      </c>
      <c r="BM34" s="37">
        <f t="shared" si="80"/>
        <v>3425</v>
      </c>
      <c r="BN34" s="37">
        <f t="shared" si="81"/>
        <v>3426</v>
      </c>
      <c r="BO34" s="37">
        <f t="shared" si="82"/>
        <v>3427</v>
      </c>
      <c r="BP34" s="37">
        <f t="shared" si="83"/>
        <v>3428</v>
      </c>
      <c r="BQ34" s="37">
        <f t="shared" si="84"/>
        <v>3429</v>
      </c>
      <c r="BR34" s="39">
        <f t="shared" si="85"/>
        <v>3430</v>
      </c>
      <c r="BS34" s="36">
        <f t="shared" si="86"/>
        <v>3431</v>
      </c>
      <c r="BT34" s="37">
        <f t="shared" si="87"/>
        <v>3432</v>
      </c>
      <c r="BU34" s="37">
        <f t="shared" si="88"/>
        <v>3433</v>
      </c>
      <c r="BV34" s="37">
        <f t="shared" si="89"/>
        <v>3434</v>
      </c>
      <c r="BW34" s="37">
        <f t="shared" si="90"/>
        <v>3435</v>
      </c>
      <c r="BX34" s="37">
        <f t="shared" si="91"/>
        <v>3436</v>
      </c>
      <c r="BY34" s="37">
        <f t="shared" si="92"/>
        <v>3437</v>
      </c>
      <c r="BZ34" s="37">
        <f t="shared" si="93"/>
        <v>3438</v>
      </c>
      <c r="CA34" s="37">
        <f t="shared" si="94"/>
        <v>3439</v>
      </c>
      <c r="CB34" s="38">
        <f t="shared" si="95"/>
        <v>3440</v>
      </c>
      <c r="CC34" s="40">
        <f t="shared" si="96"/>
        <v>3441</v>
      </c>
      <c r="CD34" s="37">
        <f t="shared" si="97"/>
        <v>3442</v>
      </c>
      <c r="CE34" s="37">
        <f t="shared" si="98"/>
        <v>3443</v>
      </c>
      <c r="CF34" s="37">
        <f t="shared" si="99"/>
        <v>3444</v>
      </c>
      <c r="CG34" s="37">
        <f t="shared" si="100"/>
        <v>3445</v>
      </c>
      <c r="CH34" s="37">
        <f t="shared" si="101"/>
        <v>3446</v>
      </c>
      <c r="CI34" s="37">
        <f t="shared" si="102"/>
        <v>3447</v>
      </c>
      <c r="CJ34" s="37">
        <f t="shared" si="103"/>
        <v>3448</v>
      </c>
      <c r="CK34" s="37">
        <f t="shared" si="104"/>
        <v>3449</v>
      </c>
      <c r="CL34" s="39">
        <f t="shared" si="105"/>
        <v>3450</v>
      </c>
      <c r="CM34" s="36">
        <f t="shared" si="106"/>
        <v>3451</v>
      </c>
      <c r="CN34" s="37">
        <f t="shared" si="107"/>
        <v>3452</v>
      </c>
      <c r="CO34" s="37">
        <f t="shared" si="108"/>
        <v>3453</v>
      </c>
      <c r="CP34" s="37">
        <f t="shared" si="109"/>
        <v>3454</v>
      </c>
      <c r="CQ34" s="37">
        <f t="shared" si="110"/>
        <v>3455</v>
      </c>
      <c r="CR34" s="37">
        <f t="shared" si="111"/>
        <v>3456</v>
      </c>
      <c r="CS34" s="37">
        <f t="shared" si="112"/>
        <v>3457</v>
      </c>
      <c r="CT34" s="37">
        <f t="shared" si="113"/>
        <v>3458</v>
      </c>
      <c r="CU34" s="37">
        <f t="shared" si="114"/>
        <v>3459</v>
      </c>
      <c r="CV34" s="38">
        <f t="shared" si="115"/>
        <v>3460</v>
      </c>
      <c r="CW34" s="40">
        <f t="shared" si="116"/>
        <v>3461</v>
      </c>
      <c r="CX34" s="37">
        <f t="shared" si="117"/>
        <v>3462</v>
      </c>
      <c r="CY34" s="37">
        <f t="shared" si="118"/>
        <v>3463</v>
      </c>
      <c r="CZ34" s="37">
        <f t="shared" si="119"/>
        <v>3464</v>
      </c>
      <c r="DA34" s="37">
        <f t="shared" si="120"/>
        <v>3465</v>
      </c>
      <c r="DB34" s="37">
        <f t="shared" si="121"/>
        <v>3466</v>
      </c>
      <c r="DC34" s="37">
        <f t="shared" si="122"/>
        <v>3467</v>
      </c>
      <c r="DD34" s="37">
        <f t="shared" si="123"/>
        <v>3468</v>
      </c>
      <c r="DE34" s="37">
        <f t="shared" si="124"/>
        <v>3469</v>
      </c>
      <c r="DF34" s="39">
        <f t="shared" si="125"/>
        <v>3470</v>
      </c>
      <c r="DG34" s="36">
        <f t="shared" si="126"/>
        <v>3471</v>
      </c>
      <c r="DH34" s="37">
        <f t="shared" si="127"/>
        <v>3472</v>
      </c>
      <c r="DI34" s="37">
        <f t="shared" si="128"/>
        <v>3473</v>
      </c>
      <c r="DJ34" s="37">
        <f t="shared" si="129"/>
        <v>3474</v>
      </c>
      <c r="DK34" s="37">
        <f t="shared" si="130"/>
        <v>3475</v>
      </c>
      <c r="DL34" s="37">
        <f t="shared" si="131"/>
        <v>3476</v>
      </c>
      <c r="DM34" s="37">
        <f t="shared" si="132"/>
        <v>3477</v>
      </c>
      <c r="DN34" s="37">
        <f t="shared" si="133"/>
        <v>3478</v>
      </c>
      <c r="DO34" s="37">
        <f t="shared" si="134"/>
        <v>3479</v>
      </c>
      <c r="DP34" s="38">
        <f t="shared" si="135"/>
        <v>3480</v>
      </c>
      <c r="DR34" s="969"/>
      <c r="DS34" s="970"/>
      <c r="DT34" s="970"/>
      <c r="DU34" s="971"/>
    </row>
    <row r="35" spans="1:125" ht="5.75" customHeight="1" thickBot="1">
      <c r="A35" s="36">
        <f t="shared" si="136"/>
        <v>3481</v>
      </c>
      <c r="B35" s="37">
        <f t="shared" si="17"/>
        <v>3482</v>
      </c>
      <c r="C35" s="37">
        <f t="shared" si="18"/>
        <v>3483</v>
      </c>
      <c r="D35" s="37">
        <f t="shared" si="19"/>
        <v>3484</v>
      </c>
      <c r="E35" s="37">
        <f t="shared" si="20"/>
        <v>3485</v>
      </c>
      <c r="F35" s="37">
        <f t="shared" si="21"/>
        <v>3486</v>
      </c>
      <c r="G35" s="37">
        <f t="shared" si="22"/>
        <v>3487</v>
      </c>
      <c r="H35" s="37">
        <f t="shared" si="23"/>
        <v>3488</v>
      </c>
      <c r="I35" s="37">
        <f t="shared" si="24"/>
        <v>3489</v>
      </c>
      <c r="J35" s="38">
        <f t="shared" si="25"/>
        <v>3490</v>
      </c>
      <c r="K35" s="36">
        <f t="shared" si="26"/>
        <v>3491</v>
      </c>
      <c r="L35" s="37">
        <f t="shared" si="27"/>
        <v>3492</v>
      </c>
      <c r="M35" s="37">
        <f t="shared" si="28"/>
        <v>3493</v>
      </c>
      <c r="N35" s="37">
        <f t="shared" si="29"/>
        <v>3494</v>
      </c>
      <c r="O35" s="37">
        <f t="shared" si="30"/>
        <v>3495</v>
      </c>
      <c r="P35" s="37">
        <f t="shared" si="31"/>
        <v>3496</v>
      </c>
      <c r="Q35" s="37">
        <f t="shared" si="32"/>
        <v>3497</v>
      </c>
      <c r="R35" s="37">
        <f t="shared" si="33"/>
        <v>3498</v>
      </c>
      <c r="S35" s="37">
        <f t="shared" si="34"/>
        <v>3499</v>
      </c>
      <c r="T35" s="38">
        <f t="shared" si="35"/>
        <v>3500</v>
      </c>
      <c r="U35" s="36">
        <f t="shared" si="36"/>
        <v>3501</v>
      </c>
      <c r="V35" s="37">
        <f t="shared" si="37"/>
        <v>3502</v>
      </c>
      <c r="W35" s="37">
        <f t="shared" si="38"/>
        <v>3503</v>
      </c>
      <c r="X35" s="37">
        <f t="shared" si="39"/>
        <v>3504</v>
      </c>
      <c r="Y35" s="37">
        <f t="shared" si="40"/>
        <v>3505</v>
      </c>
      <c r="Z35" s="37">
        <f t="shared" si="41"/>
        <v>3506</v>
      </c>
      <c r="AA35" s="37">
        <f t="shared" si="42"/>
        <v>3507</v>
      </c>
      <c r="AB35" s="37">
        <f t="shared" si="43"/>
        <v>3508</v>
      </c>
      <c r="AC35" s="37">
        <f t="shared" si="44"/>
        <v>3509</v>
      </c>
      <c r="AD35" s="38">
        <f t="shared" si="45"/>
        <v>3510</v>
      </c>
      <c r="AE35" s="36">
        <f t="shared" si="46"/>
        <v>3511</v>
      </c>
      <c r="AF35" s="37">
        <f t="shared" si="47"/>
        <v>3512</v>
      </c>
      <c r="AG35" s="37">
        <f t="shared" si="48"/>
        <v>3513</v>
      </c>
      <c r="AH35" s="37">
        <f t="shared" si="49"/>
        <v>3514</v>
      </c>
      <c r="AI35" s="37">
        <f t="shared" si="50"/>
        <v>3515</v>
      </c>
      <c r="AJ35" s="37">
        <f t="shared" si="51"/>
        <v>3516</v>
      </c>
      <c r="AK35" s="37">
        <f t="shared" si="52"/>
        <v>3517</v>
      </c>
      <c r="AL35" s="37">
        <f t="shared" si="53"/>
        <v>3518</v>
      </c>
      <c r="AM35" s="37">
        <f t="shared" si="54"/>
        <v>3519</v>
      </c>
      <c r="AN35" s="38">
        <f t="shared" si="55"/>
        <v>3520</v>
      </c>
      <c r="AO35" s="36">
        <f t="shared" si="56"/>
        <v>3521</v>
      </c>
      <c r="AP35" s="37">
        <f t="shared" si="57"/>
        <v>3522</v>
      </c>
      <c r="AQ35" s="37">
        <f t="shared" si="58"/>
        <v>3523</v>
      </c>
      <c r="AR35" s="37">
        <f t="shared" si="59"/>
        <v>3524</v>
      </c>
      <c r="AS35" s="37">
        <f t="shared" si="60"/>
        <v>3525</v>
      </c>
      <c r="AT35" s="37">
        <f t="shared" si="61"/>
        <v>3526</v>
      </c>
      <c r="AU35" s="37">
        <f t="shared" si="62"/>
        <v>3527</v>
      </c>
      <c r="AV35" s="37">
        <f t="shared" si="63"/>
        <v>3528</v>
      </c>
      <c r="AW35" s="37">
        <f t="shared" si="64"/>
        <v>3529</v>
      </c>
      <c r="AX35" s="38">
        <f t="shared" si="65"/>
        <v>3530</v>
      </c>
      <c r="AY35" s="36">
        <f t="shared" si="66"/>
        <v>3531</v>
      </c>
      <c r="AZ35" s="37">
        <f t="shared" si="67"/>
        <v>3532</v>
      </c>
      <c r="BA35" s="37">
        <f t="shared" si="68"/>
        <v>3533</v>
      </c>
      <c r="BB35" s="37">
        <f t="shared" si="69"/>
        <v>3534</v>
      </c>
      <c r="BC35" s="37">
        <f t="shared" si="70"/>
        <v>3535</v>
      </c>
      <c r="BD35" s="37">
        <f t="shared" si="71"/>
        <v>3536</v>
      </c>
      <c r="BE35" s="37">
        <f t="shared" si="72"/>
        <v>3537</v>
      </c>
      <c r="BF35" s="37">
        <f t="shared" si="73"/>
        <v>3538</v>
      </c>
      <c r="BG35" s="37">
        <f t="shared" si="74"/>
        <v>3539</v>
      </c>
      <c r="BH35" s="38">
        <f t="shared" si="75"/>
        <v>3540</v>
      </c>
      <c r="BI35" s="36">
        <f t="shared" si="76"/>
        <v>3541</v>
      </c>
      <c r="BJ35" s="37">
        <f t="shared" si="77"/>
        <v>3542</v>
      </c>
      <c r="BK35" s="37">
        <f t="shared" si="78"/>
        <v>3543</v>
      </c>
      <c r="BL35" s="37">
        <f t="shared" si="79"/>
        <v>3544</v>
      </c>
      <c r="BM35" s="37">
        <f t="shared" si="80"/>
        <v>3545</v>
      </c>
      <c r="BN35" s="37">
        <f t="shared" si="81"/>
        <v>3546</v>
      </c>
      <c r="BO35" s="37">
        <f t="shared" si="82"/>
        <v>3547</v>
      </c>
      <c r="BP35" s="37">
        <f t="shared" si="83"/>
        <v>3548</v>
      </c>
      <c r="BQ35" s="37">
        <f t="shared" si="84"/>
        <v>3549</v>
      </c>
      <c r="BR35" s="39">
        <f t="shared" si="85"/>
        <v>3550</v>
      </c>
      <c r="BS35" s="36">
        <f t="shared" si="86"/>
        <v>3551</v>
      </c>
      <c r="BT35" s="37">
        <f t="shared" si="87"/>
        <v>3552</v>
      </c>
      <c r="BU35" s="37">
        <f t="shared" si="88"/>
        <v>3553</v>
      </c>
      <c r="BV35" s="37">
        <f t="shared" si="89"/>
        <v>3554</v>
      </c>
      <c r="BW35" s="37">
        <f t="shared" si="90"/>
        <v>3555</v>
      </c>
      <c r="BX35" s="37">
        <f t="shared" si="91"/>
        <v>3556</v>
      </c>
      <c r="BY35" s="37">
        <f t="shared" si="92"/>
        <v>3557</v>
      </c>
      <c r="BZ35" s="37">
        <f t="shared" si="93"/>
        <v>3558</v>
      </c>
      <c r="CA35" s="37">
        <f t="shared" si="94"/>
        <v>3559</v>
      </c>
      <c r="CB35" s="38">
        <f t="shared" si="95"/>
        <v>3560</v>
      </c>
      <c r="CC35" s="40">
        <f t="shared" si="96"/>
        <v>3561</v>
      </c>
      <c r="CD35" s="37">
        <f t="shared" si="97"/>
        <v>3562</v>
      </c>
      <c r="CE35" s="37">
        <f t="shared" si="98"/>
        <v>3563</v>
      </c>
      <c r="CF35" s="37">
        <f t="shared" si="99"/>
        <v>3564</v>
      </c>
      <c r="CG35" s="37">
        <f t="shared" si="100"/>
        <v>3565</v>
      </c>
      <c r="CH35" s="37">
        <f t="shared" si="101"/>
        <v>3566</v>
      </c>
      <c r="CI35" s="37">
        <f t="shared" si="102"/>
        <v>3567</v>
      </c>
      <c r="CJ35" s="37">
        <f t="shared" si="103"/>
        <v>3568</v>
      </c>
      <c r="CK35" s="37">
        <f t="shared" si="104"/>
        <v>3569</v>
      </c>
      <c r="CL35" s="39">
        <f t="shared" si="105"/>
        <v>3570</v>
      </c>
      <c r="CM35" s="36">
        <f t="shared" si="106"/>
        <v>3571</v>
      </c>
      <c r="CN35" s="37">
        <f t="shared" si="107"/>
        <v>3572</v>
      </c>
      <c r="CO35" s="37">
        <f t="shared" si="108"/>
        <v>3573</v>
      </c>
      <c r="CP35" s="37">
        <f t="shared" si="109"/>
        <v>3574</v>
      </c>
      <c r="CQ35" s="37">
        <f t="shared" si="110"/>
        <v>3575</v>
      </c>
      <c r="CR35" s="37">
        <f t="shared" si="111"/>
        <v>3576</v>
      </c>
      <c r="CS35" s="37">
        <f t="shared" si="112"/>
        <v>3577</v>
      </c>
      <c r="CT35" s="37">
        <f t="shared" si="113"/>
        <v>3578</v>
      </c>
      <c r="CU35" s="37">
        <f t="shared" si="114"/>
        <v>3579</v>
      </c>
      <c r="CV35" s="38">
        <f t="shared" si="115"/>
        <v>3580</v>
      </c>
      <c r="CW35" s="40">
        <f t="shared" si="116"/>
        <v>3581</v>
      </c>
      <c r="CX35" s="37">
        <f t="shared" si="117"/>
        <v>3582</v>
      </c>
      <c r="CY35" s="37">
        <f t="shared" si="118"/>
        <v>3583</v>
      </c>
      <c r="CZ35" s="37">
        <f t="shared" si="119"/>
        <v>3584</v>
      </c>
      <c r="DA35" s="37">
        <f t="shared" si="120"/>
        <v>3585</v>
      </c>
      <c r="DB35" s="37">
        <f t="shared" si="121"/>
        <v>3586</v>
      </c>
      <c r="DC35" s="37">
        <f t="shared" si="122"/>
        <v>3587</v>
      </c>
      <c r="DD35" s="37">
        <f t="shared" si="123"/>
        <v>3588</v>
      </c>
      <c r="DE35" s="37">
        <f t="shared" si="124"/>
        <v>3589</v>
      </c>
      <c r="DF35" s="39">
        <f t="shared" si="125"/>
        <v>3590</v>
      </c>
      <c r="DG35" s="36">
        <f t="shared" si="126"/>
        <v>3591</v>
      </c>
      <c r="DH35" s="37">
        <f t="shared" si="127"/>
        <v>3592</v>
      </c>
      <c r="DI35" s="37">
        <f t="shared" si="128"/>
        <v>3593</v>
      </c>
      <c r="DJ35" s="37">
        <f t="shared" si="129"/>
        <v>3594</v>
      </c>
      <c r="DK35" s="37">
        <f t="shared" si="130"/>
        <v>3595</v>
      </c>
      <c r="DL35" s="37">
        <f t="shared" si="131"/>
        <v>3596</v>
      </c>
      <c r="DM35" s="37">
        <f t="shared" si="132"/>
        <v>3597</v>
      </c>
      <c r="DN35" s="37">
        <f t="shared" si="133"/>
        <v>3598</v>
      </c>
      <c r="DO35" s="37">
        <f t="shared" si="134"/>
        <v>3599</v>
      </c>
      <c r="DP35" s="38">
        <f t="shared" si="135"/>
        <v>3600</v>
      </c>
    </row>
    <row r="36" spans="1:125" ht="5.75" customHeight="1">
      <c r="A36" s="36">
        <f t="shared" si="136"/>
        <v>3601</v>
      </c>
      <c r="B36" s="37">
        <f t="shared" si="17"/>
        <v>3602</v>
      </c>
      <c r="C36" s="37">
        <f t="shared" si="18"/>
        <v>3603</v>
      </c>
      <c r="D36" s="37">
        <f t="shared" si="19"/>
        <v>3604</v>
      </c>
      <c r="E36" s="37">
        <f t="shared" si="20"/>
        <v>3605</v>
      </c>
      <c r="F36" s="37">
        <f t="shared" si="21"/>
        <v>3606</v>
      </c>
      <c r="G36" s="37">
        <f t="shared" si="22"/>
        <v>3607</v>
      </c>
      <c r="H36" s="37">
        <f t="shared" si="23"/>
        <v>3608</v>
      </c>
      <c r="I36" s="37">
        <f t="shared" si="24"/>
        <v>3609</v>
      </c>
      <c r="J36" s="38">
        <f t="shared" si="25"/>
        <v>3610</v>
      </c>
      <c r="K36" s="36">
        <f t="shared" si="26"/>
        <v>3611</v>
      </c>
      <c r="L36" s="37">
        <f t="shared" si="27"/>
        <v>3612</v>
      </c>
      <c r="M36" s="37">
        <f t="shared" si="28"/>
        <v>3613</v>
      </c>
      <c r="N36" s="37">
        <f t="shared" si="29"/>
        <v>3614</v>
      </c>
      <c r="O36" s="37">
        <f t="shared" si="30"/>
        <v>3615</v>
      </c>
      <c r="P36" s="37">
        <f t="shared" si="31"/>
        <v>3616</v>
      </c>
      <c r="Q36" s="37">
        <f t="shared" si="32"/>
        <v>3617</v>
      </c>
      <c r="R36" s="37">
        <f t="shared" si="33"/>
        <v>3618</v>
      </c>
      <c r="S36" s="37">
        <f t="shared" si="34"/>
        <v>3619</v>
      </c>
      <c r="T36" s="38">
        <f t="shared" si="35"/>
        <v>3620</v>
      </c>
      <c r="U36" s="36">
        <f t="shared" si="36"/>
        <v>3621</v>
      </c>
      <c r="V36" s="37">
        <f t="shared" si="37"/>
        <v>3622</v>
      </c>
      <c r="W36" s="37">
        <f t="shared" si="38"/>
        <v>3623</v>
      </c>
      <c r="X36" s="37">
        <f t="shared" si="39"/>
        <v>3624</v>
      </c>
      <c r="Y36" s="37">
        <f t="shared" si="40"/>
        <v>3625</v>
      </c>
      <c r="Z36" s="37">
        <f t="shared" si="41"/>
        <v>3626</v>
      </c>
      <c r="AA36" s="37">
        <f t="shared" si="42"/>
        <v>3627</v>
      </c>
      <c r="AB36" s="37">
        <f t="shared" si="43"/>
        <v>3628</v>
      </c>
      <c r="AC36" s="37">
        <f t="shared" si="44"/>
        <v>3629</v>
      </c>
      <c r="AD36" s="38">
        <f t="shared" si="45"/>
        <v>3630</v>
      </c>
      <c r="AE36" s="36">
        <f t="shared" si="46"/>
        <v>3631</v>
      </c>
      <c r="AF36" s="37">
        <f t="shared" si="47"/>
        <v>3632</v>
      </c>
      <c r="AG36" s="37">
        <f t="shared" si="48"/>
        <v>3633</v>
      </c>
      <c r="AH36" s="37">
        <f t="shared" si="49"/>
        <v>3634</v>
      </c>
      <c r="AI36" s="37">
        <f t="shared" si="50"/>
        <v>3635</v>
      </c>
      <c r="AJ36" s="37">
        <f t="shared" si="51"/>
        <v>3636</v>
      </c>
      <c r="AK36" s="37">
        <f t="shared" si="52"/>
        <v>3637</v>
      </c>
      <c r="AL36" s="37">
        <f t="shared" si="53"/>
        <v>3638</v>
      </c>
      <c r="AM36" s="37">
        <f t="shared" si="54"/>
        <v>3639</v>
      </c>
      <c r="AN36" s="38">
        <f t="shared" si="55"/>
        <v>3640</v>
      </c>
      <c r="AO36" s="36">
        <f t="shared" si="56"/>
        <v>3641</v>
      </c>
      <c r="AP36" s="37">
        <f t="shared" si="57"/>
        <v>3642</v>
      </c>
      <c r="AQ36" s="37">
        <f t="shared" si="58"/>
        <v>3643</v>
      </c>
      <c r="AR36" s="37">
        <f t="shared" si="59"/>
        <v>3644</v>
      </c>
      <c r="AS36" s="37">
        <f t="shared" si="60"/>
        <v>3645</v>
      </c>
      <c r="AT36" s="37">
        <f t="shared" si="61"/>
        <v>3646</v>
      </c>
      <c r="AU36" s="37">
        <f t="shared" si="62"/>
        <v>3647</v>
      </c>
      <c r="AV36" s="37">
        <f t="shared" si="63"/>
        <v>3648</v>
      </c>
      <c r="AW36" s="37">
        <f t="shared" si="64"/>
        <v>3649</v>
      </c>
      <c r="AX36" s="38">
        <f t="shared" si="65"/>
        <v>3650</v>
      </c>
      <c r="AY36" s="36">
        <f t="shared" si="66"/>
        <v>3651</v>
      </c>
      <c r="AZ36" s="37">
        <f t="shared" si="67"/>
        <v>3652</v>
      </c>
      <c r="BA36" s="37">
        <f t="shared" si="68"/>
        <v>3653</v>
      </c>
      <c r="BB36" s="37">
        <f t="shared" si="69"/>
        <v>3654</v>
      </c>
      <c r="BC36" s="37">
        <f t="shared" si="70"/>
        <v>3655</v>
      </c>
      <c r="BD36" s="37">
        <f t="shared" si="71"/>
        <v>3656</v>
      </c>
      <c r="BE36" s="37">
        <f t="shared" si="72"/>
        <v>3657</v>
      </c>
      <c r="BF36" s="37">
        <f t="shared" si="73"/>
        <v>3658</v>
      </c>
      <c r="BG36" s="37">
        <f t="shared" si="74"/>
        <v>3659</v>
      </c>
      <c r="BH36" s="38">
        <f t="shared" si="75"/>
        <v>3660</v>
      </c>
      <c r="BI36" s="36">
        <f t="shared" si="76"/>
        <v>3661</v>
      </c>
      <c r="BJ36" s="37">
        <f t="shared" si="77"/>
        <v>3662</v>
      </c>
      <c r="BK36" s="37">
        <f t="shared" si="78"/>
        <v>3663</v>
      </c>
      <c r="BL36" s="37">
        <f t="shared" si="79"/>
        <v>3664</v>
      </c>
      <c r="BM36" s="37">
        <f t="shared" si="80"/>
        <v>3665</v>
      </c>
      <c r="BN36" s="37">
        <f t="shared" si="81"/>
        <v>3666</v>
      </c>
      <c r="BO36" s="37">
        <f t="shared" si="82"/>
        <v>3667</v>
      </c>
      <c r="BP36" s="37">
        <f t="shared" si="83"/>
        <v>3668</v>
      </c>
      <c r="BQ36" s="37">
        <f t="shared" si="84"/>
        <v>3669</v>
      </c>
      <c r="BR36" s="39">
        <f t="shared" si="85"/>
        <v>3670</v>
      </c>
      <c r="BS36" s="36">
        <f t="shared" si="86"/>
        <v>3671</v>
      </c>
      <c r="BT36" s="37">
        <f t="shared" si="87"/>
        <v>3672</v>
      </c>
      <c r="BU36" s="37">
        <f t="shared" si="88"/>
        <v>3673</v>
      </c>
      <c r="BV36" s="37">
        <f t="shared" si="89"/>
        <v>3674</v>
      </c>
      <c r="BW36" s="37">
        <f t="shared" si="90"/>
        <v>3675</v>
      </c>
      <c r="BX36" s="37">
        <f t="shared" si="91"/>
        <v>3676</v>
      </c>
      <c r="BY36" s="37">
        <f t="shared" si="92"/>
        <v>3677</v>
      </c>
      <c r="BZ36" s="37">
        <f t="shared" si="93"/>
        <v>3678</v>
      </c>
      <c r="CA36" s="37">
        <f t="shared" si="94"/>
        <v>3679</v>
      </c>
      <c r="CB36" s="38">
        <f t="shared" si="95"/>
        <v>3680</v>
      </c>
      <c r="CC36" s="40">
        <f t="shared" si="96"/>
        <v>3681</v>
      </c>
      <c r="CD36" s="37">
        <f t="shared" si="97"/>
        <v>3682</v>
      </c>
      <c r="CE36" s="37">
        <f t="shared" si="98"/>
        <v>3683</v>
      </c>
      <c r="CF36" s="37">
        <f t="shared" si="99"/>
        <v>3684</v>
      </c>
      <c r="CG36" s="37">
        <f t="shared" si="100"/>
        <v>3685</v>
      </c>
      <c r="CH36" s="37">
        <f t="shared" si="101"/>
        <v>3686</v>
      </c>
      <c r="CI36" s="37">
        <f t="shared" si="102"/>
        <v>3687</v>
      </c>
      <c r="CJ36" s="37">
        <f t="shared" si="103"/>
        <v>3688</v>
      </c>
      <c r="CK36" s="37">
        <f t="shared" si="104"/>
        <v>3689</v>
      </c>
      <c r="CL36" s="39">
        <f t="shared" si="105"/>
        <v>3690</v>
      </c>
      <c r="CM36" s="36">
        <f t="shared" si="106"/>
        <v>3691</v>
      </c>
      <c r="CN36" s="37">
        <f t="shared" si="107"/>
        <v>3692</v>
      </c>
      <c r="CO36" s="37">
        <f t="shared" si="108"/>
        <v>3693</v>
      </c>
      <c r="CP36" s="37">
        <f t="shared" si="109"/>
        <v>3694</v>
      </c>
      <c r="CQ36" s="37">
        <f t="shared" si="110"/>
        <v>3695</v>
      </c>
      <c r="CR36" s="37">
        <f t="shared" si="111"/>
        <v>3696</v>
      </c>
      <c r="CS36" s="37">
        <f t="shared" si="112"/>
        <v>3697</v>
      </c>
      <c r="CT36" s="37">
        <f t="shared" si="113"/>
        <v>3698</v>
      </c>
      <c r="CU36" s="37">
        <f t="shared" si="114"/>
        <v>3699</v>
      </c>
      <c r="CV36" s="38">
        <f t="shared" si="115"/>
        <v>3700</v>
      </c>
      <c r="CW36" s="40">
        <f t="shared" si="116"/>
        <v>3701</v>
      </c>
      <c r="CX36" s="37">
        <f t="shared" si="117"/>
        <v>3702</v>
      </c>
      <c r="CY36" s="37">
        <f t="shared" si="118"/>
        <v>3703</v>
      </c>
      <c r="CZ36" s="37">
        <f t="shared" si="119"/>
        <v>3704</v>
      </c>
      <c r="DA36" s="37">
        <f t="shared" si="120"/>
        <v>3705</v>
      </c>
      <c r="DB36" s="37">
        <f t="shared" si="121"/>
        <v>3706</v>
      </c>
      <c r="DC36" s="37">
        <f t="shared" si="122"/>
        <v>3707</v>
      </c>
      <c r="DD36" s="37">
        <f t="shared" si="123"/>
        <v>3708</v>
      </c>
      <c r="DE36" s="37">
        <f t="shared" si="124"/>
        <v>3709</v>
      </c>
      <c r="DF36" s="39">
        <f t="shared" si="125"/>
        <v>3710</v>
      </c>
      <c r="DG36" s="36">
        <f t="shared" si="126"/>
        <v>3711</v>
      </c>
      <c r="DH36" s="37">
        <f t="shared" si="127"/>
        <v>3712</v>
      </c>
      <c r="DI36" s="37">
        <f t="shared" si="128"/>
        <v>3713</v>
      </c>
      <c r="DJ36" s="37">
        <f t="shared" si="129"/>
        <v>3714</v>
      </c>
      <c r="DK36" s="37">
        <f t="shared" si="130"/>
        <v>3715</v>
      </c>
      <c r="DL36" s="37">
        <f t="shared" si="131"/>
        <v>3716</v>
      </c>
      <c r="DM36" s="37">
        <f t="shared" si="132"/>
        <v>3717</v>
      </c>
      <c r="DN36" s="37">
        <f t="shared" si="133"/>
        <v>3718</v>
      </c>
      <c r="DO36" s="37">
        <f t="shared" si="134"/>
        <v>3719</v>
      </c>
      <c r="DP36" s="38">
        <f t="shared" si="135"/>
        <v>3720</v>
      </c>
      <c r="DR36" s="972">
        <v>0</v>
      </c>
      <c r="DS36" s="973"/>
      <c r="DT36" s="973"/>
      <c r="DU36" s="974"/>
    </row>
    <row r="37" spans="1:125" ht="5.75" customHeight="1">
      <c r="A37" s="36">
        <f t="shared" si="136"/>
        <v>3721</v>
      </c>
      <c r="B37" s="37">
        <f t="shared" si="17"/>
        <v>3722</v>
      </c>
      <c r="C37" s="37">
        <f t="shared" si="18"/>
        <v>3723</v>
      </c>
      <c r="D37" s="37">
        <f t="shared" si="19"/>
        <v>3724</v>
      </c>
      <c r="E37" s="37">
        <f t="shared" si="20"/>
        <v>3725</v>
      </c>
      <c r="F37" s="37">
        <f t="shared" si="21"/>
        <v>3726</v>
      </c>
      <c r="G37" s="37">
        <f t="shared" si="22"/>
        <v>3727</v>
      </c>
      <c r="H37" s="37">
        <f t="shared" si="23"/>
        <v>3728</v>
      </c>
      <c r="I37" s="37">
        <f t="shared" si="24"/>
        <v>3729</v>
      </c>
      <c r="J37" s="38">
        <f t="shared" si="25"/>
        <v>3730</v>
      </c>
      <c r="K37" s="36">
        <f t="shared" si="26"/>
        <v>3731</v>
      </c>
      <c r="L37" s="37">
        <f t="shared" si="27"/>
        <v>3732</v>
      </c>
      <c r="M37" s="37">
        <f t="shared" si="28"/>
        <v>3733</v>
      </c>
      <c r="N37" s="37">
        <f t="shared" si="29"/>
        <v>3734</v>
      </c>
      <c r="O37" s="37">
        <f t="shared" si="30"/>
        <v>3735</v>
      </c>
      <c r="P37" s="37">
        <f t="shared" si="31"/>
        <v>3736</v>
      </c>
      <c r="Q37" s="37">
        <f t="shared" si="32"/>
        <v>3737</v>
      </c>
      <c r="R37" s="37">
        <f t="shared" si="33"/>
        <v>3738</v>
      </c>
      <c r="S37" s="37">
        <f t="shared" si="34"/>
        <v>3739</v>
      </c>
      <c r="T37" s="38">
        <f t="shared" si="35"/>
        <v>3740</v>
      </c>
      <c r="U37" s="36">
        <f t="shared" si="36"/>
        <v>3741</v>
      </c>
      <c r="V37" s="37">
        <f t="shared" si="37"/>
        <v>3742</v>
      </c>
      <c r="W37" s="37">
        <f t="shared" si="38"/>
        <v>3743</v>
      </c>
      <c r="X37" s="37">
        <f t="shared" si="39"/>
        <v>3744</v>
      </c>
      <c r="Y37" s="37">
        <f t="shared" si="40"/>
        <v>3745</v>
      </c>
      <c r="Z37" s="37">
        <f t="shared" si="41"/>
        <v>3746</v>
      </c>
      <c r="AA37" s="37">
        <f t="shared" si="42"/>
        <v>3747</v>
      </c>
      <c r="AB37" s="37">
        <f t="shared" si="43"/>
        <v>3748</v>
      </c>
      <c r="AC37" s="37">
        <f t="shared" si="44"/>
        <v>3749</v>
      </c>
      <c r="AD37" s="38">
        <f t="shared" si="45"/>
        <v>3750</v>
      </c>
      <c r="AE37" s="36">
        <f t="shared" si="46"/>
        <v>3751</v>
      </c>
      <c r="AF37" s="37">
        <f t="shared" si="47"/>
        <v>3752</v>
      </c>
      <c r="AG37" s="37">
        <f t="shared" si="48"/>
        <v>3753</v>
      </c>
      <c r="AH37" s="37">
        <f t="shared" si="49"/>
        <v>3754</v>
      </c>
      <c r="AI37" s="37">
        <f t="shared" si="50"/>
        <v>3755</v>
      </c>
      <c r="AJ37" s="37">
        <f t="shared" si="51"/>
        <v>3756</v>
      </c>
      <c r="AK37" s="37">
        <f t="shared" si="52"/>
        <v>3757</v>
      </c>
      <c r="AL37" s="37">
        <f t="shared" si="53"/>
        <v>3758</v>
      </c>
      <c r="AM37" s="37">
        <f t="shared" si="54"/>
        <v>3759</v>
      </c>
      <c r="AN37" s="38">
        <f t="shared" si="55"/>
        <v>3760</v>
      </c>
      <c r="AO37" s="36">
        <f t="shared" si="56"/>
        <v>3761</v>
      </c>
      <c r="AP37" s="37">
        <f t="shared" si="57"/>
        <v>3762</v>
      </c>
      <c r="AQ37" s="37">
        <f t="shared" si="58"/>
        <v>3763</v>
      </c>
      <c r="AR37" s="37">
        <f t="shared" si="59"/>
        <v>3764</v>
      </c>
      <c r="AS37" s="37">
        <f t="shared" si="60"/>
        <v>3765</v>
      </c>
      <c r="AT37" s="37">
        <f t="shared" si="61"/>
        <v>3766</v>
      </c>
      <c r="AU37" s="37">
        <f t="shared" si="62"/>
        <v>3767</v>
      </c>
      <c r="AV37" s="37">
        <f t="shared" si="63"/>
        <v>3768</v>
      </c>
      <c r="AW37" s="37">
        <f t="shared" si="64"/>
        <v>3769</v>
      </c>
      <c r="AX37" s="38">
        <f t="shared" si="65"/>
        <v>3770</v>
      </c>
      <c r="AY37" s="36">
        <f t="shared" si="66"/>
        <v>3771</v>
      </c>
      <c r="AZ37" s="37">
        <f t="shared" si="67"/>
        <v>3772</v>
      </c>
      <c r="BA37" s="37">
        <f t="shared" si="68"/>
        <v>3773</v>
      </c>
      <c r="BB37" s="37">
        <f t="shared" si="69"/>
        <v>3774</v>
      </c>
      <c r="BC37" s="37">
        <f t="shared" si="70"/>
        <v>3775</v>
      </c>
      <c r="BD37" s="37">
        <f t="shared" si="71"/>
        <v>3776</v>
      </c>
      <c r="BE37" s="37">
        <f t="shared" si="72"/>
        <v>3777</v>
      </c>
      <c r="BF37" s="37">
        <f t="shared" si="73"/>
        <v>3778</v>
      </c>
      <c r="BG37" s="37">
        <f t="shared" si="74"/>
        <v>3779</v>
      </c>
      <c r="BH37" s="38">
        <f t="shared" si="75"/>
        <v>3780</v>
      </c>
      <c r="BI37" s="36">
        <f t="shared" si="76"/>
        <v>3781</v>
      </c>
      <c r="BJ37" s="37">
        <f t="shared" si="77"/>
        <v>3782</v>
      </c>
      <c r="BK37" s="37">
        <f t="shared" si="78"/>
        <v>3783</v>
      </c>
      <c r="BL37" s="37">
        <f t="shared" si="79"/>
        <v>3784</v>
      </c>
      <c r="BM37" s="37">
        <f t="shared" si="80"/>
        <v>3785</v>
      </c>
      <c r="BN37" s="37">
        <f t="shared" si="81"/>
        <v>3786</v>
      </c>
      <c r="BO37" s="37">
        <f t="shared" si="82"/>
        <v>3787</v>
      </c>
      <c r="BP37" s="37">
        <f t="shared" si="83"/>
        <v>3788</v>
      </c>
      <c r="BQ37" s="37">
        <f t="shared" si="84"/>
        <v>3789</v>
      </c>
      <c r="BR37" s="39">
        <f t="shared" si="85"/>
        <v>3790</v>
      </c>
      <c r="BS37" s="36">
        <f t="shared" si="86"/>
        <v>3791</v>
      </c>
      <c r="BT37" s="37">
        <f t="shared" si="87"/>
        <v>3792</v>
      </c>
      <c r="BU37" s="37">
        <f t="shared" si="88"/>
        <v>3793</v>
      </c>
      <c r="BV37" s="37">
        <f t="shared" si="89"/>
        <v>3794</v>
      </c>
      <c r="BW37" s="37">
        <f t="shared" si="90"/>
        <v>3795</v>
      </c>
      <c r="BX37" s="37">
        <f t="shared" si="91"/>
        <v>3796</v>
      </c>
      <c r="BY37" s="37">
        <f t="shared" si="92"/>
        <v>3797</v>
      </c>
      <c r="BZ37" s="37">
        <f t="shared" si="93"/>
        <v>3798</v>
      </c>
      <c r="CA37" s="37">
        <f t="shared" si="94"/>
        <v>3799</v>
      </c>
      <c r="CB37" s="38">
        <f t="shared" si="95"/>
        <v>3800</v>
      </c>
      <c r="CC37" s="40">
        <f t="shared" si="96"/>
        <v>3801</v>
      </c>
      <c r="CD37" s="37">
        <f t="shared" si="97"/>
        <v>3802</v>
      </c>
      <c r="CE37" s="37">
        <f t="shared" si="98"/>
        <v>3803</v>
      </c>
      <c r="CF37" s="37">
        <f t="shared" si="99"/>
        <v>3804</v>
      </c>
      <c r="CG37" s="37">
        <f t="shared" si="100"/>
        <v>3805</v>
      </c>
      <c r="CH37" s="37">
        <f t="shared" si="101"/>
        <v>3806</v>
      </c>
      <c r="CI37" s="37">
        <f t="shared" si="102"/>
        <v>3807</v>
      </c>
      <c r="CJ37" s="37">
        <f t="shared" si="103"/>
        <v>3808</v>
      </c>
      <c r="CK37" s="37">
        <f t="shared" si="104"/>
        <v>3809</v>
      </c>
      <c r="CL37" s="39">
        <f t="shared" si="105"/>
        <v>3810</v>
      </c>
      <c r="CM37" s="36">
        <f t="shared" si="106"/>
        <v>3811</v>
      </c>
      <c r="CN37" s="37">
        <f t="shared" si="107"/>
        <v>3812</v>
      </c>
      <c r="CO37" s="37">
        <f t="shared" si="108"/>
        <v>3813</v>
      </c>
      <c r="CP37" s="37">
        <f t="shared" si="109"/>
        <v>3814</v>
      </c>
      <c r="CQ37" s="37">
        <f t="shared" si="110"/>
        <v>3815</v>
      </c>
      <c r="CR37" s="37">
        <f t="shared" si="111"/>
        <v>3816</v>
      </c>
      <c r="CS37" s="37">
        <f t="shared" si="112"/>
        <v>3817</v>
      </c>
      <c r="CT37" s="37">
        <f t="shared" si="113"/>
        <v>3818</v>
      </c>
      <c r="CU37" s="37">
        <f t="shared" si="114"/>
        <v>3819</v>
      </c>
      <c r="CV37" s="38">
        <f t="shared" si="115"/>
        <v>3820</v>
      </c>
      <c r="CW37" s="40">
        <f t="shared" si="116"/>
        <v>3821</v>
      </c>
      <c r="CX37" s="37">
        <f t="shared" si="117"/>
        <v>3822</v>
      </c>
      <c r="CY37" s="37">
        <f t="shared" si="118"/>
        <v>3823</v>
      </c>
      <c r="CZ37" s="37">
        <f t="shared" si="119"/>
        <v>3824</v>
      </c>
      <c r="DA37" s="37">
        <f t="shared" si="120"/>
        <v>3825</v>
      </c>
      <c r="DB37" s="37">
        <f t="shared" si="121"/>
        <v>3826</v>
      </c>
      <c r="DC37" s="37">
        <f t="shared" si="122"/>
        <v>3827</v>
      </c>
      <c r="DD37" s="37">
        <f t="shared" si="123"/>
        <v>3828</v>
      </c>
      <c r="DE37" s="37">
        <f t="shared" si="124"/>
        <v>3829</v>
      </c>
      <c r="DF37" s="39">
        <f t="shared" si="125"/>
        <v>3830</v>
      </c>
      <c r="DG37" s="36">
        <f t="shared" si="126"/>
        <v>3831</v>
      </c>
      <c r="DH37" s="37">
        <f t="shared" si="127"/>
        <v>3832</v>
      </c>
      <c r="DI37" s="37">
        <f t="shared" si="128"/>
        <v>3833</v>
      </c>
      <c r="DJ37" s="37">
        <f t="shared" si="129"/>
        <v>3834</v>
      </c>
      <c r="DK37" s="37">
        <f t="shared" si="130"/>
        <v>3835</v>
      </c>
      <c r="DL37" s="37">
        <f t="shared" si="131"/>
        <v>3836</v>
      </c>
      <c r="DM37" s="37">
        <f t="shared" si="132"/>
        <v>3837</v>
      </c>
      <c r="DN37" s="37">
        <f t="shared" si="133"/>
        <v>3838</v>
      </c>
      <c r="DO37" s="37">
        <f t="shared" si="134"/>
        <v>3839</v>
      </c>
      <c r="DP37" s="38">
        <f t="shared" si="135"/>
        <v>3840</v>
      </c>
      <c r="DR37" s="966"/>
      <c r="DS37" s="967"/>
      <c r="DT37" s="967"/>
      <c r="DU37" s="968"/>
    </row>
    <row r="38" spans="1:125" ht="5.75" customHeight="1">
      <c r="A38" s="36">
        <f t="shared" si="136"/>
        <v>3841</v>
      </c>
      <c r="B38" s="37">
        <f t="shared" si="17"/>
        <v>3842</v>
      </c>
      <c r="C38" s="37">
        <f t="shared" si="18"/>
        <v>3843</v>
      </c>
      <c r="D38" s="37">
        <f t="shared" si="19"/>
        <v>3844</v>
      </c>
      <c r="E38" s="37">
        <f t="shared" si="20"/>
        <v>3845</v>
      </c>
      <c r="F38" s="37">
        <f t="shared" si="21"/>
        <v>3846</v>
      </c>
      <c r="G38" s="37">
        <f t="shared" si="22"/>
        <v>3847</v>
      </c>
      <c r="H38" s="37">
        <f t="shared" si="23"/>
        <v>3848</v>
      </c>
      <c r="I38" s="37">
        <f t="shared" si="24"/>
        <v>3849</v>
      </c>
      <c r="J38" s="38">
        <f t="shared" si="25"/>
        <v>3850</v>
      </c>
      <c r="K38" s="36">
        <f t="shared" si="26"/>
        <v>3851</v>
      </c>
      <c r="L38" s="37">
        <f t="shared" si="27"/>
        <v>3852</v>
      </c>
      <c r="M38" s="37">
        <f t="shared" si="28"/>
        <v>3853</v>
      </c>
      <c r="N38" s="37">
        <f t="shared" si="29"/>
        <v>3854</v>
      </c>
      <c r="O38" s="37">
        <f t="shared" si="30"/>
        <v>3855</v>
      </c>
      <c r="P38" s="37">
        <f t="shared" si="31"/>
        <v>3856</v>
      </c>
      <c r="Q38" s="37">
        <f t="shared" si="32"/>
        <v>3857</v>
      </c>
      <c r="R38" s="37">
        <f t="shared" si="33"/>
        <v>3858</v>
      </c>
      <c r="S38" s="37">
        <f t="shared" si="34"/>
        <v>3859</v>
      </c>
      <c r="T38" s="38">
        <f t="shared" si="35"/>
        <v>3860</v>
      </c>
      <c r="U38" s="36">
        <f t="shared" si="36"/>
        <v>3861</v>
      </c>
      <c r="V38" s="37">
        <f t="shared" si="37"/>
        <v>3862</v>
      </c>
      <c r="W38" s="37">
        <f t="shared" si="38"/>
        <v>3863</v>
      </c>
      <c r="X38" s="37">
        <f t="shared" si="39"/>
        <v>3864</v>
      </c>
      <c r="Y38" s="37">
        <f t="shared" si="40"/>
        <v>3865</v>
      </c>
      <c r="Z38" s="37">
        <f t="shared" si="41"/>
        <v>3866</v>
      </c>
      <c r="AA38" s="37">
        <f t="shared" si="42"/>
        <v>3867</v>
      </c>
      <c r="AB38" s="37">
        <f t="shared" si="43"/>
        <v>3868</v>
      </c>
      <c r="AC38" s="37">
        <f t="shared" si="44"/>
        <v>3869</v>
      </c>
      <c r="AD38" s="38">
        <f t="shared" si="45"/>
        <v>3870</v>
      </c>
      <c r="AE38" s="36">
        <f t="shared" si="46"/>
        <v>3871</v>
      </c>
      <c r="AF38" s="37">
        <f t="shared" si="47"/>
        <v>3872</v>
      </c>
      <c r="AG38" s="37">
        <f t="shared" si="48"/>
        <v>3873</v>
      </c>
      <c r="AH38" s="37">
        <f t="shared" si="49"/>
        <v>3874</v>
      </c>
      <c r="AI38" s="37">
        <f t="shared" si="50"/>
        <v>3875</v>
      </c>
      <c r="AJ38" s="37">
        <f t="shared" si="51"/>
        <v>3876</v>
      </c>
      <c r="AK38" s="37">
        <f t="shared" si="52"/>
        <v>3877</v>
      </c>
      <c r="AL38" s="37">
        <f t="shared" si="53"/>
        <v>3878</v>
      </c>
      <c r="AM38" s="37">
        <f t="shared" si="54"/>
        <v>3879</v>
      </c>
      <c r="AN38" s="38">
        <f t="shared" si="55"/>
        <v>3880</v>
      </c>
      <c r="AO38" s="36">
        <f t="shared" si="56"/>
        <v>3881</v>
      </c>
      <c r="AP38" s="37">
        <f t="shared" si="57"/>
        <v>3882</v>
      </c>
      <c r="AQ38" s="37">
        <f t="shared" si="58"/>
        <v>3883</v>
      </c>
      <c r="AR38" s="37">
        <f t="shared" si="59"/>
        <v>3884</v>
      </c>
      <c r="AS38" s="37">
        <f t="shared" si="60"/>
        <v>3885</v>
      </c>
      <c r="AT38" s="37">
        <f t="shared" si="61"/>
        <v>3886</v>
      </c>
      <c r="AU38" s="37">
        <f t="shared" si="62"/>
        <v>3887</v>
      </c>
      <c r="AV38" s="37">
        <f t="shared" si="63"/>
        <v>3888</v>
      </c>
      <c r="AW38" s="37">
        <f t="shared" si="64"/>
        <v>3889</v>
      </c>
      <c r="AX38" s="38">
        <f t="shared" si="65"/>
        <v>3890</v>
      </c>
      <c r="AY38" s="36">
        <f t="shared" si="66"/>
        <v>3891</v>
      </c>
      <c r="AZ38" s="37">
        <f t="shared" si="67"/>
        <v>3892</v>
      </c>
      <c r="BA38" s="37">
        <f t="shared" si="68"/>
        <v>3893</v>
      </c>
      <c r="BB38" s="37">
        <f t="shared" si="69"/>
        <v>3894</v>
      </c>
      <c r="BC38" s="37">
        <f t="shared" si="70"/>
        <v>3895</v>
      </c>
      <c r="BD38" s="37">
        <f t="shared" si="71"/>
        <v>3896</v>
      </c>
      <c r="BE38" s="37">
        <f t="shared" si="72"/>
        <v>3897</v>
      </c>
      <c r="BF38" s="37">
        <f t="shared" si="73"/>
        <v>3898</v>
      </c>
      <c r="BG38" s="37">
        <f t="shared" si="74"/>
        <v>3899</v>
      </c>
      <c r="BH38" s="38">
        <f t="shared" si="75"/>
        <v>3900</v>
      </c>
      <c r="BI38" s="36">
        <f t="shared" si="76"/>
        <v>3901</v>
      </c>
      <c r="BJ38" s="37">
        <f t="shared" si="77"/>
        <v>3902</v>
      </c>
      <c r="BK38" s="37">
        <f t="shared" si="78"/>
        <v>3903</v>
      </c>
      <c r="BL38" s="37">
        <f t="shared" si="79"/>
        <v>3904</v>
      </c>
      <c r="BM38" s="37">
        <f t="shared" si="80"/>
        <v>3905</v>
      </c>
      <c r="BN38" s="37">
        <f t="shared" si="81"/>
        <v>3906</v>
      </c>
      <c r="BO38" s="37">
        <f t="shared" si="82"/>
        <v>3907</v>
      </c>
      <c r="BP38" s="37">
        <f t="shared" si="83"/>
        <v>3908</v>
      </c>
      <c r="BQ38" s="37">
        <f t="shared" si="84"/>
        <v>3909</v>
      </c>
      <c r="BR38" s="39">
        <f t="shared" si="85"/>
        <v>3910</v>
      </c>
      <c r="BS38" s="36">
        <f t="shared" si="86"/>
        <v>3911</v>
      </c>
      <c r="BT38" s="37">
        <f t="shared" si="87"/>
        <v>3912</v>
      </c>
      <c r="BU38" s="37">
        <f t="shared" si="88"/>
        <v>3913</v>
      </c>
      <c r="BV38" s="37">
        <f t="shared" si="89"/>
        <v>3914</v>
      </c>
      <c r="BW38" s="37">
        <f t="shared" si="90"/>
        <v>3915</v>
      </c>
      <c r="BX38" s="37">
        <f t="shared" si="91"/>
        <v>3916</v>
      </c>
      <c r="BY38" s="37">
        <f t="shared" si="92"/>
        <v>3917</v>
      </c>
      <c r="BZ38" s="37">
        <f t="shared" si="93"/>
        <v>3918</v>
      </c>
      <c r="CA38" s="37">
        <f t="shared" si="94"/>
        <v>3919</v>
      </c>
      <c r="CB38" s="38">
        <f t="shared" si="95"/>
        <v>3920</v>
      </c>
      <c r="CC38" s="40">
        <f t="shared" si="96"/>
        <v>3921</v>
      </c>
      <c r="CD38" s="37">
        <f t="shared" si="97"/>
        <v>3922</v>
      </c>
      <c r="CE38" s="37">
        <f t="shared" si="98"/>
        <v>3923</v>
      </c>
      <c r="CF38" s="37">
        <f t="shared" si="99"/>
        <v>3924</v>
      </c>
      <c r="CG38" s="37">
        <f t="shared" si="100"/>
        <v>3925</v>
      </c>
      <c r="CH38" s="37">
        <f t="shared" si="101"/>
        <v>3926</v>
      </c>
      <c r="CI38" s="37">
        <f t="shared" si="102"/>
        <v>3927</v>
      </c>
      <c r="CJ38" s="37">
        <f t="shared" si="103"/>
        <v>3928</v>
      </c>
      <c r="CK38" s="37">
        <f t="shared" si="104"/>
        <v>3929</v>
      </c>
      <c r="CL38" s="39">
        <f t="shared" si="105"/>
        <v>3930</v>
      </c>
      <c r="CM38" s="36">
        <f t="shared" si="106"/>
        <v>3931</v>
      </c>
      <c r="CN38" s="37">
        <f t="shared" si="107"/>
        <v>3932</v>
      </c>
      <c r="CO38" s="37">
        <f t="shared" si="108"/>
        <v>3933</v>
      </c>
      <c r="CP38" s="37">
        <f t="shared" si="109"/>
        <v>3934</v>
      </c>
      <c r="CQ38" s="37">
        <f t="shared" si="110"/>
        <v>3935</v>
      </c>
      <c r="CR38" s="37">
        <f t="shared" si="111"/>
        <v>3936</v>
      </c>
      <c r="CS38" s="37">
        <f t="shared" si="112"/>
        <v>3937</v>
      </c>
      <c r="CT38" s="37">
        <f t="shared" si="113"/>
        <v>3938</v>
      </c>
      <c r="CU38" s="37">
        <f t="shared" si="114"/>
        <v>3939</v>
      </c>
      <c r="CV38" s="38">
        <f t="shared" si="115"/>
        <v>3940</v>
      </c>
      <c r="CW38" s="40">
        <f t="shared" si="116"/>
        <v>3941</v>
      </c>
      <c r="CX38" s="37">
        <f t="shared" si="117"/>
        <v>3942</v>
      </c>
      <c r="CY38" s="37">
        <f t="shared" si="118"/>
        <v>3943</v>
      </c>
      <c r="CZ38" s="37">
        <f t="shared" si="119"/>
        <v>3944</v>
      </c>
      <c r="DA38" s="37">
        <f t="shared" si="120"/>
        <v>3945</v>
      </c>
      <c r="DB38" s="37">
        <f t="shared" si="121"/>
        <v>3946</v>
      </c>
      <c r="DC38" s="37">
        <f t="shared" si="122"/>
        <v>3947</v>
      </c>
      <c r="DD38" s="37">
        <f t="shared" si="123"/>
        <v>3948</v>
      </c>
      <c r="DE38" s="37">
        <f t="shared" si="124"/>
        <v>3949</v>
      </c>
      <c r="DF38" s="39">
        <f t="shared" si="125"/>
        <v>3950</v>
      </c>
      <c r="DG38" s="36">
        <f t="shared" si="126"/>
        <v>3951</v>
      </c>
      <c r="DH38" s="37">
        <f t="shared" si="127"/>
        <v>3952</v>
      </c>
      <c r="DI38" s="37">
        <f t="shared" si="128"/>
        <v>3953</v>
      </c>
      <c r="DJ38" s="37">
        <f t="shared" si="129"/>
        <v>3954</v>
      </c>
      <c r="DK38" s="37">
        <f t="shared" si="130"/>
        <v>3955</v>
      </c>
      <c r="DL38" s="37">
        <f t="shared" si="131"/>
        <v>3956</v>
      </c>
      <c r="DM38" s="37">
        <f t="shared" si="132"/>
        <v>3957</v>
      </c>
      <c r="DN38" s="37">
        <f t="shared" si="133"/>
        <v>3958</v>
      </c>
      <c r="DO38" s="37">
        <f t="shared" si="134"/>
        <v>3959</v>
      </c>
      <c r="DP38" s="38">
        <f t="shared" si="135"/>
        <v>3960</v>
      </c>
      <c r="DR38" s="966"/>
      <c r="DS38" s="967"/>
      <c r="DT38" s="967"/>
      <c r="DU38" s="968"/>
    </row>
    <row r="39" spans="1:125" ht="5.75" customHeight="1">
      <c r="A39" s="36">
        <f t="shared" si="136"/>
        <v>3961</v>
      </c>
      <c r="B39" s="37">
        <f t="shared" si="17"/>
        <v>3962</v>
      </c>
      <c r="C39" s="37">
        <f t="shared" si="18"/>
        <v>3963</v>
      </c>
      <c r="D39" s="37">
        <f t="shared" si="19"/>
        <v>3964</v>
      </c>
      <c r="E39" s="37">
        <f t="shared" si="20"/>
        <v>3965</v>
      </c>
      <c r="F39" s="37">
        <f t="shared" si="21"/>
        <v>3966</v>
      </c>
      <c r="G39" s="37">
        <f t="shared" si="22"/>
        <v>3967</v>
      </c>
      <c r="H39" s="37">
        <f t="shared" si="23"/>
        <v>3968</v>
      </c>
      <c r="I39" s="37">
        <f t="shared" si="24"/>
        <v>3969</v>
      </c>
      <c r="J39" s="38">
        <f t="shared" si="25"/>
        <v>3970</v>
      </c>
      <c r="K39" s="36">
        <f t="shared" si="26"/>
        <v>3971</v>
      </c>
      <c r="L39" s="37">
        <f t="shared" si="27"/>
        <v>3972</v>
      </c>
      <c r="M39" s="37">
        <f t="shared" si="28"/>
        <v>3973</v>
      </c>
      <c r="N39" s="37">
        <f t="shared" si="29"/>
        <v>3974</v>
      </c>
      <c r="O39" s="37">
        <f t="shared" si="30"/>
        <v>3975</v>
      </c>
      <c r="P39" s="37">
        <f t="shared" si="31"/>
        <v>3976</v>
      </c>
      <c r="Q39" s="37">
        <f t="shared" si="32"/>
        <v>3977</v>
      </c>
      <c r="R39" s="37">
        <f t="shared" si="33"/>
        <v>3978</v>
      </c>
      <c r="S39" s="37">
        <f t="shared" si="34"/>
        <v>3979</v>
      </c>
      <c r="T39" s="38">
        <f t="shared" si="35"/>
        <v>3980</v>
      </c>
      <c r="U39" s="36">
        <f t="shared" si="36"/>
        <v>3981</v>
      </c>
      <c r="V39" s="37">
        <f t="shared" si="37"/>
        <v>3982</v>
      </c>
      <c r="W39" s="37">
        <f t="shared" si="38"/>
        <v>3983</v>
      </c>
      <c r="X39" s="37">
        <f t="shared" si="39"/>
        <v>3984</v>
      </c>
      <c r="Y39" s="37">
        <f t="shared" si="40"/>
        <v>3985</v>
      </c>
      <c r="Z39" s="37">
        <f t="shared" si="41"/>
        <v>3986</v>
      </c>
      <c r="AA39" s="37">
        <f t="shared" si="42"/>
        <v>3987</v>
      </c>
      <c r="AB39" s="37">
        <f t="shared" si="43"/>
        <v>3988</v>
      </c>
      <c r="AC39" s="37">
        <f t="shared" si="44"/>
        <v>3989</v>
      </c>
      <c r="AD39" s="38">
        <f t="shared" si="45"/>
        <v>3990</v>
      </c>
      <c r="AE39" s="36">
        <f t="shared" si="46"/>
        <v>3991</v>
      </c>
      <c r="AF39" s="37">
        <f t="shared" si="47"/>
        <v>3992</v>
      </c>
      <c r="AG39" s="37">
        <f t="shared" si="48"/>
        <v>3993</v>
      </c>
      <c r="AH39" s="37">
        <f t="shared" si="49"/>
        <v>3994</v>
      </c>
      <c r="AI39" s="37">
        <f t="shared" si="50"/>
        <v>3995</v>
      </c>
      <c r="AJ39" s="37">
        <f t="shared" si="51"/>
        <v>3996</v>
      </c>
      <c r="AK39" s="37">
        <f t="shared" si="52"/>
        <v>3997</v>
      </c>
      <c r="AL39" s="37">
        <f t="shared" si="53"/>
        <v>3998</v>
      </c>
      <c r="AM39" s="37">
        <f t="shared" si="54"/>
        <v>3999</v>
      </c>
      <c r="AN39" s="38">
        <f t="shared" si="55"/>
        <v>4000</v>
      </c>
      <c r="AO39" s="36">
        <f t="shared" si="56"/>
        <v>4001</v>
      </c>
      <c r="AP39" s="37">
        <f t="shared" si="57"/>
        <v>4002</v>
      </c>
      <c r="AQ39" s="37">
        <f t="shared" si="58"/>
        <v>4003</v>
      </c>
      <c r="AR39" s="37">
        <f t="shared" si="59"/>
        <v>4004</v>
      </c>
      <c r="AS39" s="37">
        <f t="shared" si="60"/>
        <v>4005</v>
      </c>
      <c r="AT39" s="37">
        <f t="shared" si="61"/>
        <v>4006</v>
      </c>
      <c r="AU39" s="37">
        <f t="shared" si="62"/>
        <v>4007</v>
      </c>
      <c r="AV39" s="37">
        <f t="shared" si="63"/>
        <v>4008</v>
      </c>
      <c r="AW39" s="37">
        <f t="shared" si="64"/>
        <v>4009</v>
      </c>
      <c r="AX39" s="38">
        <f t="shared" si="65"/>
        <v>4010</v>
      </c>
      <c r="AY39" s="36">
        <f t="shared" si="66"/>
        <v>4011</v>
      </c>
      <c r="AZ39" s="37">
        <f t="shared" si="67"/>
        <v>4012</v>
      </c>
      <c r="BA39" s="37">
        <f t="shared" si="68"/>
        <v>4013</v>
      </c>
      <c r="BB39" s="37">
        <f t="shared" si="69"/>
        <v>4014</v>
      </c>
      <c r="BC39" s="37">
        <f t="shared" si="70"/>
        <v>4015</v>
      </c>
      <c r="BD39" s="37">
        <f t="shared" si="71"/>
        <v>4016</v>
      </c>
      <c r="BE39" s="37">
        <f t="shared" si="72"/>
        <v>4017</v>
      </c>
      <c r="BF39" s="37">
        <f t="shared" si="73"/>
        <v>4018</v>
      </c>
      <c r="BG39" s="37">
        <f t="shared" si="74"/>
        <v>4019</v>
      </c>
      <c r="BH39" s="38">
        <f t="shared" si="75"/>
        <v>4020</v>
      </c>
      <c r="BI39" s="36">
        <f t="shared" si="76"/>
        <v>4021</v>
      </c>
      <c r="BJ39" s="37">
        <f t="shared" si="77"/>
        <v>4022</v>
      </c>
      <c r="BK39" s="37">
        <f t="shared" si="78"/>
        <v>4023</v>
      </c>
      <c r="BL39" s="37">
        <f t="shared" si="79"/>
        <v>4024</v>
      </c>
      <c r="BM39" s="37">
        <f t="shared" si="80"/>
        <v>4025</v>
      </c>
      <c r="BN39" s="37">
        <f t="shared" si="81"/>
        <v>4026</v>
      </c>
      <c r="BO39" s="37">
        <f t="shared" si="82"/>
        <v>4027</v>
      </c>
      <c r="BP39" s="37">
        <f t="shared" si="83"/>
        <v>4028</v>
      </c>
      <c r="BQ39" s="37">
        <f t="shared" si="84"/>
        <v>4029</v>
      </c>
      <c r="BR39" s="39">
        <f t="shared" si="85"/>
        <v>4030</v>
      </c>
      <c r="BS39" s="36">
        <f t="shared" si="86"/>
        <v>4031</v>
      </c>
      <c r="BT39" s="37">
        <f t="shared" si="87"/>
        <v>4032</v>
      </c>
      <c r="BU39" s="37">
        <f t="shared" si="88"/>
        <v>4033</v>
      </c>
      <c r="BV39" s="37">
        <f t="shared" si="89"/>
        <v>4034</v>
      </c>
      <c r="BW39" s="37">
        <f t="shared" si="90"/>
        <v>4035</v>
      </c>
      <c r="BX39" s="37">
        <f t="shared" si="91"/>
        <v>4036</v>
      </c>
      <c r="BY39" s="37">
        <f t="shared" si="92"/>
        <v>4037</v>
      </c>
      <c r="BZ39" s="37">
        <f t="shared" si="93"/>
        <v>4038</v>
      </c>
      <c r="CA39" s="37">
        <f t="shared" si="94"/>
        <v>4039</v>
      </c>
      <c r="CB39" s="38">
        <f t="shared" si="95"/>
        <v>4040</v>
      </c>
      <c r="CC39" s="40">
        <f t="shared" si="96"/>
        <v>4041</v>
      </c>
      <c r="CD39" s="37">
        <f t="shared" si="97"/>
        <v>4042</v>
      </c>
      <c r="CE39" s="37">
        <f t="shared" si="98"/>
        <v>4043</v>
      </c>
      <c r="CF39" s="37">
        <f t="shared" si="99"/>
        <v>4044</v>
      </c>
      <c r="CG39" s="37">
        <f t="shared" si="100"/>
        <v>4045</v>
      </c>
      <c r="CH39" s="37">
        <f t="shared" si="101"/>
        <v>4046</v>
      </c>
      <c r="CI39" s="37">
        <f t="shared" si="102"/>
        <v>4047</v>
      </c>
      <c r="CJ39" s="37">
        <f t="shared" si="103"/>
        <v>4048</v>
      </c>
      <c r="CK39" s="37">
        <f t="shared" si="104"/>
        <v>4049</v>
      </c>
      <c r="CL39" s="39">
        <f t="shared" si="105"/>
        <v>4050</v>
      </c>
      <c r="CM39" s="36">
        <f t="shared" si="106"/>
        <v>4051</v>
      </c>
      <c r="CN39" s="37">
        <f t="shared" si="107"/>
        <v>4052</v>
      </c>
      <c r="CO39" s="37">
        <f t="shared" si="108"/>
        <v>4053</v>
      </c>
      <c r="CP39" s="37">
        <f t="shared" si="109"/>
        <v>4054</v>
      </c>
      <c r="CQ39" s="37">
        <f t="shared" si="110"/>
        <v>4055</v>
      </c>
      <c r="CR39" s="37">
        <f t="shared" si="111"/>
        <v>4056</v>
      </c>
      <c r="CS39" s="37">
        <f t="shared" si="112"/>
        <v>4057</v>
      </c>
      <c r="CT39" s="37">
        <f t="shared" si="113"/>
        <v>4058</v>
      </c>
      <c r="CU39" s="37">
        <f t="shared" si="114"/>
        <v>4059</v>
      </c>
      <c r="CV39" s="38">
        <f t="shared" si="115"/>
        <v>4060</v>
      </c>
      <c r="CW39" s="40">
        <f t="shared" si="116"/>
        <v>4061</v>
      </c>
      <c r="CX39" s="37">
        <f t="shared" si="117"/>
        <v>4062</v>
      </c>
      <c r="CY39" s="37">
        <f t="shared" si="118"/>
        <v>4063</v>
      </c>
      <c r="CZ39" s="37">
        <f t="shared" si="119"/>
        <v>4064</v>
      </c>
      <c r="DA39" s="37">
        <f t="shared" si="120"/>
        <v>4065</v>
      </c>
      <c r="DB39" s="37">
        <f t="shared" si="121"/>
        <v>4066</v>
      </c>
      <c r="DC39" s="37">
        <f t="shared" si="122"/>
        <v>4067</v>
      </c>
      <c r="DD39" s="37">
        <f t="shared" si="123"/>
        <v>4068</v>
      </c>
      <c r="DE39" s="37">
        <f t="shared" si="124"/>
        <v>4069</v>
      </c>
      <c r="DF39" s="39">
        <f t="shared" si="125"/>
        <v>4070</v>
      </c>
      <c r="DG39" s="36">
        <f t="shared" si="126"/>
        <v>4071</v>
      </c>
      <c r="DH39" s="37">
        <f t="shared" si="127"/>
        <v>4072</v>
      </c>
      <c r="DI39" s="37">
        <f t="shared" si="128"/>
        <v>4073</v>
      </c>
      <c r="DJ39" s="37">
        <f t="shared" si="129"/>
        <v>4074</v>
      </c>
      <c r="DK39" s="37">
        <f t="shared" si="130"/>
        <v>4075</v>
      </c>
      <c r="DL39" s="37">
        <f t="shared" si="131"/>
        <v>4076</v>
      </c>
      <c r="DM39" s="37">
        <f t="shared" si="132"/>
        <v>4077</v>
      </c>
      <c r="DN39" s="37">
        <f t="shared" si="133"/>
        <v>4078</v>
      </c>
      <c r="DO39" s="37">
        <f t="shared" si="134"/>
        <v>4079</v>
      </c>
      <c r="DP39" s="38">
        <f t="shared" si="135"/>
        <v>4080</v>
      </c>
      <c r="DR39" s="966">
        <v>10</v>
      </c>
      <c r="DS39" s="967"/>
      <c r="DT39" s="967"/>
      <c r="DU39" s="968"/>
    </row>
    <row r="40" spans="1:125" ht="5.75" customHeight="1">
      <c r="A40" s="36">
        <f t="shared" si="136"/>
        <v>4081</v>
      </c>
      <c r="B40" s="37">
        <f t="shared" si="17"/>
        <v>4082</v>
      </c>
      <c r="C40" s="37">
        <f t="shared" si="18"/>
        <v>4083</v>
      </c>
      <c r="D40" s="37">
        <f t="shared" si="19"/>
        <v>4084</v>
      </c>
      <c r="E40" s="37">
        <f t="shared" si="20"/>
        <v>4085</v>
      </c>
      <c r="F40" s="37">
        <f t="shared" si="21"/>
        <v>4086</v>
      </c>
      <c r="G40" s="37">
        <f t="shared" si="22"/>
        <v>4087</v>
      </c>
      <c r="H40" s="37">
        <f t="shared" si="23"/>
        <v>4088</v>
      </c>
      <c r="I40" s="37">
        <f t="shared" si="24"/>
        <v>4089</v>
      </c>
      <c r="J40" s="38">
        <f t="shared" si="25"/>
        <v>4090</v>
      </c>
      <c r="K40" s="36">
        <f t="shared" si="26"/>
        <v>4091</v>
      </c>
      <c r="L40" s="37">
        <f t="shared" si="27"/>
        <v>4092</v>
      </c>
      <c r="M40" s="37">
        <f t="shared" si="28"/>
        <v>4093</v>
      </c>
      <c r="N40" s="37">
        <f t="shared" si="29"/>
        <v>4094</v>
      </c>
      <c r="O40" s="37">
        <f t="shared" si="30"/>
        <v>4095</v>
      </c>
      <c r="P40" s="37">
        <f t="shared" si="31"/>
        <v>4096</v>
      </c>
      <c r="Q40" s="37">
        <f t="shared" si="32"/>
        <v>4097</v>
      </c>
      <c r="R40" s="37">
        <f t="shared" si="33"/>
        <v>4098</v>
      </c>
      <c r="S40" s="37">
        <f t="shared" si="34"/>
        <v>4099</v>
      </c>
      <c r="T40" s="38">
        <f t="shared" si="35"/>
        <v>4100</v>
      </c>
      <c r="U40" s="36">
        <f t="shared" si="36"/>
        <v>4101</v>
      </c>
      <c r="V40" s="37">
        <f t="shared" si="37"/>
        <v>4102</v>
      </c>
      <c r="W40" s="37">
        <f t="shared" si="38"/>
        <v>4103</v>
      </c>
      <c r="X40" s="37">
        <f t="shared" si="39"/>
        <v>4104</v>
      </c>
      <c r="Y40" s="37">
        <f t="shared" si="40"/>
        <v>4105</v>
      </c>
      <c r="Z40" s="37">
        <f t="shared" si="41"/>
        <v>4106</v>
      </c>
      <c r="AA40" s="37">
        <f t="shared" si="42"/>
        <v>4107</v>
      </c>
      <c r="AB40" s="37">
        <f t="shared" si="43"/>
        <v>4108</v>
      </c>
      <c r="AC40" s="37">
        <f t="shared" si="44"/>
        <v>4109</v>
      </c>
      <c r="AD40" s="38">
        <f t="shared" si="45"/>
        <v>4110</v>
      </c>
      <c r="AE40" s="36">
        <f t="shared" si="46"/>
        <v>4111</v>
      </c>
      <c r="AF40" s="37">
        <f t="shared" si="47"/>
        <v>4112</v>
      </c>
      <c r="AG40" s="37">
        <f t="shared" si="48"/>
        <v>4113</v>
      </c>
      <c r="AH40" s="37">
        <f t="shared" si="49"/>
        <v>4114</v>
      </c>
      <c r="AI40" s="37">
        <f t="shared" si="50"/>
        <v>4115</v>
      </c>
      <c r="AJ40" s="37">
        <f t="shared" si="51"/>
        <v>4116</v>
      </c>
      <c r="AK40" s="37">
        <f t="shared" si="52"/>
        <v>4117</v>
      </c>
      <c r="AL40" s="37">
        <f t="shared" si="53"/>
        <v>4118</v>
      </c>
      <c r="AM40" s="37">
        <f t="shared" si="54"/>
        <v>4119</v>
      </c>
      <c r="AN40" s="38">
        <f t="shared" si="55"/>
        <v>4120</v>
      </c>
      <c r="AO40" s="36">
        <f t="shared" si="56"/>
        <v>4121</v>
      </c>
      <c r="AP40" s="37">
        <f t="shared" si="57"/>
        <v>4122</v>
      </c>
      <c r="AQ40" s="37">
        <f t="shared" si="58"/>
        <v>4123</v>
      </c>
      <c r="AR40" s="37">
        <f t="shared" si="59"/>
        <v>4124</v>
      </c>
      <c r="AS40" s="37">
        <f t="shared" si="60"/>
        <v>4125</v>
      </c>
      <c r="AT40" s="37">
        <f t="shared" si="61"/>
        <v>4126</v>
      </c>
      <c r="AU40" s="37">
        <f t="shared" si="62"/>
        <v>4127</v>
      </c>
      <c r="AV40" s="37">
        <f t="shared" si="63"/>
        <v>4128</v>
      </c>
      <c r="AW40" s="37">
        <f t="shared" si="64"/>
        <v>4129</v>
      </c>
      <c r="AX40" s="38">
        <f t="shared" si="65"/>
        <v>4130</v>
      </c>
      <c r="AY40" s="36">
        <f t="shared" si="66"/>
        <v>4131</v>
      </c>
      <c r="AZ40" s="37">
        <f t="shared" si="67"/>
        <v>4132</v>
      </c>
      <c r="BA40" s="37">
        <f t="shared" si="68"/>
        <v>4133</v>
      </c>
      <c r="BB40" s="37">
        <f t="shared" si="69"/>
        <v>4134</v>
      </c>
      <c r="BC40" s="37">
        <f t="shared" si="70"/>
        <v>4135</v>
      </c>
      <c r="BD40" s="37">
        <f t="shared" si="71"/>
        <v>4136</v>
      </c>
      <c r="BE40" s="37">
        <f t="shared" si="72"/>
        <v>4137</v>
      </c>
      <c r="BF40" s="37">
        <f t="shared" si="73"/>
        <v>4138</v>
      </c>
      <c r="BG40" s="37">
        <f t="shared" si="74"/>
        <v>4139</v>
      </c>
      <c r="BH40" s="38">
        <f t="shared" si="75"/>
        <v>4140</v>
      </c>
      <c r="BI40" s="36">
        <f t="shared" si="76"/>
        <v>4141</v>
      </c>
      <c r="BJ40" s="37">
        <f t="shared" si="77"/>
        <v>4142</v>
      </c>
      <c r="BK40" s="37">
        <f t="shared" si="78"/>
        <v>4143</v>
      </c>
      <c r="BL40" s="37">
        <f t="shared" si="79"/>
        <v>4144</v>
      </c>
      <c r="BM40" s="37">
        <f t="shared" si="80"/>
        <v>4145</v>
      </c>
      <c r="BN40" s="37">
        <f t="shared" si="81"/>
        <v>4146</v>
      </c>
      <c r="BO40" s="37">
        <f t="shared" si="82"/>
        <v>4147</v>
      </c>
      <c r="BP40" s="37">
        <f t="shared" si="83"/>
        <v>4148</v>
      </c>
      <c r="BQ40" s="37">
        <f t="shared" si="84"/>
        <v>4149</v>
      </c>
      <c r="BR40" s="39">
        <f t="shared" si="85"/>
        <v>4150</v>
      </c>
      <c r="BS40" s="36">
        <f t="shared" si="86"/>
        <v>4151</v>
      </c>
      <c r="BT40" s="37">
        <f t="shared" si="87"/>
        <v>4152</v>
      </c>
      <c r="BU40" s="37">
        <f t="shared" si="88"/>
        <v>4153</v>
      </c>
      <c r="BV40" s="37">
        <f t="shared" si="89"/>
        <v>4154</v>
      </c>
      <c r="BW40" s="37">
        <f t="shared" si="90"/>
        <v>4155</v>
      </c>
      <c r="BX40" s="37">
        <f t="shared" si="91"/>
        <v>4156</v>
      </c>
      <c r="BY40" s="37">
        <f t="shared" si="92"/>
        <v>4157</v>
      </c>
      <c r="BZ40" s="37">
        <f t="shared" si="93"/>
        <v>4158</v>
      </c>
      <c r="CA40" s="37">
        <f t="shared" si="94"/>
        <v>4159</v>
      </c>
      <c r="CB40" s="38">
        <f t="shared" si="95"/>
        <v>4160</v>
      </c>
      <c r="CC40" s="40">
        <f t="shared" si="96"/>
        <v>4161</v>
      </c>
      <c r="CD40" s="37">
        <f t="shared" si="97"/>
        <v>4162</v>
      </c>
      <c r="CE40" s="37">
        <f t="shared" si="98"/>
        <v>4163</v>
      </c>
      <c r="CF40" s="37">
        <f t="shared" si="99"/>
        <v>4164</v>
      </c>
      <c r="CG40" s="37">
        <f t="shared" si="100"/>
        <v>4165</v>
      </c>
      <c r="CH40" s="37">
        <f t="shared" si="101"/>
        <v>4166</v>
      </c>
      <c r="CI40" s="37">
        <f t="shared" si="102"/>
        <v>4167</v>
      </c>
      <c r="CJ40" s="37">
        <f t="shared" si="103"/>
        <v>4168</v>
      </c>
      <c r="CK40" s="37">
        <f t="shared" si="104"/>
        <v>4169</v>
      </c>
      <c r="CL40" s="39">
        <f t="shared" si="105"/>
        <v>4170</v>
      </c>
      <c r="CM40" s="36">
        <f t="shared" si="106"/>
        <v>4171</v>
      </c>
      <c r="CN40" s="37">
        <f t="shared" si="107"/>
        <v>4172</v>
      </c>
      <c r="CO40" s="37">
        <f t="shared" si="108"/>
        <v>4173</v>
      </c>
      <c r="CP40" s="37">
        <f t="shared" si="109"/>
        <v>4174</v>
      </c>
      <c r="CQ40" s="37">
        <f t="shared" si="110"/>
        <v>4175</v>
      </c>
      <c r="CR40" s="37">
        <f t="shared" si="111"/>
        <v>4176</v>
      </c>
      <c r="CS40" s="37">
        <f t="shared" si="112"/>
        <v>4177</v>
      </c>
      <c r="CT40" s="37">
        <f t="shared" si="113"/>
        <v>4178</v>
      </c>
      <c r="CU40" s="37">
        <f t="shared" si="114"/>
        <v>4179</v>
      </c>
      <c r="CV40" s="38">
        <f t="shared" si="115"/>
        <v>4180</v>
      </c>
      <c r="CW40" s="40">
        <f t="shared" si="116"/>
        <v>4181</v>
      </c>
      <c r="CX40" s="37">
        <f t="shared" si="117"/>
        <v>4182</v>
      </c>
      <c r="CY40" s="37">
        <f t="shared" si="118"/>
        <v>4183</v>
      </c>
      <c r="CZ40" s="37">
        <f t="shared" si="119"/>
        <v>4184</v>
      </c>
      <c r="DA40" s="37">
        <f t="shared" si="120"/>
        <v>4185</v>
      </c>
      <c r="DB40" s="37">
        <f t="shared" si="121"/>
        <v>4186</v>
      </c>
      <c r="DC40" s="37">
        <f t="shared" si="122"/>
        <v>4187</v>
      </c>
      <c r="DD40" s="37">
        <f t="shared" si="123"/>
        <v>4188</v>
      </c>
      <c r="DE40" s="37">
        <f t="shared" si="124"/>
        <v>4189</v>
      </c>
      <c r="DF40" s="39">
        <f t="shared" si="125"/>
        <v>4190</v>
      </c>
      <c r="DG40" s="36">
        <f t="shared" si="126"/>
        <v>4191</v>
      </c>
      <c r="DH40" s="37">
        <f t="shared" si="127"/>
        <v>4192</v>
      </c>
      <c r="DI40" s="37">
        <f t="shared" si="128"/>
        <v>4193</v>
      </c>
      <c r="DJ40" s="37">
        <f t="shared" si="129"/>
        <v>4194</v>
      </c>
      <c r="DK40" s="37">
        <f t="shared" si="130"/>
        <v>4195</v>
      </c>
      <c r="DL40" s="37">
        <f t="shared" si="131"/>
        <v>4196</v>
      </c>
      <c r="DM40" s="37">
        <f t="shared" si="132"/>
        <v>4197</v>
      </c>
      <c r="DN40" s="37">
        <f t="shared" si="133"/>
        <v>4198</v>
      </c>
      <c r="DO40" s="37">
        <f t="shared" si="134"/>
        <v>4199</v>
      </c>
      <c r="DP40" s="38">
        <f t="shared" si="135"/>
        <v>4200</v>
      </c>
      <c r="DR40" s="966"/>
      <c r="DS40" s="967"/>
      <c r="DT40" s="967"/>
      <c r="DU40" s="968"/>
    </row>
    <row r="41" spans="1:125" ht="5.75" customHeight="1">
      <c r="A41" s="36">
        <f t="shared" si="136"/>
        <v>4201</v>
      </c>
      <c r="B41" s="37">
        <f t="shared" si="17"/>
        <v>4202</v>
      </c>
      <c r="C41" s="37">
        <f t="shared" si="18"/>
        <v>4203</v>
      </c>
      <c r="D41" s="37">
        <f t="shared" si="19"/>
        <v>4204</v>
      </c>
      <c r="E41" s="37">
        <f t="shared" si="20"/>
        <v>4205</v>
      </c>
      <c r="F41" s="37">
        <f t="shared" si="21"/>
        <v>4206</v>
      </c>
      <c r="G41" s="37">
        <f t="shared" si="22"/>
        <v>4207</v>
      </c>
      <c r="H41" s="37">
        <f t="shared" si="23"/>
        <v>4208</v>
      </c>
      <c r="I41" s="37">
        <f t="shared" si="24"/>
        <v>4209</v>
      </c>
      <c r="J41" s="38">
        <f t="shared" si="25"/>
        <v>4210</v>
      </c>
      <c r="K41" s="36">
        <f t="shared" si="26"/>
        <v>4211</v>
      </c>
      <c r="L41" s="37">
        <f t="shared" si="27"/>
        <v>4212</v>
      </c>
      <c r="M41" s="37">
        <f t="shared" si="28"/>
        <v>4213</v>
      </c>
      <c r="N41" s="37">
        <f t="shared" si="29"/>
        <v>4214</v>
      </c>
      <c r="O41" s="37">
        <f t="shared" si="30"/>
        <v>4215</v>
      </c>
      <c r="P41" s="37">
        <f t="shared" si="31"/>
        <v>4216</v>
      </c>
      <c r="Q41" s="37">
        <f t="shared" si="32"/>
        <v>4217</v>
      </c>
      <c r="R41" s="37">
        <f t="shared" si="33"/>
        <v>4218</v>
      </c>
      <c r="S41" s="37">
        <f t="shared" si="34"/>
        <v>4219</v>
      </c>
      <c r="T41" s="38">
        <f t="shared" si="35"/>
        <v>4220</v>
      </c>
      <c r="U41" s="36">
        <f t="shared" si="36"/>
        <v>4221</v>
      </c>
      <c r="V41" s="37">
        <f t="shared" si="37"/>
        <v>4222</v>
      </c>
      <c r="W41" s="37">
        <f t="shared" si="38"/>
        <v>4223</v>
      </c>
      <c r="X41" s="37">
        <f t="shared" si="39"/>
        <v>4224</v>
      </c>
      <c r="Y41" s="37">
        <f t="shared" si="40"/>
        <v>4225</v>
      </c>
      <c r="Z41" s="37">
        <f t="shared" si="41"/>
        <v>4226</v>
      </c>
      <c r="AA41" s="37">
        <f t="shared" si="42"/>
        <v>4227</v>
      </c>
      <c r="AB41" s="37">
        <f t="shared" si="43"/>
        <v>4228</v>
      </c>
      <c r="AC41" s="37">
        <f t="shared" si="44"/>
        <v>4229</v>
      </c>
      <c r="AD41" s="38">
        <f t="shared" si="45"/>
        <v>4230</v>
      </c>
      <c r="AE41" s="36">
        <f t="shared" si="46"/>
        <v>4231</v>
      </c>
      <c r="AF41" s="37">
        <f t="shared" si="47"/>
        <v>4232</v>
      </c>
      <c r="AG41" s="37">
        <f t="shared" si="48"/>
        <v>4233</v>
      </c>
      <c r="AH41" s="37">
        <f t="shared" si="49"/>
        <v>4234</v>
      </c>
      <c r="AI41" s="37">
        <f t="shared" si="50"/>
        <v>4235</v>
      </c>
      <c r="AJ41" s="37">
        <f t="shared" si="51"/>
        <v>4236</v>
      </c>
      <c r="AK41" s="37">
        <f t="shared" si="52"/>
        <v>4237</v>
      </c>
      <c r="AL41" s="37">
        <f t="shared" si="53"/>
        <v>4238</v>
      </c>
      <c r="AM41" s="37">
        <f t="shared" si="54"/>
        <v>4239</v>
      </c>
      <c r="AN41" s="38">
        <f t="shared" si="55"/>
        <v>4240</v>
      </c>
      <c r="AO41" s="36">
        <f t="shared" si="56"/>
        <v>4241</v>
      </c>
      <c r="AP41" s="37">
        <f t="shared" si="57"/>
        <v>4242</v>
      </c>
      <c r="AQ41" s="37">
        <f t="shared" si="58"/>
        <v>4243</v>
      </c>
      <c r="AR41" s="37">
        <f t="shared" si="59"/>
        <v>4244</v>
      </c>
      <c r="AS41" s="37">
        <f t="shared" si="60"/>
        <v>4245</v>
      </c>
      <c r="AT41" s="37">
        <f t="shared" si="61"/>
        <v>4246</v>
      </c>
      <c r="AU41" s="37">
        <f t="shared" si="62"/>
        <v>4247</v>
      </c>
      <c r="AV41" s="37">
        <f t="shared" si="63"/>
        <v>4248</v>
      </c>
      <c r="AW41" s="37">
        <f t="shared" si="64"/>
        <v>4249</v>
      </c>
      <c r="AX41" s="38">
        <f t="shared" si="65"/>
        <v>4250</v>
      </c>
      <c r="AY41" s="36">
        <f t="shared" si="66"/>
        <v>4251</v>
      </c>
      <c r="AZ41" s="37">
        <f t="shared" si="67"/>
        <v>4252</v>
      </c>
      <c r="BA41" s="37">
        <f t="shared" si="68"/>
        <v>4253</v>
      </c>
      <c r="BB41" s="37">
        <f t="shared" si="69"/>
        <v>4254</v>
      </c>
      <c r="BC41" s="37">
        <f t="shared" si="70"/>
        <v>4255</v>
      </c>
      <c r="BD41" s="37">
        <f t="shared" si="71"/>
        <v>4256</v>
      </c>
      <c r="BE41" s="37">
        <f t="shared" si="72"/>
        <v>4257</v>
      </c>
      <c r="BF41" s="37">
        <f t="shared" si="73"/>
        <v>4258</v>
      </c>
      <c r="BG41" s="37">
        <f t="shared" si="74"/>
        <v>4259</v>
      </c>
      <c r="BH41" s="38">
        <f t="shared" si="75"/>
        <v>4260</v>
      </c>
      <c r="BI41" s="36">
        <f t="shared" si="76"/>
        <v>4261</v>
      </c>
      <c r="BJ41" s="37">
        <f t="shared" si="77"/>
        <v>4262</v>
      </c>
      <c r="BK41" s="37">
        <f t="shared" si="78"/>
        <v>4263</v>
      </c>
      <c r="BL41" s="37">
        <f t="shared" si="79"/>
        <v>4264</v>
      </c>
      <c r="BM41" s="37">
        <f t="shared" si="80"/>
        <v>4265</v>
      </c>
      <c r="BN41" s="37">
        <f t="shared" si="81"/>
        <v>4266</v>
      </c>
      <c r="BO41" s="37">
        <f t="shared" si="82"/>
        <v>4267</v>
      </c>
      <c r="BP41" s="37">
        <f t="shared" si="83"/>
        <v>4268</v>
      </c>
      <c r="BQ41" s="37">
        <f t="shared" si="84"/>
        <v>4269</v>
      </c>
      <c r="BR41" s="39">
        <f t="shared" si="85"/>
        <v>4270</v>
      </c>
      <c r="BS41" s="36">
        <f t="shared" si="86"/>
        <v>4271</v>
      </c>
      <c r="BT41" s="37">
        <f t="shared" si="87"/>
        <v>4272</v>
      </c>
      <c r="BU41" s="37">
        <f t="shared" si="88"/>
        <v>4273</v>
      </c>
      <c r="BV41" s="37">
        <f t="shared" si="89"/>
        <v>4274</v>
      </c>
      <c r="BW41" s="37">
        <f t="shared" si="90"/>
        <v>4275</v>
      </c>
      <c r="BX41" s="37">
        <f t="shared" si="91"/>
        <v>4276</v>
      </c>
      <c r="BY41" s="37">
        <f t="shared" si="92"/>
        <v>4277</v>
      </c>
      <c r="BZ41" s="37">
        <f t="shared" si="93"/>
        <v>4278</v>
      </c>
      <c r="CA41" s="37">
        <f t="shared" si="94"/>
        <v>4279</v>
      </c>
      <c r="CB41" s="38">
        <f t="shared" si="95"/>
        <v>4280</v>
      </c>
      <c r="CC41" s="40">
        <f t="shared" si="96"/>
        <v>4281</v>
      </c>
      <c r="CD41" s="37">
        <f t="shared" si="97"/>
        <v>4282</v>
      </c>
      <c r="CE41" s="37">
        <f t="shared" si="98"/>
        <v>4283</v>
      </c>
      <c r="CF41" s="37">
        <f t="shared" si="99"/>
        <v>4284</v>
      </c>
      <c r="CG41" s="37">
        <f t="shared" si="100"/>
        <v>4285</v>
      </c>
      <c r="CH41" s="37">
        <f t="shared" si="101"/>
        <v>4286</v>
      </c>
      <c r="CI41" s="37">
        <f t="shared" si="102"/>
        <v>4287</v>
      </c>
      <c r="CJ41" s="37">
        <f t="shared" si="103"/>
        <v>4288</v>
      </c>
      <c r="CK41" s="37">
        <f t="shared" si="104"/>
        <v>4289</v>
      </c>
      <c r="CL41" s="39">
        <f t="shared" si="105"/>
        <v>4290</v>
      </c>
      <c r="CM41" s="36">
        <f t="shared" si="106"/>
        <v>4291</v>
      </c>
      <c r="CN41" s="37">
        <f t="shared" si="107"/>
        <v>4292</v>
      </c>
      <c r="CO41" s="37">
        <f t="shared" si="108"/>
        <v>4293</v>
      </c>
      <c r="CP41" s="37">
        <f t="shared" si="109"/>
        <v>4294</v>
      </c>
      <c r="CQ41" s="37">
        <f t="shared" si="110"/>
        <v>4295</v>
      </c>
      <c r="CR41" s="37">
        <f t="shared" si="111"/>
        <v>4296</v>
      </c>
      <c r="CS41" s="37">
        <f t="shared" si="112"/>
        <v>4297</v>
      </c>
      <c r="CT41" s="37">
        <f t="shared" si="113"/>
        <v>4298</v>
      </c>
      <c r="CU41" s="37">
        <f t="shared" si="114"/>
        <v>4299</v>
      </c>
      <c r="CV41" s="38">
        <f t="shared" si="115"/>
        <v>4300</v>
      </c>
      <c r="CW41" s="40">
        <f t="shared" si="116"/>
        <v>4301</v>
      </c>
      <c r="CX41" s="37">
        <f t="shared" si="117"/>
        <v>4302</v>
      </c>
      <c r="CY41" s="37">
        <f t="shared" si="118"/>
        <v>4303</v>
      </c>
      <c r="CZ41" s="37">
        <f t="shared" si="119"/>
        <v>4304</v>
      </c>
      <c r="DA41" s="37">
        <f t="shared" si="120"/>
        <v>4305</v>
      </c>
      <c r="DB41" s="37">
        <f t="shared" si="121"/>
        <v>4306</v>
      </c>
      <c r="DC41" s="37">
        <f t="shared" si="122"/>
        <v>4307</v>
      </c>
      <c r="DD41" s="37">
        <f t="shared" si="123"/>
        <v>4308</v>
      </c>
      <c r="DE41" s="37">
        <f t="shared" si="124"/>
        <v>4309</v>
      </c>
      <c r="DF41" s="39">
        <f t="shared" si="125"/>
        <v>4310</v>
      </c>
      <c r="DG41" s="36">
        <f t="shared" si="126"/>
        <v>4311</v>
      </c>
      <c r="DH41" s="37">
        <f t="shared" si="127"/>
        <v>4312</v>
      </c>
      <c r="DI41" s="37">
        <f t="shared" si="128"/>
        <v>4313</v>
      </c>
      <c r="DJ41" s="37">
        <f t="shared" si="129"/>
        <v>4314</v>
      </c>
      <c r="DK41" s="37">
        <f t="shared" si="130"/>
        <v>4315</v>
      </c>
      <c r="DL41" s="37">
        <f t="shared" si="131"/>
        <v>4316</v>
      </c>
      <c r="DM41" s="37">
        <f t="shared" si="132"/>
        <v>4317</v>
      </c>
      <c r="DN41" s="37">
        <f t="shared" si="133"/>
        <v>4318</v>
      </c>
      <c r="DO41" s="37">
        <f t="shared" si="134"/>
        <v>4319</v>
      </c>
      <c r="DP41" s="38">
        <f t="shared" si="135"/>
        <v>4320</v>
      </c>
      <c r="DR41" s="966"/>
      <c r="DS41" s="967"/>
      <c r="DT41" s="967"/>
      <c r="DU41" s="968"/>
    </row>
    <row r="42" spans="1:125" ht="5.75" customHeight="1">
      <c r="A42" s="36">
        <f t="shared" si="136"/>
        <v>4321</v>
      </c>
      <c r="B42" s="37">
        <f t="shared" si="17"/>
        <v>4322</v>
      </c>
      <c r="C42" s="37">
        <f t="shared" si="18"/>
        <v>4323</v>
      </c>
      <c r="D42" s="37">
        <f t="shared" si="19"/>
        <v>4324</v>
      </c>
      <c r="E42" s="37">
        <f t="shared" si="20"/>
        <v>4325</v>
      </c>
      <c r="F42" s="37">
        <f t="shared" si="21"/>
        <v>4326</v>
      </c>
      <c r="G42" s="37">
        <f t="shared" si="22"/>
        <v>4327</v>
      </c>
      <c r="H42" s="37">
        <f t="shared" si="23"/>
        <v>4328</v>
      </c>
      <c r="I42" s="37">
        <f t="shared" si="24"/>
        <v>4329</v>
      </c>
      <c r="J42" s="38">
        <f t="shared" si="25"/>
        <v>4330</v>
      </c>
      <c r="K42" s="36">
        <f t="shared" si="26"/>
        <v>4331</v>
      </c>
      <c r="L42" s="37">
        <f t="shared" si="27"/>
        <v>4332</v>
      </c>
      <c r="M42" s="37">
        <f t="shared" si="28"/>
        <v>4333</v>
      </c>
      <c r="N42" s="37">
        <f t="shared" si="29"/>
        <v>4334</v>
      </c>
      <c r="O42" s="37">
        <f t="shared" si="30"/>
        <v>4335</v>
      </c>
      <c r="P42" s="37">
        <f t="shared" si="31"/>
        <v>4336</v>
      </c>
      <c r="Q42" s="37">
        <f t="shared" si="32"/>
        <v>4337</v>
      </c>
      <c r="R42" s="37">
        <f t="shared" si="33"/>
        <v>4338</v>
      </c>
      <c r="S42" s="37">
        <f t="shared" si="34"/>
        <v>4339</v>
      </c>
      <c r="T42" s="38">
        <f t="shared" si="35"/>
        <v>4340</v>
      </c>
      <c r="U42" s="36">
        <f t="shared" si="36"/>
        <v>4341</v>
      </c>
      <c r="V42" s="37">
        <f t="shared" si="37"/>
        <v>4342</v>
      </c>
      <c r="W42" s="37">
        <f t="shared" si="38"/>
        <v>4343</v>
      </c>
      <c r="X42" s="37">
        <f t="shared" si="39"/>
        <v>4344</v>
      </c>
      <c r="Y42" s="37">
        <f t="shared" si="40"/>
        <v>4345</v>
      </c>
      <c r="Z42" s="37">
        <f t="shared" si="41"/>
        <v>4346</v>
      </c>
      <c r="AA42" s="37">
        <f t="shared" si="42"/>
        <v>4347</v>
      </c>
      <c r="AB42" s="37">
        <f t="shared" si="43"/>
        <v>4348</v>
      </c>
      <c r="AC42" s="37">
        <f t="shared" si="44"/>
        <v>4349</v>
      </c>
      <c r="AD42" s="38">
        <f t="shared" si="45"/>
        <v>4350</v>
      </c>
      <c r="AE42" s="36">
        <f t="shared" si="46"/>
        <v>4351</v>
      </c>
      <c r="AF42" s="37">
        <f t="shared" si="47"/>
        <v>4352</v>
      </c>
      <c r="AG42" s="37">
        <f t="shared" si="48"/>
        <v>4353</v>
      </c>
      <c r="AH42" s="37">
        <f t="shared" si="49"/>
        <v>4354</v>
      </c>
      <c r="AI42" s="37">
        <f t="shared" si="50"/>
        <v>4355</v>
      </c>
      <c r="AJ42" s="37">
        <f t="shared" si="51"/>
        <v>4356</v>
      </c>
      <c r="AK42" s="37">
        <f t="shared" si="52"/>
        <v>4357</v>
      </c>
      <c r="AL42" s="37">
        <f t="shared" si="53"/>
        <v>4358</v>
      </c>
      <c r="AM42" s="37">
        <f t="shared" si="54"/>
        <v>4359</v>
      </c>
      <c r="AN42" s="38">
        <f t="shared" si="55"/>
        <v>4360</v>
      </c>
      <c r="AO42" s="36">
        <f t="shared" si="56"/>
        <v>4361</v>
      </c>
      <c r="AP42" s="37">
        <f t="shared" si="57"/>
        <v>4362</v>
      </c>
      <c r="AQ42" s="37">
        <f t="shared" si="58"/>
        <v>4363</v>
      </c>
      <c r="AR42" s="37">
        <f t="shared" si="59"/>
        <v>4364</v>
      </c>
      <c r="AS42" s="37">
        <f t="shared" si="60"/>
        <v>4365</v>
      </c>
      <c r="AT42" s="37">
        <f t="shared" si="61"/>
        <v>4366</v>
      </c>
      <c r="AU42" s="37">
        <f t="shared" si="62"/>
        <v>4367</v>
      </c>
      <c r="AV42" s="37">
        <f t="shared" si="63"/>
        <v>4368</v>
      </c>
      <c r="AW42" s="37">
        <f t="shared" si="64"/>
        <v>4369</v>
      </c>
      <c r="AX42" s="38">
        <f t="shared" si="65"/>
        <v>4370</v>
      </c>
      <c r="AY42" s="36">
        <f t="shared" si="66"/>
        <v>4371</v>
      </c>
      <c r="AZ42" s="37">
        <f t="shared" si="67"/>
        <v>4372</v>
      </c>
      <c r="BA42" s="37">
        <f t="shared" si="68"/>
        <v>4373</v>
      </c>
      <c r="BB42" s="37">
        <f t="shared" si="69"/>
        <v>4374</v>
      </c>
      <c r="BC42" s="37">
        <f t="shared" si="70"/>
        <v>4375</v>
      </c>
      <c r="BD42" s="37">
        <f t="shared" si="71"/>
        <v>4376</v>
      </c>
      <c r="BE42" s="37">
        <f t="shared" si="72"/>
        <v>4377</v>
      </c>
      <c r="BF42" s="37">
        <f t="shared" si="73"/>
        <v>4378</v>
      </c>
      <c r="BG42" s="37">
        <f t="shared" si="74"/>
        <v>4379</v>
      </c>
      <c r="BH42" s="38">
        <f t="shared" si="75"/>
        <v>4380</v>
      </c>
      <c r="BI42" s="36">
        <f t="shared" si="76"/>
        <v>4381</v>
      </c>
      <c r="BJ42" s="37">
        <f t="shared" si="77"/>
        <v>4382</v>
      </c>
      <c r="BK42" s="37">
        <f t="shared" si="78"/>
        <v>4383</v>
      </c>
      <c r="BL42" s="37">
        <f t="shared" si="79"/>
        <v>4384</v>
      </c>
      <c r="BM42" s="37">
        <f t="shared" si="80"/>
        <v>4385</v>
      </c>
      <c r="BN42" s="37">
        <f t="shared" si="81"/>
        <v>4386</v>
      </c>
      <c r="BO42" s="37">
        <f t="shared" si="82"/>
        <v>4387</v>
      </c>
      <c r="BP42" s="37">
        <f t="shared" si="83"/>
        <v>4388</v>
      </c>
      <c r="BQ42" s="37">
        <f t="shared" si="84"/>
        <v>4389</v>
      </c>
      <c r="BR42" s="39">
        <f t="shared" si="85"/>
        <v>4390</v>
      </c>
      <c r="BS42" s="36">
        <f t="shared" si="86"/>
        <v>4391</v>
      </c>
      <c r="BT42" s="37">
        <f t="shared" si="87"/>
        <v>4392</v>
      </c>
      <c r="BU42" s="37">
        <f t="shared" si="88"/>
        <v>4393</v>
      </c>
      <c r="BV42" s="37">
        <f t="shared" si="89"/>
        <v>4394</v>
      </c>
      <c r="BW42" s="37">
        <f t="shared" si="90"/>
        <v>4395</v>
      </c>
      <c r="BX42" s="37">
        <f t="shared" si="91"/>
        <v>4396</v>
      </c>
      <c r="BY42" s="37">
        <f t="shared" si="92"/>
        <v>4397</v>
      </c>
      <c r="BZ42" s="37">
        <f t="shared" si="93"/>
        <v>4398</v>
      </c>
      <c r="CA42" s="37">
        <f t="shared" si="94"/>
        <v>4399</v>
      </c>
      <c r="CB42" s="38">
        <f t="shared" si="95"/>
        <v>4400</v>
      </c>
      <c r="CC42" s="40">
        <f t="shared" si="96"/>
        <v>4401</v>
      </c>
      <c r="CD42" s="37">
        <f t="shared" si="97"/>
        <v>4402</v>
      </c>
      <c r="CE42" s="37">
        <f t="shared" si="98"/>
        <v>4403</v>
      </c>
      <c r="CF42" s="37">
        <f t="shared" si="99"/>
        <v>4404</v>
      </c>
      <c r="CG42" s="37">
        <f t="shared" si="100"/>
        <v>4405</v>
      </c>
      <c r="CH42" s="37">
        <f t="shared" si="101"/>
        <v>4406</v>
      </c>
      <c r="CI42" s="37">
        <f t="shared" si="102"/>
        <v>4407</v>
      </c>
      <c r="CJ42" s="37">
        <f t="shared" si="103"/>
        <v>4408</v>
      </c>
      <c r="CK42" s="37">
        <f t="shared" si="104"/>
        <v>4409</v>
      </c>
      <c r="CL42" s="39">
        <f t="shared" si="105"/>
        <v>4410</v>
      </c>
      <c r="CM42" s="36">
        <f t="shared" si="106"/>
        <v>4411</v>
      </c>
      <c r="CN42" s="37">
        <f t="shared" si="107"/>
        <v>4412</v>
      </c>
      <c r="CO42" s="37">
        <f t="shared" si="108"/>
        <v>4413</v>
      </c>
      <c r="CP42" s="37">
        <f t="shared" si="109"/>
        <v>4414</v>
      </c>
      <c r="CQ42" s="37">
        <f t="shared" si="110"/>
        <v>4415</v>
      </c>
      <c r="CR42" s="37">
        <f t="shared" si="111"/>
        <v>4416</v>
      </c>
      <c r="CS42" s="37">
        <f t="shared" si="112"/>
        <v>4417</v>
      </c>
      <c r="CT42" s="37">
        <f t="shared" si="113"/>
        <v>4418</v>
      </c>
      <c r="CU42" s="37">
        <f t="shared" si="114"/>
        <v>4419</v>
      </c>
      <c r="CV42" s="38">
        <f t="shared" si="115"/>
        <v>4420</v>
      </c>
      <c r="CW42" s="40">
        <f t="shared" si="116"/>
        <v>4421</v>
      </c>
      <c r="CX42" s="37">
        <f t="shared" si="117"/>
        <v>4422</v>
      </c>
      <c r="CY42" s="37">
        <f t="shared" si="118"/>
        <v>4423</v>
      </c>
      <c r="CZ42" s="37">
        <f t="shared" si="119"/>
        <v>4424</v>
      </c>
      <c r="DA42" s="37">
        <f t="shared" si="120"/>
        <v>4425</v>
      </c>
      <c r="DB42" s="37">
        <f t="shared" si="121"/>
        <v>4426</v>
      </c>
      <c r="DC42" s="37">
        <f t="shared" si="122"/>
        <v>4427</v>
      </c>
      <c r="DD42" s="37">
        <f t="shared" si="123"/>
        <v>4428</v>
      </c>
      <c r="DE42" s="37">
        <f t="shared" si="124"/>
        <v>4429</v>
      </c>
      <c r="DF42" s="39">
        <f t="shared" si="125"/>
        <v>4430</v>
      </c>
      <c r="DG42" s="36">
        <f t="shared" si="126"/>
        <v>4431</v>
      </c>
      <c r="DH42" s="37">
        <f t="shared" si="127"/>
        <v>4432</v>
      </c>
      <c r="DI42" s="37">
        <f t="shared" si="128"/>
        <v>4433</v>
      </c>
      <c r="DJ42" s="37">
        <f t="shared" si="129"/>
        <v>4434</v>
      </c>
      <c r="DK42" s="37">
        <f t="shared" si="130"/>
        <v>4435</v>
      </c>
      <c r="DL42" s="37">
        <f t="shared" si="131"/>
        <v>4436</v>
      </c>
      <c r="DM42" s="37">
        <f t="shared" si="132"/>
        <v>4437</v>
      </c>
      <c r="DN42" s="37">
        <f t="shared" si="133"/>
        <v>4438</v>
      </c>
      <c r="DO42" s="37">
        <f t="shared" si="134"/>
        <v>4439</v>
      </c>
      <c r="DP42" s="38">
        <f t="shared" si="135"/>
        <v>4440</v>
      </c>
      <c r="DR42" s="966">
        <v>20</v>
      </c>
      <c r="DS42" s="967"/>
      <c r="DT42" s="967"/>
      <c r="DU42" s="968"/>
    </row>
    <row r="43" spans="1:125" ht="5.75" customHeight="1">
      <c r="A43" s="36">
        <f t="shared" si="136"/>
        <v>4441</v>
      </c>
      <c r="B43" s="37">
        <f t="shared" si="17"/>
        <v>4442</v>
      </c>
      <c r="C43" s="37">
        <f t="shared" si="18"/>
        <v>4443</v>
      </c>
      <c r="D43" s="37">
        <f t="shared" si="19"/>
        <v>4444</v>
      </c>
      <c r="E43" s="37">
        <f t="shared" si="20"/>
        <v>4445</v>
      </c>
      <c r="F43" s="37">
        <f t="shared" si="21"/>
        <v>4446</v>
      </c>
      <c r="G43" s="37">
        <f t="shared" si="22"/>
        <v>4447</v>
      </c>
      <c r="H43" s="37">
        <f t="shared" si="23"/>
        <v>4448</v>
      </c>
      <c r="I43" s="37">
        <f t="shared" si="24"/>
        <v>4449</v>
      </c>
      <c r="J43" s="38">
        <f t="shared" si="25"/>
        <v>4450</v>
      </c>
      <c r="K43" s="36">
        <f t="shared" si="26"/>
        <v>4451</v>
      </c>
      <c r="L43" s="37">
        <f t="shared" si="27"/>
        <v>4452</v>
      </c>
      <c r="M43" s="37">
        <f t="shared" si="28"/>
        <v>4453</v>
      </c>
      <c r="N43" s="37">
        <f t="shared" si="29"/>
        <v>4454</v>
      </c>
      <c r="O43" s="37">
        <f t="shared" si="30"/>
        <v>4455</v>
      </c>
      <c r="P43" s="37">
        <f t="shared" si="31"/>
        <v>4456</v>
      </c>
      <c r="Q43" s="37">
        <f t="shared" si="32"/>
        <v>4457</v>
      </c>
      <c r="R43" s="37">
        <f t="shared" si="33"/>
        <v>4458</v>
      </c>
      <c r="S43" s="37">
        <f t="shared" si="34"/>
        <v>4459</v>
      </c>
      <c r="T43" s="38">
        <f t="shared" si="35"/>
        <v>4460</v>
      </c>
      <c r="U43" s="36">
        <f t="shared" si="36"/>
        <v>4461</v>
      </c>
      <c r="V43" s="37">
        <f t="shared" si="37"/>
        <v>4462</v>
      </c>
      <c r="W43" s="37">
        <f t="shared" si="38"/>
        <v>4463</v>
      </c>
      <c r="X43" s="37">
        <f t="shared" si="39"/>
        <v>4464</v>
      </c>
      <c r="Y43" s="37">
        <f t="shared" si="40"/>
        <v>4465</v>
      </c>
      <c r="Z43" s="37">
        <f t="shared" si="41"/>
        <v>4466</v>
      </c>
      <c r="AA43" s="37">
        <f t="shared" si="42"/>
        <v>4467</v>
      </c>
      <c r="AB43" s="37">
        <f t="shared" si="43"/>
        <v>4468</v>
      </c>
      <c r="AC43" s="37">
        <f t="shared" si="44"/>
        <v>4469</v>
      </c>
      <c r="AD43" s="38">
        <f t="shared" si="45"/>
        <v>4470</v>
      </c>
      <c r="AE43" s="36">
        <f t="shared" si="46"/>
        <v>4471</v>
      </c>
      <c r="AF43" s="37">
        <f t="shared" si="47"/>
        <v>4472</v>
      </c>
      <c r="AG43" s="37">
        <f t="shared" si="48"/>
        <v>4473</v>
      </c>
      <c r="AH43" s="37">
        <f t="shared" si="49"/>
        <v>4474</v>
      </c>
      <c r="AI43" s="37">
        <f t="shared" si="50"/>
        <v>4475</v>
      </c>
      <c r="AJ43" s="37">
        <f t="shared" si="51"/>
        <v>4476</v>
      </c>
      <c r="AK43" s="37">
        <f t="shared" si="52"/>
        <v>4477</v>
      </c>
      <c r="AL43" s="37">
        <f t="shared" si="53"/>
        <v>4478</v>
      </c>
      <c r="AM43" s="37">
        <f t="shared" si="54"/>
        <v>4479</v>
      </c>
      <c r="AN43" s="38">
        <f t="shared" si="55"/>
        <v>4480</v>
      </c>
      <c r="AO43" s="36">
        <f t="shared" si="56"/>
        <v>4481</v>
      </c>
      <c r="AP43" s="37">
        <f t="shared" si="57"/>
        <v>4482</v>
      </c>
      <c r="AQ43" s="37">
        <f t="shared" si="58"/>
        <v>4483</v>
      </c>
      <c r="AR43" s="37">
        <f t="shared" si="59"/>
        <v>4484</v>
      </c>
      <c r="AS43" s="37">
        <f t="shared" si="60"/>
        <v>4485</v>
      </c>
      <c r="AT43" s="37">
        <f t="shared" si="61"/>
        <v>4486</v>
      </c>
      <c r="AU43" s="37">
        <f t="shared" si="62"/>
        <v>4487</v>
      </c>
      <c r="AV43" s="37">
        <f t="shared" si="63"/>
        <v>4488</v>
      </c>
      <c r="AW43" s="37">
        <f t="shared" si="64"/>
        <v>4489</v>
      </c>
      <c r="AX43" s="38">
        <f t="shared" si="65"/>
        <v>4490</v>
      </c>
      <c r="AY43" s="36">
        <f t="shared" si="66"/>
        <v>4491</v>
      </c>
      <c r="AZ43" s="37">
        <f t="shared" si="67"/>
        <v>4492</v>
      </c>
      <c r="BA43" s="37">
        <f t="shared" si="68"/>
        <v>4493</v>
      </c>
      <c r="BB43" s="37">
        <f t="shared" si="69"/>
        <v>4494</v>
      </c>
      <c r="BC43" s="37">
        <f t="shared" si="70"/>
        <v>4495</v>
      </c>
      <c r="BD43" s="37">
        <f t="shared" si="71"/>
        <v>4496</v>
      </c>
      <c r="BE43" s="37">
        <f t="shared" si="72"/>
        <v>4497</v>
      </c>
      <c r="BF43" s="37">
        <f t="shared" si="73"/>
        <v>4498</v>
      </c>
      <c r="BG43" s="37">
        <f t="shared" si="74"/>
        <v>4499</v>
      </c>
      <c r="BH43" s="38">
        <f t="shared" si="75"/>
        <v>4500</v>
      </c>
      <c r="BI43" s="36">
        <f t="shared" si="76"/>
        <v>4501</v>
      </c>
      <c r="BJ43" s="37">
        <f t="shared" si="77"/>
        <v>4502</v>
      </c>
      <c r="BK43" s="37">
        <f t="shared" si="78"/>
        <v>4503</v>
      </c>
      <c r="BL43" s="37">
        <f t="shared" si="79"/>
        <v>4504</v>
      </c>
      <c r="BM43" s="37">
        <f t="shared" si="80"/>
        <v>4505</v>
      </c>
      <c r="BN43" s="37">
        <f t="shared" si="81"/>
        <v>4506</v>
      </c>
      <c r="BO43" s="37">
        <f t="shared" si="82"/>
        <v>4507</v>
      </c>
      <c r="BP43" s="37">
        <f t="shared" si="83"/>
        <v>4508</v>
      </c>
      <c r="BQ43" s="37">
        <f t="shared" si="84"/>
        <v>4509</v>
      </c>
      <c r="BR43" s="39">
        <f t="shared" si="85"/>
        <v>4510</v>
      </c>
      <c r="BS43" s="36">
        <f t="shared" si="86"/>
        <v>4511</v>
      </c>
      <c r="BT43" s="37">
        <f t="shared" si="87"/>
        <v>4512</v>
      </c>
      <c r="BU43" s="37">
        <f t="shared" si="88"/>
        <v>4513</v>
      </c>
      <c r="BV43" s="37">
        <f t="shared" si="89"/>
        <v>4514</v>
      </c>
      <c r="BW43" s="37">
        <f t="shared" si="90"/>
        <v>4515</v>
      </c>
      <c r="BX43" s="37">
        <f t="shared" si="91"/>
        <v>4516</v>
      </c>
      <c r="BY43" s="37">
        <f t="shared" si="92"/>
        <v>4517</v>
      </c>
      <c r="BZ43" s="37">
        <f t="shared" si="93"/>
        <v>4518</v>
      </c>
      <c r="CA43" s="37">
        <f t="shared" si="94"/>
        <v>4519</v>
      </c>
      <c r="CB43" s="38">
        <f t="shared" si="95"/>
        <v>4520</v>
      </c>
      <c r="CC43" s="40">
        <f t="shared" si="96"/>
        <v>4521</v>
      </c>
      <c r="CD43" s="37">
        <f t="shared" si="97"/>
        <v>4522</v>
      </c>
      <c r="CE43" s="37">
        <f t="shared" si="98"/>
        <v>4523</v>
      </c>
      <c r="CF43" s="37">
        <f t="shared" si="99"/>
        <v>4524</v>
      </c>
      <c r="CG43" s="37">
        <f t="shared" si="100"/>
        <v>4525</v>
      </c>
      <c r="CH43" s="37">
        <f t="shared" si="101"/>
        <v>4526</v>
      </c>
      <c r="CI43" s="37">
        <f t="shared" si="102"/>
        <v>4527</v>
      </c>
      <c r="CJ43" s="37">
        <f t="shared" si="103"/>
        <v>4528</v>
      </c>
      <c r="CK43" s="37">
        <f t="shared" si="104"/>
        <v>4529</v>
      </c>
      <c r="CL43" s="39">
        <f t="shared" si="105"/>
        <v>4530</v>
      </c>
      <c r="CM43" s="36">
        <f t="shared" si="106"/>
        <v>4531</v>
      </c>
      <c r="CN43" s="37">
        <f t="shared" si="107"/>
        <v>4532</v>
      </c>
      <c r="CO43" s="37">
        <f t="shared" si="108"/>
        <v>4533</v>
      </c>
      <c r="CP43" s="37">
        <f t="shared" si="109"/>
        <v>4534</v>
      </c>
      <c r="CQ43" s="37">
        <f t="shared" si="110"/>
        <v>4535</v>
      </c>
      <c r="CR43" s="37">
        <f t="shared" si="111"/>
        <v>4536</v>
      </c>
      <c r="CS43" s="37">
        <f t="shared" si="112"/>
        <v>4537</v>
      </c>
      <c r="CT43" s="37">
        <f t="shared" si="113"/>
        <v>4538</v>
      </c>
      <c r="CU43" s="37">
        <f t="shared" si="114"/>
        <v>4539</v>
      </c>
      <c r="CV43" s="38">
        <f t="shared" si="115"/>
        <v>4540</v>
      </c>
      <c r="CW43" s="40">
        <f t="shared" si="116"/>
        <v>4541</v>
      </c>
      <c r="CX43" s="37">
        <f t="shared" si="117"/>
        <v>4542</v>
      </c>
      <c r="CY43" s="37">
        <f t="shared" si="118"/>
        <v>4543</v>
      </c>
      <c r="CZ43" s="37">
        <f t="shared" si="119"/>
        <v>4544</v>
      </c>
      <c r="DA43" s="37">
        <f t="shared" si="120"/>
        <v>4545</v>
      </c>
      <c r="DB43" s="37">
        <f t="shared" si="121"/>
        <v>4546</v>
      </c>
      <c r="DC43" s="37">
        <f t="shared" si="122"/>
        <v>4547</v>
      </c>
      <c r="DD43" s="37">
        <f t="shared" si="123"/>
        <v>4548</v>
      </c>
      <c r="DE43" s="37">
        <f t="shared" si="124"/>
        <v>4549</v>
      </c>
      <c r="DF43" s="39">
        <f t="shared" si="125"/>
        <v>4550</v>
      </c>
      <c r="DG43" s="36">
        <f t="shared" si="126"/>
        <v>4551</v>
      </c>
      <c r="DH43" s="37">
        <f t="shared" si="127"/>
        <v>4552</v>
      </c>
      <c r="DI43" s="37">
        <f t="shared" si="128"/>
        <v>4553</v>
      </c>
      <c r="DJ43" s="37">
        <f t="shared" si="129"/>
        <v>4554</v>
      </c>
      <c r="DK43" s="37">
        <f t="shared" si="130"/>
        <v>4555</v>
      </c>
      <c r="DL43" s="37">
        <f t="shared" si="131"/>
        <v>4556</v>
      </c>
      <c r="DM43" s="37">
        <f t="shared" si="132"/>
        <v>4557</v>
      </c>
      <c r="DN43" s="37">
        <f t="shared" si="133"/>
        <v>4558</v>
      </c>
      <c r="DO43" s="37">
        <f t="shared" si="134"/>
        <v>4559</v>
      </c>
      <c r="DP43" s="38">
        <f t="shared" si="135"/>
        <v>4560</v>
      </c>
      <c r="DR43" s="966"/>
      <c r="DS43" s="967"/>
      <c r="DT43" s="967"/>
      <c r="DU43" s="968"/>
    </row>
    <row r="44" spans="1:125" ht="5.75" customHeight="1">
      <c r="A44" s="36">
        <f t="shared" si="136"/>
        <v>4561</v>
      </c>
      <c r="B44" s="37">
        <f t="shared" si="17"/>
        <v>4562</v>
      </c>
      <c r="C44" s="37">
        <f t="shared" si="18"/>
        <v>4563</v>
      </c>
      <c r="D44" s="37">
        <f t="shared" si="19"/>
        <v>4564</v>
      </c>
      <c r="E44" s="37">
        <f t="shared" si="20"/>
        <v>4565</v>
      </c>
      <c r="F44" s="37">
        <f t="shared" si="21"/>
        <v>4566</v>
      </c>
      <c r="G44" s="37">
        <f t="shared" si="22"/>
        <v>4567</v>
      </c>
      <c r="H44" s="37">
        <f t="shared" si="23"/>
        <v>4568</v>
      </c>
      <c r="I44" s="37">
        <f t="shared" si="24"/>
        <v>4569</v>
      </c>
      <c r="J44" s="38">
        <f t="shared" si="25"/>
        <v>4570</v>
      </c>
      <c r="K44" s="36">
        <f t="shared" si="26"/>
        <v>4571</v>
      </c>
      <c r="L44" s="37">
        <f t="shared" si="27"/>
        <v>4572</v>
      </c>
      <c r="M44" s="37">
        <f t="shared" si="28"/>
        <v>4573</v>
      </c>
      <c r="N44" s="37">
        <f t="shared" si="29"/>
        <v>4574</v>
      </c>
      <c r="O44" s="37">
        <f t="shared" si="30"/>
        <v>4575</v>
      </c>
      <c r="P44" s="37">
        <f t="shared" si="31"/>
        <v>4576</v>
      </c>
      <c r="Q44" s="37">
        <f t="shared" si="32"/>
        <v>4577</v>
      </c>
      <c r="R44" s="37">
        <f t="shared" si="33"/>
        <v>4578</v>
      </c>
      <c r="S44" s="37">
        <f t="shared" si="34"/>
        <v>4579</v>
      </c>
      <c r="T44" s="38">
        <f t="shared" si="35"/>
        <v>4580</v>
      </c>
      <c r="U44" s="36">
        <f t="shared" si="36"/>
        <v>4581</v>
      </c>
      <c r="V44" s="37">
        <f t="shared" si="37"/>
        <v>4582</v>
      </c>
      <c r="W44" s="37">
        <f t="shared" si="38"/>
        <v>4583</v>
      </c>
      <c r="X44" s="37">
        <f t="shared" si="39"/>
        <v>4584</v>
      </c>
      <c r="Y44" s="37">
        <f t="shared" si="40"/>
        <v>4585</v>
      </c>
      <c r="Z44" s="37">
        <f t="shared" si="41"/>
        <v>4586</v>
      </c>
      <c r="AA44" s="37">
        <f t="shared" si="42"/>
        <v>4587</v>
      </c>
      <c r="AB44" s="37">
        <f t="shared" si="43"/>
        <v>4588</v>
      </c>
      <c r="AC44" s="37">
        <f t="shared" si="44"/>
        <v>4589</v>
      </c>
      <c r="AD44" s="38">
        <f t="shared" si="45"/>
        <v>4590</v>
      </c>
      <c r="AE44" s="36">
        <f t="shared" si="46"/>
        <v>4591</v>
      </c>
      <c r="AF44" s="37">
        <f t="shared" si="47"/>
        <v>4592</v>
      </c>
      <c r="AG44" s="37">
        <f t="shared" si="48"/>
        <v>4593</v>
      </c>
      <c r="AH44" s="37">
        <f t="shared" si="49"/>
        <v>4594</v>
      </c>
      <c r="AI44" s="37">
        <f t="shared" si="50"/>
        <v>4595</v>
      </c>
      <c r="AJ44" s="37">
        <f t="shared" si="51"/>
        <v>4596</v>
      </c>
      <c r="AK44" s="37">
        <f t="shared" si="52"/>
        <v>4597</v>
      </c>
      <c r="AL44" s="37">
        <f t="shared" si="53"/>
        <v>4598</v>
      </c>
      <c r="AM44" s="37">
        <f t="shared" si="54"/>
        <v>4599</v>
      </c>
      <c r="AN44" s="38">
        <f t="shared" si="55"/>
        <v>4600</v>
      </c>
      <c r="AO44" s="36">
        <f t="shared" si="56"/>
        <v>4601</v>
      </c>
      <c r="AP44" s="37">
        <f t="shared" si="57"/>
        <v>4602</v>
      </c>
      <c r="AQ44" s="37">
        <f t="shared" si="58"/>
        <v>4603</v>
      </c>
      <c r="AR44" s="37">
        <f t="shared" si="59"/>
        <v>4604</v>
      </c>
      <c r="AS44" s="37">
        <f t="shared" si="60"/>
        <v>4605</v>
      </c>
      <c r="AT44" s="37">
        <f t="shared" si="61"/>
        <v>4606</v>
      </c>
      <c r="AU44" s="37">
        <f t="shared" si="62"/>
        <v>4607</v>
      </c>
      <c r="AV44" s="37">
        <f t="shared" si="63"/>
        <v>4608</v>
      </c>
      <c r="AW44" s="37">
        <f t="shared" si="64"/>
        <v>4609</v>
      </c>
      <c r="AX44" s="38">
        <f t="shared" si="65"/>
        <v>4610</v>
      </c>
      <c r="AY44" s="36">
        <f t="shared" si="66"/>
        <v>4611</v>
      </c>
      <c r="AZ44" s="37">
        <f t="shared" si="67"/>
        <v>4612</v>
      </c>
      <c r="BA44" s="37">
        <f t="shared" si="68"/>
        <v>4613</v>
      </c>
      <c r="BB44" s="37">
        <f t="shared" si="69"/>
        <v>4614</v>
      </c>
      <c r="BC44" s="37">
        <f t="shared" si="70"/>
        <v>4615</v>
      </c>
      <c r="BD44" s="37">
        <f t="shared" si="71"/>
        <v>4616</v>
      </c>
      <c r="BE44" s="37">
        <f t="shared" si="72"/>
        <v>4617</v>
      </c>
      <c r="BF44" s="37">
        <f t="shared" si="73"/>
        <v>4618</v>
      </c>
      <c r="BG44" s="37">
        <f t="shared" si="74"/>
        <v>4619</v>
      </c>
      <c r="BH44" s="38">
        <f t="shared" si="75"/>
        <v>4620</v>
      </c>
      <c r="BI44" s="36">
        <f t="shared" si="76"/>
        <v>4621</v>
      </c>
      <c r="BJ44" s="37">
        <f t="shared" si="77"/>
        <v>4622</v>
      </c>
      <c r="BK44" s="37">
        <f t="shared" si="78"/>
        <v>4623</v>
      </c>
      <c r="BL44" s="37">
        <f t="shared" si="79"/>
        <v>4624</v>
      </c>
      <c r="BM44" s="37">
        <f t="shared" si="80"/>
        <v>4625</v>
      </c>
      <c r="BN44" s="37">
        <f t="shared" si="81"/>
        <v>4626</v>
      </c>
      <c r="BO44" s="37">
        <f t="shared" si="82"/>
        <v>4627</v>
      </c>
      <c r="BP44" s="37">
        <f t="shared" si="83"/>
        <v>4628</v>
      </c>
      <c r="BQ44" s="37">
        <f t="shared" si="84"/>
        <v>4629</v>
      </c>
      <c r="BR44" s="39">
        <f t="shared" si="85"/>
        <v>4630</v>
      </c>
      <c r="BS44" s="36">
        <f t="shared" si="86"/>
        <v>4631</v>
      </c>
      <c r="BT44" s="37">
        <f t="shared" si="87"/>
        <v>4632</v>
      </c>
      <c r="BU44" s="37">
        <f t="shared" si="88"/>
        <v>4633</v>
      </c>
      <c r="BV44" s="37">
        <f t="shared" si="89"/>
        <v>4634</v>
      </c>
      <c r="BW44" s="37">
        <f t="shared" si="90"/>
        <v>4635</v>
      </c>
      <c r="BX44" s="37">
        <f t="shared" si="91"/>
        <v>4636</v>
      </c>
      <c r="BY44" s="37">
        <f t="shared" si="92"/>
        <v>4637</v>
      </c>
      <c r="BZ44" s="37">
        <f t="shared" si="93"/>
        <v>4638</v>
      </c>
      <c r="CA44" s="37">
        <f t="shared" si="94"/>
        <v>4639</v>
      </c>
      <c r="CB44" s="38">
        <f t="shared" si="95"/>
        <v>4640</v>
      </c>
      <c r="CC44" s="40">
        <f t="shared" si="96"/>
        <v>4641</v>
      </c>
      <c r="CD44" s="37">
        <f t="shared" si="97"/>
        <v>4642</v>
      </c>
      <c r="CE44" s="37">
        <f t="shared" si="98"/>
        <v>4643</v>
      </c>
      <c r="CF44" s="37">
        <f t="shared" si="99"/>
        <v>4644</v>
      </c>
      <c r="CG44" s="37">
        <f t="shared" si="100"/>
        <v>4645</v>
      </c>
      <c r="CH44" s="37">
        <f t="shared" si="101"/>
        <v>4646</v>
      </c>
      <c r="CI44" s="37">
        <f t="shared" si="102"/>
        <v>4647</v>
      </c>
      <c r="CJ44" s="37">
        <f t="shared" si="103"/>
        <v>4648</v>
      </c>
      <c r="CK44" s="37">
        <f t="shared" si="104"/>
        <v>4649</v>
      </c>
      <c r="CL44" s="39">
        <f t="shared" si="105"/>
        <v>4650</v>
      </c>
      <c r="CM44" s="36">
        <f t="shared" si="106"/>
        <v>4651</v>
      </c>
      <c r="CN44" s="37">
        <f t="shared" si="107"/>
        <v>4652</v>
      </c>
      <c r="CO44" s="37">
        <f t="shared" si="108"/>
        <v>4653</v>
      </c>
      <c r="CP44" s="37">
        <f t="shared" si="109"/>
        <v>4654</v>
      </c>
      <c r="CQ44" s="37">
        <f t="shared" si="110"/>
        <v>4655</v>
      </c>
      <c r="CR44" s="37">
        <f t="shared" si="111"/>
        <v>4656</v>
      </c>
      <c r="CS44" s="37">
        <f t="shared" si="112"/>
        <v>4657</v>
      </c>
      <c r="CT44" s="37">
        <f t="shared" si="113"/>
        <v>4658</v>
      </c>
      <c r="CU44" s="37">
        <f t="shared" si="114"/>
        <v>4659</v>
      </c>
      <c r="CV44" s="38">
        <f t="shared" si="115"/>
        <v>4660</v>
      </c>
      <c r="CW44" s="40">
        <f t="shared" si="116"/>
        <v>4661</v>
      </c>
      <c r="CX44" s="37">
        <f t="shared" si="117"/>
        <v>4662</v>
      </c>
      <c r="CY44" s="37">
        <f t="shared" si="118"/>
        <v>4663</v>
      </c>
      <c r="CZ44" s="37">
        <f t="shared" si="119"/>
        <v>4664</v>
      </c>
      <c r="DA44" s="37">
        <f t="shared" si="120"/>
        <v>4665</v>
      </c>
      <c r="DB44" s="37">
        <f t="shared" si="121"/>
        <v>4666</v>
      </c>
      <c r="DC44" s="37">
        <f t="shared" si="122"/>
        <v>4667</v>
      </c>
      <c r="DD44" s="37">
        <f t="shared" si="123"/>
        <v>4668</v>
      </c>
      <c r="DE44" s="37">
        <f t="shared" si="124"/>
        <v>4669</v>
      </c>
      <c r="DF44" s="39">
        <f t="shared" si="125"/>
        <v>4670</v>
      </c>
      <c r="DG44" s="36">
        <f t="shared" si="126"/>
        <v>4671</v>
      </c>
      <c r="DH44" s="37">
        <f t="shared" si="127"/>
        <v>4672</v>
      </c>
      <c r="DI44" s="37">
        <f t="shared" si="128"/>
        <v>4673</v>
      </c>
      <c r="DJ44" s="37">
        <f t="shared" si="129"/>
        <v>4674</v>
      </c>
      <c r="DK44" s="37">
        <f t="shared" si="130"/>
        <v>4675</v>
      </c>
      <c r="DL44" s="37">
        <f t="shared" si="131"/>
        <v>4676</v>
      </c>
      <c r="DM44" s="37">
        <f t="shared" si="132"/>
        <v>4677</v>
      </c>
      <c r="DN44" s="37">
        <f t="shared" si="133"/>
        <v>4678</v>
      </c>
      <c r="DO44" s="37">
        <f t="shared" si="134"/>
        <v>4679</v>
      </c>
      <c r="DP44" s="38">
        <f t="shared" si="135"/>
        <v>4680</v>
      </c>
      <c r="DR44" s="966"/>
      <c r="DS44" s="967"/>
      <c r="DT44" s="967"/>
      <c r="DU44" s="968"/>
    </row>
    <row r="45" spans="1:125" ht="5.75" customHeight="1">
      <c r="A45" s="36">
        <f t="shared" si="136"/>
        <v>4681</v>
      </c>
      <c r="B45" s="37">
        <f t="shared" si="17"/>
        <v>4682</v>
      </c>
      <c r="C45" s="37">
        <f t="shared" si="18"/>
        <v>4683</v>
      </c>
      <c r="D45" s="37">
        <f t="shared" si="19"/>
        <v>4684</v>
      </c>
      <c r="E45" s="37">
        <f t="shared" si="20"/>
        <v>4685</v>
      </c>
      <c r="F45" s="37">
        <f t="shared" si="21"/>
        <v>4686</v>
      </c>
      <c r="G45" s="37">
        <f t="shared" si="22"/>
        <v>4687</v>
      </c>
      <c r="H45" s="37">
        <f t="shared" si="23"/>
        <v>4688</v>
      </c>
      <c r="I45" s="37">
        <f t="shared" si="24"/>
        <v>4689</v>
      </c>
      <c r="J45" s="38">
        <f t="shared" si="25"/>
        <v>4690</v>
      </c>
      <c r="K45" s="36">
        <f t="shared" si="26"/>
        <v>4691</v>
      </c>
      <c r="L45" s="37">
        <f t="shared" si="27"/>
        <v>4692</v>
      </c>
      <c r="M45" s="37">
        <f t="shared" si="28"/>
        <v>4693</v>
      </c>
      <c r="N45" s="37">
        <f t="shared" si="29"/>
        <v>4694</v>
      </c>
      <c r="O45" s="37">
        <f t="shared" si="30"/>
        <v>4695</v>
      </c>
      <c r="P45" s="37">
        <f t="shared" si="31"/>
        <v>4696</v>
      </c>
      <c r="Q45" s="37">
        <f t="shared" si="32"/>
        <v>4697</v>
      </c>
      <c r="R45" s="37">
        <f t="shared" si="33"/>
        <v>4698</v>
      </c>
      <c r="S45" s="37">
        <f t="shared" si="34"/>
        <v>4699</v>
      </c>
      <c r="T45" s="38">
        <f t="shared" si="35"/>
        <v>4700</v>
      </c>
      <c r="U45" s="36">
        <f t="shared" si="36"/>
        <v>4701</v>
      </c>
      <c r="V45" s="37">
        <f t="shared" si="37"/>
        <v>4702</v>
      </c>
      <c r="W45" s="37">
        <f t="shared" si="38"/>
        <v>4703</v>
      </c>
      <c r="X45" s="37">
        <f t="shared" si="39"/>
        <v>4704</v>
      </c>
      <c r="Y45" s="37">
        <f t="shared" si="40"/>
        <v>4705</v>
      </c>
      <c r="Z45" s="37">
        <f t="shared" si="41"/>
        <v>4706</v>
      </c>
      <c r="AA45" s="37">
        <f t="shared" si="42"/>
        <v>4707</v>
      </c>
      <c r="AB45" s="37">
        <f t="shared" si="43"/>
        <v>4708</v>
      </c>
      <c r="AC45" s="37">
        <f t="shared" si="44"/>
        <v>4709</v>
      </c>
      <c r="AD45" s="38">
        <f t="shared" si="45"/>
        <v>4710</v>
      </c>
      <c r="AE45" s="36">
        <f t="shared" si="46"/>
        <v>4711</v>
      </c>
      <c r="AF45" s="37">
        <f t="shared" si="47"/>
        <v>4712</v>
      </c>
      <c r="AG45" s="37">
        <f t="shared" si="48"/>
        <v>4713</v>
      </c>
      <c r="AH45" s="37">
        <f t="shared" si="49"/>
        <v>4714</v>
      </c>
      <c r="AI45" s="37">
        <f t="shared" si="50"/>
        <v>4715</v>
      </c>
      <c r="AJ45" s="37">
        <f t="shared" si="51"/>
        <v>4716</v>
      </c>
      <c r="AK45" s="37">
        <f t="shared" si="52"/>
        <v>4717</v>
      </c>
      <c r="AL45" s="37">
        <f t="shared" si="53"/>
        <v>4718</v>
      </c>
      <c r="AM45" s="37">
        <f t="shared" si="54"/>
        <v>4719</v>
      </c>
      <c r="AN45" s="38">
        <f t="shared" si="55"/>
        <v>4720</v>
      </c>
      <c r="AO45" s="36">
        <f t="shared" si="56"/>
        <v>4721</v>
      </c>
      <c r="AP45" s="37">
        <f t="shared" si="57"/>
        <v>4722</v>
      </c>
      <c r="AQ45" s="37">
        <f t="shared" si="58"/>
        <v>4723</v>
      </c>
      <c r="AR45" s="37">
        <f t="shared" si="59"/>
        <v>4724</v>
      </c>
      <c r="AS45" s="37">
        <f t="shared" si="60"/>
        <v>4725</v>
      </c>
      <c r="AT45" s="37">
        <f t="shared" si="61"/>
        <v>4726</v>
      </c>
      <c r="AU45" s="37">
        <f t="shared" si="62"/>
        <v>4727</v>
      </c>
      <c r="AV45" s="37">
        <f t="shared" si="63"/>
        <v>4728</v>
      </c>
      <c r="AW45" s="37">
        <f t="shared" si="64"/>
        <v>4729</v>
      </c>
      <c r="AX45" s="38">
        <f t="shared" si="65"/>
        <v>4730</v>
      </c>
      <c r="AY45" s="36">
        <f t="shared" si="66"/>
        <v>4731</v>
      </c>
      <c r="AZ45" s="37">
        <f t="shared" si="67"/>
        <v>4732</v>
      </c>
      <c r="BA45" s="37">
        <f t="shared" si="68"/>
        <v>4733</v>
      </c>
      <c r="BB45" s="37">
        <f t="shared" si="69"/>
        <v>4734</v>
      </c>
      <c r="BC45" s="37">
        <f t="shared" si="70"/>
        <v>4735</v>
      </c>
      <c r="BD45" s="37">
        <f t="shared" si="71"/>
        <v>4736</v>
      </c>
      <c r="BE45" s="37">
        <f t="shared" si="72"/>
        <v>4737</v>
      </c>
      <c r="BF45" s="37">
        <f t="shared" si="73"/>
        <v>4738</v>
      </c>
      <c r="BG45" s="37">
        <f t="shared" si="74"/>
        <v>4739</v>
      </c>
      <c r="BH45" s="38">
        <f t="shared" si="75"/>
        <v>4740</v>
      </c>
      <c r="BI45" s="36">
        <f t="shared" si="76"/>
        <v>4741</v>
      </c>
      <c r="BJ45" s="37">
        <f t="shared" si="77"/>
        <v>4742</v>
      </c>
      <c r="BK45" s="37">
        <f t="shared" si="78"/>
        <v>4743</v>
      </c>
      <c r="BL45" s="37">
        <f t="shared" si="79"/>
        <v>4744</v>
      </c>
      <c r="BM45" s="37">
        <f t="shared" si="80"/>
        <v>4745</v>
      </c>
      <c r="BN45" s="37">
        <f t="shared" si="81"/>
        <v>4746</v>
      </c>
      <c r="BO45" s="37">
        <f t="shared" si="82"/>
        <v>4747</v>
      </c>
      <c r="BP45" s="37">
        <f t="shared" si="83"/>
        <v>4748</v>
      </c>
      <c r="BQ45" s="37">
        <f t="shared" si="84"/>
        <v>4749</v>
      </c>
      <c r="BR45" s="39">
        <f t="shared" si="85"/>
        <v>4750</v>
      </c>
      <c r="BS45" s="36">
        <f t="shared" si="86"/>
        <v>4751</v>
      </c>
      <c r="BT45" s="37">
        <f t="shared" si="87"/>
        <v>4752</v>
      </c>
      <c r="BU45" s="37">
        <f t="shared" si="88"/>
        <v>4753</v>
      </c>
      <c r="BV45" s="37">
        <f t="shared" si="89"/>
        <v>4754</v>
      </c>
      <c r="BW45" s="37">
        <f t="shared" si="90"/>
        <v>4755</v>
      </c>
      <c r="BX45" s="37">
        <f t="shared" si="91"/>
        <v>4756</v>
      </c>
      <c r="BY45" s="37">
        <f t="shared" si="92"/>
        <v>4757</v>
      </c>
      <c r="BZ45" s="37">
        <f t="shared" si="93"/>
        <v>4758</v>
      </c>
      <c r="CA45" s="37">
        <f t="shared" si="94"/>
        <v>4759</v>
      </c>
      <c r="CB45" s="38">
        <f t="shared" si="95"/>
        <v>4760</v>
      </c>
      <c r="CC45" s="40">
        <f t="shared" si="96"/>
        <v>4761</v>
      </c>
      <c r="CD45" s="37">
        <f t="shared" si="97"/>
        <v>4762</v>
      </c>
      <c r="CE45" s="37">
        <f t="shared" si="98"/>
        <v>4763</v>
      </c>
      <c r="CF45" s="37">
        <f t="shared" si="99"/>
        <v>4764</v>
      </c>
      <c r="CG45" s="37">
        <f t="shared" si="100"/>
        <v>4765</v>
      </c>
      <c r="CH45" s="37">
        <f t="shared" si="101"/>
        <v>4766</v>
      </c>
      <c r="CI45" s="37">
        <f t="shared" si="102"/>
        <v>4767</v>
      </c>
      <c r="CJ45" s="37">
        <f t="shared" si="103"/>
        <v>4768</v>
      </c>
      <c r="CK45" s="37">
        <f t="shared" si="104"/>
        <v>4769</v>
      </c>
      <c r="CL45" s="39">
        <f t="shared" si="105"/>
        <v>4770</v>
      </c>
      <c r="CM45" s="36">
        <f t="shared" si="106"/>
        <v>4771</v>
      </c>
      <c r="CN45" s="37">
        <f t="shared" si="107"/>
        <v>4772</v>
      </c>
      <c r="CO45" s="37">
        <f t="shared" si="108"/>
        <v>4773</v>
      </c>
      <c r="CP45" s="37">
        <f t="shared" si="109"/>
        <v>4774</v>
      </c>
      <c r="CQ45" s="37">
        <f t="shared" si="110"/>
        <v>4775</v>
      </c>
      <c r="CR45" s="37">
        <f t="shared" si="111"/>
        <v>4776</v>
      </c>
      <c r="CS45" s="37">
        <f t="shared" si="112"/>
        <v>4777</v>
      </c>
      <c r="CT45" s="37">
        <f t="shared" si="113"/>
        <v>4778</v>
      </c>
      <c r="CU45" s="37">
        <f t="shared" si="114"/>
        <v>4779</v>
      </c>
      <c r="CV45" s="38">
        <f t="shared" si="115"/>
        <v>4780</v>
      </c>
      <c r="CW45" s="40">
        <f t="shared" si="116"/>
        <v>4781</v>
      </c>
      <c r="CX45" s="37">
        <f t="shared" si="117"/>
        <v>4782</v>
      </c>
      <c r="CY45" s="37">
        <f t="shared" si="118"/>
        <v>4783</v>
      </c>
      <c r="CZ45" s="37">
        <f t="shared" si="119"/>
        <v>4784</v>
      </c>
      <c r="DA45" s="37">
        <f t="shared" si="120"/>
        <v>4785</v>
      </c>
      <c r="DB45" s="37">
        <f t="shared" si="121"/>
        <v>4786</v>
      </c>
      <c r="DC45" s="37">
        <f t="shared" si="122"/>
        <v>4787</v>
      </c>
      <c r="DD45" s="37">
        <f t="shared" si="123"/>
        <v>4788</v>
      </c>
      <c r="DE45" s="37">
        <f t="shared" si="124"/>
        <v>4789</v>
      </c>
      <c r="DF45" s="39">
        <f t="shared" si="125"/>
        <v>4790</v>
      </c>
      <c r="DG45" s="36">
        <f t="shared" si="126"/>
        <v>4791</v>
      </c>
      <c r="DH45" s="37">
        <f t="shared" si="127"/>
        <v>4792</v>
      </c>
      <c r="DI45" s="37">
        <f t="shared" si="128"/>
        <v>4793</v>
      </c>
      <c r="DJ45" s="37">
        <f t="shared" si="129"/>
        <v>4794</v>
      </c>
      <c r="DK45" s="37">
        <f t="shared" si="130"/>
        <v>4795</v>
      </c>
      <c r="DL45" s="37">
        <f t="shared" si="131"/>
        <v>4796</v>
      </c>
      <c r="DM45" s="37">
        <f t="shared" si="132"/>
        <v>4797</v>
      </c>
      <c r="DN45" s="37">
        <f t="shared" si="133"/>
        <v>4798</v>
      </c>
      <c r="DO45" s="37">
        <f t="shared" si="134"/>
        <v>4799</v>
      </c>
      <c r="DP45" s="38">
        <f t="shared" si="135"/>
        <v>4800</v>
      </c>
      <c r="DR45" s="966">
        <v>30</v>
      </c>
      <c r="DS45" s="967"/>
      <c r="DT45" s="967"/>
      <c r="DU45" s="968"/>
    </row>
    <row r="46" spans="1:125" ht="5.75" customHeight="1">
      <c r="A46" s="36">
        <f t="shared" si="136"/>
        <v>4801</v>
      </c>
      <c r="B46" s="37">
        <f t="shared" si="17"/>
        <v>4802</v>
      </c>
      <c r="C46" s="37">
        <f t="shared" si="18"/>
        <v>4803</v>
      </c>
      <c r="D46" s="37">
        <f t="shared" si="19"/>
        <v>4804</v>
      </c>
      <c r="E46" s="37">
        <f t="shared" si="20"/>
        <v>4805</v>
      </c>
      <c r="F46" s="37">
        <f t="shared" si="21"/>
        <v>4806</v>
      </c>
      <c r="G46" s="37">
        <f t="shared" si="22"/>
        <v>4807</v>
      </c>
      <c r="H46" s="37">
        <f t="shared" si="23"/>
        <v>4808</v>
      </c>
      <c r="I46" s="37">
        <f t="shared" si="24"/>
        <v>4809</v>
      </c>
      <c r="J46" s="38">
        <f t="shared" si="25"/>
        <v>4810</v>
      </c>
      <c r="K46" s="36">
        <f t="shared" si="26"/>
        <v>4811</v>
      </c>
      <c r="L46" s="37">
        <f t="shared" si="27"/>
        <v>4812</v>
      </c>
      <c r="M46" s="37">
        <f t="shared" si="28"/>
        <v>4813</v>
      </c>
      <c r="N46" s="37">
        <f t="shared" si="29"/>
        <v>4814</v>
      </c>
      <c r="O46" s="37">
        <f t="shared" si="30"/>
        <v>4815</v>
      </c>
      <c r="P46" s="37">
        <f t="shared" si="31"/>
        <v>4816</v>
      </c>
      <c r="Q46" s="37">
        <f t="shared" si="32"/>
        <v>4817</v>
      </c>
      <c r="R46" s="37">
        <f t="shared" si="33"/>
        <v>4818</v>
      </c>
      <c r="S46" s="37">
        <f t="shared" si="34"/>
        <v>4819</v>
      </c>
      <c r="T46" s="38">
        <f t="shared" si="35"/>
        <v>4820</v>
      </c>
      <c r="U46" s="36">
        <f t="shared" si="36"/>
        <v>4821</v>
      </c>
      <c r="V46" s="37">
        <f t="shared" si="37"/>
        <v>4822</v>
      </c>
      <c r="W46" s="37">
        <f t="shared" si="38"/>
        <v>4823</v>
      </c>
      <c r="X46" s="37">
        <f t="shared" si="39"/>
        <v>4824</v>
      </c>
      <c r="Y46" s="37">
        <f t="shared" si="40"/>
        <v>4825</v>
      </c>
      <c r="Z46" s="37">
        <f t="shared" si="41"/>
        <v>4826</v>
      </c>
      <c r="AA46" s="37">
        <f t="shared" si="42"/>
        <v>4827</v>
      </c>
      <c r="AB46" s="37">
        <f t="shared" si="43"/>
        <v>4828</v>
      </c>
      <c r="AC46" s="37">
        <f t="shared" si="44"/>
        <v>4829</v>
      </c>
      <c r="AD46" s="38">
        <f t="shared" si="45"/>
        <v>4830</v>
      </c>
      <c r="AE46" s="36">
        <f t="shared" si="46"/>
        <v>4831</v>
      </c>
      <c r="AF46" s="37">
        <f t="shared" si="47"/>
        <v>4832</v>
      </c>
      <c r="AG46" s="37">
        <f t="shared" si="48"/>
        <v>4833</v>
      </c>
      <c r="AH46" s="37">
        <f t="shared" si="49"/>
        <v>4834</v>
      </c>
      <c r="AI46" s="37">
        <f t="shared" si="50"/>
        <v>4835</v>
      </c>
      <c r="AJ46" s="37">
        <f t="shared" si="51"/>
        <v>4836</v>
      </c>
      <c r="AK46" s="37">
        <f t="shared" si="52"/>
        <v>4837</v>
      </c>
      <c r="AL46" s="37">
        <f t="shared" si="53"/>
        <v>4838</v>
      </c>
      <c r="AM46" s="37">
        <f t="shared" si="54"/>
        <v>4839</v>
      </c>
      <c r="AN46" s="38">
        <f t="shared" si="55"/>
        <v>4840</v>
      </c>
      <c r="AO46" s="36">
        <f t="shared" si="56"/>
        <v>4841</v>
      </c>
      <c r="AP46" s="37">
        <f t="shared" si="57"/>
        <v>4842</v>
      </c>
      <c r="AQ46" s="37">
        <f t="shared" si="58"/>
        <v>4843</v>
      </c>
      <c r="AR46" s="37">
        <f t="shared" si="59"/>
        <v>4844</v>
      </c>
      <c r="AS46" s="37">
        <f t="shared" si="60"/>
        <v>4845</v>
      </c>
      <c r="AT46" s="37">
        <f t="shared" si="61"/>
        <v>4846</v>
      </c>
      <c r="AU46" s="37">
        <f t="shared" si="62"/>
        <v>4847</v>
      </c>
      <c r="AV46" s="37">
        <f t="shared" si="63"/>
        <v>4848</v>
      </c>
      <c r="AW46" s="37">
        <f t="shared" si="64"/>
        <v>4849</v>
      </c>
      <c r="AX46" s="38">
        <f t="shared" si="65"/>
        <v>4850</v>
      </c>
      <c r="AY46" s="36">
        <f t="shared" si="66"/>
        <v>4851</v>
      </c>
      <c r="AZ46" s="37">
        <f t="shared" si="67"/>
        <v>4852</v>
      </c>
      <c r="BA46" s="37">
        <f t="shared" si="68"/>
        <v>4853</v>
      </c>
      <c r="BB46" s="37">
        <f t="shared" si="69"/>
        <v>4854</v>
      </c>
      <c r="BC46" s="37">
        <f t="shared" si="70"/>
        <v>4855</v>
      </c>
      <c r="BD46" s="37">
        <f t="shared" si="71"/>
        <v>4856</v>
      </c>
      <c r="BE46" s="37">
        <f t="shared" si="72"/>
        <v>4857</v>
      </c>
      <c r="BF46" s="37">
        <f t="shared" si="73"/>
        <v>4858</v>
      </c>
      <c r="BG46" s="37">
        <f t="shared" si="74"/>
        <v>4859</v>
      </c>
      <c r="BH46" s="38">
        <f t="shared" si="75"/>
        <v>4860</v>
      </c>
      <c r="BI46" s="36">
        <f t="shared" si="76"/>
        <v>4861</v>
      </c>
      <c r="BJ46" s="37">
        <f t="shared" si="77"/>
        <v>4862</v>
      </c>
      <c r="BK46" s="37">
        <f t="shared" si="78"/>
        <v>4863</v>
      </c>
      <c r="BL46" s="37">
        <f t="shared" si="79"/>
        <v>4864</v>
      </c>
      <c r="BM46" s="37">
        <f t="shared" si="80"/>
        <v>4865</v>
      </c>
      <c r="BN46" s="37">
        <f t="shared" si="81"/>
        <v>4866</v>
      </c>
      <c r="BO46" s="37">
        <f t="shared" si="82"/>
        <v>4867</v>
      </c>
      <c r="BP46" s="37">
        <f t="shared" si="83"/>
        <v>4868</v>
      </c>
      <c r="BQ46" s="37">
        <f t="shared" si="84"/>
        <v>4869</v>
      </c>
      <c r="BR46" s="39">
        <f t="shared" si="85"/>
        <v>4870</v>
      </c>
      <c r="BS46" s="36">
        <f t="shared" si="86"/>
        <v>4871</v>
      </c>
      <c r="BT46" s="37">
        <f t="shared" si="87"/>
        <v>4872</v>
      </c>
      <c r="BU46" s="37">
        <f t="shared" si="88"/>
        <v>4873</v>
      </c>
      <c r="BV46" s="37">
        <f t="shared" si="89"/>
        <v>4874</v>
      </c>
      <c r="BW46" s="37">
        <f t="shared" si="90"/>
        <v>4875</v>
      </c>
      <c r="BX46" s="37">
        <f t="shared" si="91"/>
        <v>4876</v>
      </c>
      <c r="BY46" s="37">
        <f t="shared" si="92"/>
        <v>4877</v>
      </c>
      <c r="BZ46" s="37">
        <f t="shared" si="93"/>
        <v>4878</v>
      </c>
      <c r="CA46" s="37">
        <f t="shared" si="94"/>
        <v>4879</v>
      </c>
      <c r="CB46" s="38">
        <f t="shared" si="95"/>
        <v>4880</v>
      </c>
      <c r="CC46" s="40">
        <f t="shared" si="96"/>
        <v>4881</v>
      </c>
      <c r="CD46" s="37">
        <f t="shared" si="97"/>
        <v>4882</v>
      </c>
      <c r="CE46" s="37">
        <f t="shared" si="98"/>
        <v>4883</v>
      </c>
      <c r="CF46" s="37">
        <f t="shared" si="99"/>
        <v>4884</v>
      </c>
      <c r="CG46" s="37">
        <f t="shared" si="100"/>
        <v>4885</v>
      </c>
      <c r="CH46" s="37">
        <f t="shared" si="101"/>
        <v>4886</v>
      </c>
      <c r="CI46" s="37">
        <f t="shared" si="102"/>
        <v>4887</v>
      </c>
      <c r="CJ46" s="37">
        <f t="shared" si="103"/>
        <v>4888</v>
      </c>
      <c r="CK46" s="37">
        <f t="shared" si="104"/>
        <v>4889</v>
      </c>
      <c r="CL46" s="39">
        <f t="shared" si="105"/>
        <v>4890</v>
      </c>
      <c r="CM46" s="36">
        <f t="shared" si="106"/>
        <v>4891</v>
      </c>
      <c r="CN46" s="37">
        <f t="shared" si="107"/>
        <v>4892</v>
      </c>
      <c r="CO46" s="37">
        <f t="shared" si="108"/>
        <v>4893</v>
      </c>
      <c r="CP46" s="37">
        <f t="shared" si="109"/>
        <v>4894</v>
      </c>
      <c r="CQ46" s="37">
        <f t="shared" si="110"/>
        <v>4895</v>
      </c>
      <c r="CR46" s="37">
        <f t="shared" si="111"/>
        <v>4896</v>
      </c>
      <c r="CS46" s="37">
        <f t="shared" si="112"/>
        <v>4897</v>
      </c>
      <c r="CT46" s="37">
        <f t="shared" si="113"/>
        <v>4898</v>
      </c>
      <c r="CU46" s="37">
        <f t="shared" si="114"/>
        <v>4899</v>
      </c>
      <c r="CV46" s="38">
        <f t="shared" si="115"/>
        <v>4900</v>
      </c>
      <c r="CW46" s="40">
        <f t="shared" si="116"/>
        <v>4901</v>
      </c>
      <c r="CX46" s="37">
        <f t="shared" si="117"/>
        <v>4902</v>
      </c>
      <c r="CY46" s="37">
        <f t="shared" si="118"/>
        <v>4903</v>
      </c>
      <c r="CZ46" s="37">
        <f t="shared" si="119"/>
        <v>4904</v>
      </c>
      <c r="DA46" s="37">
        <f t="shared" si="120"/>
        <v>4905</v>
      </c>
      <c r="DB46" s="37">
        <f t="shared" si="121"/>
        <v>4906</v>
      </c>
      <c r="DC46" s="37">
        <f t="shared" si="122"/>
        <v>4907</v>
      </c>
      <c r="DD46" s="37">
        <f t="shared" si="123"/>
        <v>4908</v>
      </c>
      <c r="DE46" s="37">
        <f t="shared" si="124"/>
        <v>4909</v>
      </c>
      <c r="DF46" s="39">
        <f t="shared" si="125"/>
        <v>4910</v>
      </c>
      <c r="DG46" s="36">
        <f t="shared" si="126"/>
        <v>4911</v>
      </c>
      <c r="DH46" s="37">
        <f t="shared" si="127"/>
        <v>4912</v>
      </c>
      <c r="DI46" s="37">
        <f t="shared" si="128"/>
        <v>4913</v>
      </c>
      <c r="DJ46" s="37">
        <f t="shared" si="129"/>
        <v>4914</v>
      </c>
      <c r="DK46" s="37">
        <f t="shared" si="130"/>
        <v>4915</v>
      </c>
      <c r="DL46" s="37">
        <f t="shared" si="131"/>
        <v>4916</v>
      </c>
      <c r="DM46" s="37">
        <f t="shared" si="132"/>
        <v>4917</v>
      </c>
      <c r="DN46" s="37">
        <f t="shared" si="133"/>
        <v>4918</v>
      </c>
      <c r="DO46" s="37">
        <f t="shared" si="134"/>
        <v>4919</v>
      </c>
      <c r="DP46" s="38">
        <f t="shared" si="135"/>
        <v>4920</v>
      </c>
      <c r="DR46" s="966"/>
      <c r="DS46" s="967"/>
      <c r="DT46" s="967"/>
      <c r="DU46" s="968"/>
    </row>
    <row r="47" spans="1:125" ht="5.75" customHeight="1">
      <c r="A47" s="36">
        <f t="shared" si="136"/>
        <v>4921</v>
      </c>
      <c r="B47" s="37">
        <f t="shared" si="17"/>
        <v>4922</v>
      </c>
      <c r="C47" s="37">
        <f t="shared" si="18"/>
        <v>4923</v>
      </c>
      <c r="D47" s="37">
        <f t="shared" si="19"/>
        <v>4924</v>
      </c>
      <c r="E47" s="37">
        <f t="shared" si="20"/>
        <v>4925</v>
      </c>
      <c r="F47" s="37">
        <f t="shared" si="21"/>
        <v>4926</v>
      </c>
      <c r="G47" s="37">
        <f t="shared" si="22"/>
        <v>4927</v>
      </c>
      <c r="H47" s="37">
        <f t="shared" si="23"/>
        <v>4928</v>
      </c>
      <c r="I47" s="37">
        <f t="shared" si="24"/>
        <v>4929</v>
      </c>
      <c r="J47" s="38">
        <f t="shared" si="25"/>
        <v>4930</v>
      </c>
      <c r="K47" s="36">
        <f t="shared" si="26"/>
        <v>4931</v>
      </c>
      <c r="L47" s="37">
        <f t="shared" si="27"/>
        <v>4932</v>
      </c>
      <c r="M47" s="37">
        <f t="shared" si="28"/>
        <v>4933</v>
      </c>
      <c r="N47" s="37">
        <f t="shared" si="29"/>
        <v>4934</v>
      </c>
      <c r="O47" s="37">
        <f t="shared" si="30"/>
        <v>4935</v>
      </c>
      <c r="P47" s="37">
        <f t="shared" si="31"/>
        <v>4936</v>
      </c>
      <c r="Q47" s="37">
        <f t="shared" si="32"/>
        <v>4937</v>
      </c>
      <c r="R47" s="37">
        <f t="shared" si="33"/>
        <v>4938</v>
      </c>
      <c r="S47" s="37">
        <f t="shared" si="34"/>
        <v>4939</v>
      </c>
      <c r="T47" s="38">
        <f t="shared" si="35"/>
        <v>4940</v>
      </c>
      <c r="U47" s="36">
        <f t="shared" si="36"/>
        <v>4941</v>
      </c>
      <c r="V47" s="37">
        <f t="shared" si="37"/>
        <v>4942</v>
      </c>
      <c r="W47" s="37">
        <f t="shared" si="38"/>
        <v>4943</v>
      </c>
      <c r="X47" s="37">
        <f t="shared" si="39"/>
        <v>4944</v>
      </c>
      <c r="Y47" s="37">
        <f t="shared" si="40"/>
        <v>4945</v>
      </c>
      <c r="Z47" s="37">
        <f t="shared" si="41"/>
        <v>4946</v>
      </c>
      <c r="AA47" s="37">
        <f t="shared" si="42"/>
        <v>4947</v>
      </c>
      <c r="AB47" s="37">
        <f t="shared" si="43"/>
        <v>4948</v>
      </c>
      <c r="AC47" s="37">
        <f t="shared" si="44"/>
        <v>4949</v>
      </c>
      <c r="AD47" s="38">
        <f t="shared" si="45"/>
        <v>4950</v>
      </c>
      <c r="AE47" s="36">
        <f t="shared" si="46"/>
        <v>4951</v>
      </c>
      <c r="AF47" s="37">
        <f t="shared" si="47"/>
        <v>4952</v>
      </c>
      <c r="AG47" s="37">
        <f t="shared" si="48"/>
        <v>4953</v>
      </c>
      <c r="AH47" s="37">
        <f t="shared" si="49"/>
        <v>4954</v>
      </c>
      <c r="AI47" s="37">
        <f t="shared" si="50"/>
        <v>4955</v>
      </c>
      <c r="AJ47" s="37">
        <f t="shared" si="51"/>
        <v>4956</v>
      </c>
      <c r="AK47" s="37">
        <f t="shared" si="52"/>
        <v>4957</v>
      </c>
      <c r="AL47" s="37">
        <f t="shared" si="53"/>
        <v>4958</v>
      </c>
      <c r="AM47" s="37">
        <f t="shared" si="54"/>
        <v>4959</v>
      </c>
      <c r="AN47" s="38">
        <f t="shared" si="55"/>
        <v>4960</v>
      </c>
      <c r="AO47" s="36">
        <f t="shared" si="56"/>
        <v>4961</v>
      </c>
      <c r="AP47" s="37">
        <f t="shared" si="57"/>
        <v>4962</v>
      </c>
      <c r="AQ47" s="37">
        <f t="shared" si="58"/>
        <v>4963</v>
      </c>
      <c r="AR47" s="37">
        <f t="shared" si="59"/>
        <v>4964</v>
      </c>
      <c r="AS47" s="37">
        <f t="shared" si="60"/>
        <v>4965</v>
      </c>
      <c r="AT47" s="37">
        <f t="shared" si="61"/>
        <v>4966</v>
      </c>
      <c r="AU47" s="37">
        <f t="shared" si="62"/>
        <v>4967</v>
      </c>
      <c r="AV47" s="37">
        <f t="shared" si="63"/>
        <v>4968</v>
      </c>
      <c r="AW47" s="37">
        <f t="shared" si="64"/>
        <v>4969</v>
      </c>
      <c r="AX47" s="38">
        <f t="shared" si="65"/>
        <v>4970</v>
      </c>
      <c r="AY47" s="36">
        <f t="shared" si="66"/>
        <v>4971</v>
      </c>
      <c r="AZ47" s="37">
        <f t="shared" si="67"/>
        <v>4972</v>
      </c>
      <c r="BA47" s="37">
        <f t="shared" si="68"/>
        <v>4973</v>
      </c>
      <c r="BB47" s="37">
        <f t="shared" si="69"/>
        <v>4974</v>
      </c>
      <c r="BC47" s="37">
        <f t="shared" si="70"/>
        <v>4975</v>
      </c>
      <c r="BD47" s="37">
        <f t="shared" si="71"/>
        <v>4976</v>
      </c>
      <c r="BE47" s="37">
        <f t="shared" si="72"/>
        <v>4977</v>
      </c>
      <c r="BF47" s="37">
        <f t="shared" si="73"/>
        <v>4978</v>
      </c>
      <c r="BG47" s="37">
        <f t="shared" si="74"/>
        <v>4979</v>
      </c>
      <c r="BH47" s="38">
        <f t="shared" si="75"/>
        <v>4980</v>
      </c>
      <c r="BI47" s="36">
        <f t="shared" si="76"/>
        <v>4981</v>
      </c>
      <c r="BJ47" s="37">
        <f t="shared" si="77"/>
        <v>4982</v>
      </c>
      <c r="BK47" s="37">
        <f t="shared" si="78"/>
        <v>4983</v>
      </c>
      <c r="BL47" s="37">
        <f t="shared" si="79"/>
        <v>4984</v>
      </c>
      <c r="BM47" s="37">
        <f t="shared" si="80"/>
        <v>4985</v>
      </c>
      <c r="BN47" s="37">
        <f t="shared" si="81"/>
        <v>4986</v>
      </c>
      <c r="BO47" s="37">
        <f t="shared" si="82"/>
        <v>4987</v>
      </c>
      <c r="BP47" s="37">
        <f t="shared" si="83"/>
        <v>4988</v>
      </c>
      <c r="BQ47" s="37">
        <f t="shared" si="84"/>
        <v>4989</v>
      </c>
      <c r="BR47" s="39">
        <f t="shared" si="85"/>
        <v>4990</v>
      </c>
      <c r="BS47" s="36">
        <f t="shared" si="86"/>
        <v>4991</v>
      </c>
      <c r="BT47" s="37">
        <f t="shared" si="87"/>
        <v>4992</v>
      </c>
      <c r="BU47" s="37">
        <f t="shared" si="88"/>
        <v>4993</v>
      </c>
      <c r="BV47" s="37">
        <f t="shared" si="89"/>
        <v>4994</v>
      </c>
      <c r="BW47" s="37">
        <f t="shared" si="90"/>
        <v>4995</v>
      </c>
      <c r="BX47" s="37">
        <f t="shared" si="91"/>
        <v>4996</v>
      </c>
      <c r="BY47" s="37">
        <f t="shared" si="92"/>
        <v>4997</v>
      </c>
      <c r="BZ47" s="37">
        <f t="shared" si="93"/>
        <v>4998</v>
      </c>
      <c r="CA47" s="37">
        <f t="shared" si="94"/>
        <v>4999</v>
      </c>
      <c r="CB47" s="38">
        <f t="shared" si="95"/>
        <v>5000</v>
      </c>
      <c r="CC47" s="40">
        <f t="shared" si="96"/>
        <v>5001</v>
      </c>
      <c r="CD47" s="37">
        <f t="shared" si="97"/>
        <v>5002</v>
      </c>
      <c r="CE47" s="37">
        <f t="shared" si="98"/>
        <v>5003</v>
      </c>
      <c r="CF47" s="37">
        <f t="shared" si="99"/>
        <v>5004</v>
      </c>
      <c r="CG47" s="37">
        <f t="shared" si="100"/>
        <v>5005</v>
      </c>
      <c r="CH47" s="37">
        <f t="shared" si="101"/>
        <v>5006</v>
      </c>
      <c r="CI47" s="37">
        <f t="shared" si="102"/>
        <v>5007</v>
      </c>
      <c r="CJ47" s="37">
        <f t="shared" si="103"/>
        <v>5008</v>
      </c>
      <c r="CK47" s="37">
        <f t="shared" si="104"/>
        <v>5009</v>
      </c>
      <c r="CL47" s="39">
        <f t="shared" si="105"/>
        <v>5010</v>
      </c>
      <c r="CM47" s="36">
        <f t="shared" si="106"/>
        <v>5011</v>
      </c>
      <c r="CN47" s="37">
        <f t="shared" si="107"/>
        <v>5012</v>
      </c>
      <c r="CO47" s="37">
        <f t="shared" si="108"/>
        <v>5013</v>
      </c>
      <c r="CP47" s="37">
        <f t="shared" si="109"/>
        <v>5014</v>
      </c>
      <c r="CQ47" s="37">
        <f t="shared" si="110"/>
        <v>5015</v>
      </c>
      <c r="CR47" s="37">
        <f t="shared" si="111"/>
        <v>5016</v>
      </c>
      <c r="CS47" s="37">
        <f t="shared" si="112"/>
        <v>5017</v>
      </c>
      <c r="CT47" s="37">
        <f t="shared" si="113"/>
        <v>5018</v>
      </c>
      <c r="CU47" s="37">
        <f t="shared" si="114"/>
        <v>5019</v>
      </c>
      <c r="CV47" s="38">
        <f t="shared" si="115"/>
        <v>5020</v>
      </c>
      <c r="CW47" s="40">
        <f t="shared" si="116"/>
        <v>5021</v>
      </c>
      <c r="CX47" s="37">
        <f t="shared" si="117"/>
        <v>5022</v>
      </c>
      <c r="CY47" s="37">
        <f t="shared" si="118"/>
        <v>5023</v>
      </c>
      <c r="CZ47" s="37">
        <f t="shared" si="119"/>
        <v>5024</v>
      </c>
      <c r="DA47" s="37">
        <f t="shared" si="120"/>
        <v>5025</v>
      </c>
      <c r="DB47" s="37">
        <f t="shared" si="121"/>
        <v>5026</v>
      </c>
      <c r="DC47" s="37">
        <f t="shared" si="122"/>
        <v>5027</v>
      </c>
      <c r="DD47" s="37">
        <f t="shared" si="123"/>
        <v>5028</v>
      </c>
      <c r="DE47" s="37">
        <f t="shared" si="124"/>
        <v>5029</v>
      </c>
      <c r="DF47" s="39">
        <f t="shared" si="125"/>
        <v>5030</v>
      </c>
      <c r="DG47" s="36">
        <f t="shared" si="126"/>
        <v>5031</v>
      </c>
      <c r="DH47" s="37">
        <f t="shared" si="127"/>
        <v>5032</v>
      </c>
      <c r="DI47" s="37">
        <f t="shared" si="128"/>
        <v>5033</v>
      </c>
      <c r="DJ47" s="37">
        <f t="shared" si="129"/>
        <v>5034</v>
      </c>
      <c r="DK47" s="37">
        <f t="shared" si="130"/>
        <v>5035</v>
      </c>
      <c r="DL47" s="37">
        <f t="shared" si="131"/>
        <v>5036</v>
      </c>
      <c r="DM47" s="37">
        <f t="shared" si="132"/>
        <v>5037</v>
      </c>
      <c r="DN47" s="37">
        <f t="shared" si="133"/>
        <v>5038</v>
      </c>
      <c r="DO47" s="37">
        <f t="shared" si="134"/>
        <v>5039</v>
      </c>
      <c r="DP47" s="38">
        <f t="shared" si="135"/>
        <v>5040</v>
      </c>
      <c r="DR47" s="966"/>
      <c r="DS47" s="967"/>
      <c r="DT47" s="967"/>
      <c r="DU47" s="968"/>
    </row>
    <row r="48" spans="1:125" ht="5.75" customHeight="1">
      <c r="A48" s="36">
        <f t="shared" si="136"/>
        <v>5041</v>
      </c>
      <c r="B48" s="37">
        <f t="shared" si="17"/>
        <v>5042</v>
      </c>
      <c r="C48" s="37">
        <f t="shared" si="18"/>
        <v>5043</v>
      </c>
      <c r="D48" s="37">
        <f t="shared" si="19"/>
        <v>5044</v>
      </c>
      <c r="E48" s="37">
        <f t="shared" si="20"/>
        <v>5045</v>
      </c>
      <c r="F48" s="37">
        <f t="shared" si="21"/>
        <v>5046</v>
      </c>
      <c r="G48" s="37">
        <f t="shared" si="22"/>
        <v>5047</v>
      </c>
      <c r="H48" s="37">
        <f t="shared" si="23"/>
        <v>5048</v>
      </c>
      <c r="I48" s="37">
        <f t="shared" si="24"/>
        <v>5049</v>
      </c>
      <c r="J48" s="38">
        <f t="shared" si="25"/>
        <v>5050</v>
      </c>
      <c r="K48" s="36">
        <f t="shared" si="26"/>
        <v>5051</v>
      </c>
      <c r="L48" s="37">
        <f t="shared" si="27"/>
        <v>5052</v>
      </c>
      <c r="M48" s="37">
        <f t="shared" si="28"/>
        <v>5053</v>
      </c>
      <c r="N48" s="37">
        <f t="shared" si="29"/>
        <v>5054</v>
      </c>
      <c r="O48" s="37">
        <f t="shared" si="30"/>
        <v>5055</v>
      </c>
      <c r="P48" s="37">
        <f t="shared" si="31"/>
        <v>5056</v>
      </c>
      <c r="Q48" s="37">
        <f t="shared" si="32"/>
        <v>5057</v>
      </c>
      <c r="R48" s="37">
        <f t="shared" si="33"/>
        <v>5058</v>
      </c>
      <c r="S48" s="37">
        <f t="shared" si="34"/>
        <v>5059</v>
      </c>
      <c r="T48" s="38">
        <f t="shared" si="35"/>
        <v>5060</v>
      </c>
      <c r="U48" s="36">
        <f t="shared" si="36"/>
        <v>5061</v>
      </c>
      <c r="V48" s="37">
        <f t="shared" si="37"/>
        <v>5062</v>
      </c>
      <c r="W48" s="37">
        <f t="shared" si="38"/>
        <v>5063</v>
      </c>
      <c r="X48" s="37">
        <f t="shared" si="39"/>
        <v>5064</v>
      </c>
      <c r="Y48" s="37">
        <f t="shared" si="40"/>
        <v>5065</v>
      </c>
      <c r="Z48" s="37">
        <f t="shared" si="41"/>
        <v>5066</v>
      </c>
      <c r="AA48" s="37">
        <f t="shared" si="42"/>
        <v>5067</v>
      </c>
      <c r="AB48" s="37">
        <f t="shared" si="43"/>
        <v>5068</v>
      </c>
      <c r="AC48" s="37">
        <f t="shared" si="44"/>
        <v>5069</v>
      </c>
      <c r="AD48" s="38">
        <f t="shared" si="45"/>
        <v>5070</v>
      </c>
      <c r="AE48" s="36">
        <f t="shared" si="46"/>
        <v>5071</v>
      </c>
      <c r="AF48" s="37">
        <f t="shared" si="47"/>
        <v>5072</v>
      </c>
      <c r="AG48" s="37">
        <f t="shared" si="48"/>
        <v>5073</v>
      </c>
      <c r="AH48" s="37">
        <f t="shared" si="49"/>
        <v>5074</v>
      </c>
      <c r="AI48" s="37">
        <f t="shared" si="50"/>
        <v>5075</v>
      </c>
      <c r="AJ48" s="37">
        <f t="shared" si="51"/>
        <v>5076</v>
      </c>
      <c r="AK48" s="37">
        <f t="shared" si="52"/>
        <v>5077</v>
      </c>
      <c r="AL48" s="37">
        <f t="shared" si="53"/>
        <v>5078</v>
      </c>
      <c r="AM48" s="37">
        <f t="shared" si="54"/>
        <v>5079</v>
      </c>
      <c r="AN48" s="38">
        <f t="shared" si="55"/>
        <v>5080</v>
      </c>
      <c r="AO48" s="36">
        <f t="shared" si="56"/>
        <v>5081</v>
      </c>
      <c r="AP48" s="37">
        <f t="shared" si="57"/>
        <v>5082</v>
      </c>
      <c r="AQ48" s="37">
        <f t="shared" si="58"/>
        <v>5083</v>
      </c>
      <c r="AR48" s="37">
        <f t="shared" si="59"/>
        <v>5084</v>
      </c>
      <c r="AS48" s="37">
        <f t="shared" si="60"/>
        <v>5085</v>
      </c>
      <c r="AT48" s="37">
        <f t="shared" si="61"/>
        <v>5086</v>
      </c>
      <c r="AU48" s="37">
        <f t="shared" si="62"/>
        <v>5087</v>
      </c>
      <c r="AV48" s="37">
        <f t="shared" si="63"/>
        <v>5088</v>
      </c>
      <c r="AW48" s="37">
        <f t="shared" si="64"/>
        <v>5089</v>
      </c>
      <c r="AX48" s="38">
        <f t="shared" si="65"/>
        <v>5090</v>
      </c>
      <c r="AY48" s="36">
        <f t="shared" si="66"/>
        <v>5091</v>
      </c>
      <c r="AZ48" s="37">
        <f t="shared" si="67"/>
        <v>5092</v>
      </c>
      <c r="BA48" s="37">
        <f t="shared" si="68"/>
        <v>5093</v>
      </c>
      <c r="BB48" s="37">
        <f t="shared" si="69"/>
        <v>5094</v>
      </c>
      <c r="BC48" s="37">
        <f t="shared" si="70"/>
        <v>5095</v>
      </c>
      <c r="BD48" s="37">
        <f t="shared" si="71"/>
        <v>5096</v>
      </c>
      <c r="BE48" s="37">
        <f t="shared" si="72"/>
        <v>5097</v>
      </c>
      <c r="BF48" s="37">
        <f t="shared" si="73"/>
        <v>5098</v>
      </c>
      <c r="BG48" s="37">
        <f t="shared" si="74"/>
        <v>5099</v>
      </c>
      <c r="BH48" s="38">
        <f t="shared" si="75"/>
        <v>5100</v>
      </c>
      <c r="BI48" s="36">
        <f t="shared" si="76"/>
        <v>5101</v>
      </c>
      <c r="BJ48" s="37">
        <f t="shared" si="77"/>
        <v>5102</v>
      </c>
      <c r="BK48" s="37">
        <f t="shared" si="78"/>
        <v>5103</v>
      </c>
      <c r="BL48" s="37">
        <f t="shared" si="79"/>
        <v>5104</v>
      </c>
      <c r="BM48" s="37">
        <f t="shared" si="80"/>
        <v>5105</v>
      </c>
      <c r="BN48" s="37">
        <f t="shared" si="81"/>
        <v>5106</v>
      </c>
      <c r="BO48" s="37">
        <f t="shared" si="82"/>
        <v>5107</v>
      </c>
      <c r="BP48" s="37">
        <f t="shared" si="83"/>
        <v>5108</v>
      </c>
      <c r="BQ48" s="37">
        <f t="shared" si="84"/>
        <v>5109</v>
      </c>
      <c r="BR48" s="39">
        <f t="shared" si="85"/>
        <v>5110</v>
      </c>
      <c r="BS48" s="36">
        <f t="shared" si="86"/>
        <v>5111</v>
      </c>
      <c r="BT48" s="37">
        <f t="shared" si="87"/>
        <v>5112</v>
      </c>
      <c r="BU48" s="37">
        <f t="shared" si="88"/>
        <v>5113</v>
      </c>
      <c r="BV48" s="37">
        <f t="shared" si="89"/>
        <v>5114</v>
      </c>
      <c r="BW48" s="37">
        <f t="shared" si="90"/>
        <v>5115</v>
      </c>
      <c r="BX48" s="37">
        <f t="shared" si="91"/>
        <v>5116</v>
      </c>
      <c r="BY48" s="37">
        <f t="shared" si="92"/>
        <v>5117</v>
      </c>
      <c r="BZ48" s="37">
        <f t="shared" si="93"/>
        <v>5118</v>
      </c>
      <c r="CA48" s="37">
        <f t="shared" si="94"/>
        <v>5119</v>
      </c>
      <c r="CB48" s="38">
        <f t="shared" si="95"/>
        <v>5120</v>
      </c>
      <c r="CC48" s="40">
        <f t="shared" si="96"/>
        <v>5121</v>
      </c>
      <c r="CD48" s="37">
        <f t="shared" si="97"/>
        <v>5122</v>
      </c>
      <c r="CE48" s="37">
        <f t="shared" si="98"/>
        <v>5123</v>
      </c>
      <c r="CF48" s="37">
        <f t="shared" si="99"/>
        <v>5124</v>
      </c>
      <c r="CG48" s="37">
        <f t="shared" si="100"/>
        <v>5125</v>
      </c>
      <c r="CH48" s="37">
        <f t="shared" si="101"/>
        <v>5126</v>
      </c>
      <c r="CI48" s="37">
        <f t="shared" si="102"/>
        <v>5127</v>
      </c>
      <c r="CJ48" s="37">
        <f t="shared" si="103"/>
        <v>5128</v>
      </c>
      <c r="CK48" s="37">
        <f t="shared" si="104"/>
        <v>5129</v>
      </c>
      <c r="CL48" s="39">
        <f t="shared" si="105"/>
        <v>5130</v>
      </c>
      <c r="CM48" s="36">
        <f t="shared" si="106"/>
        <v>5131</v>
      </c>
      <c r="CN48" s="37">
        <f t="shared" si="107"/>
        <v>5132</v>
      </c>
      <c r="CO48" s="37">
        <f t="shared" si="108"/>
        <v>5133</v>
      </c>
      <c r="CP48" s="37">
        <f t="shared" si="109"/>
        <v>5134</v>
      </c>
      <c r="CQ48" s="37">
        <f t="shared" si="110"/>
        <v>5135</v>
      </c>
      <c r="CR48" s="37">
        <f t="shared" si="111"/>
        <v>5136</v>
      </c>
      <c r="CS48" s="37">
        <f t="shared" si="112"/>
        <v>5137</v>
      </c>
      <c r="CT48" s="37">
        <f t="shared" si="113"/>
        <v>5138</v>
      </c>
      <c r="CU48" s="37">
        <f t="shared" si="114"/>
        <v>5139</v>
      </c>
      <c r="CV48" s="38">
        <f t="shared" si="115"/>
        <v>5140</v>
      </c>
      <c r="CW48" s="40">
        <f t="shared" si="116"/>
        <v>5141</v>
      </c>
      <c r="CX48" s="37">
        <f t="shared" si="117"/>
        <v>5142</v>
      </c>
      <c r="CY48" s="37">
        <f t="shared" si="118"/>
        <v>5143</v>
      </c>
      <c r="CZ48" s="37">
        <f t="shared" si="119"/>
        <v>5144</v>
      </c>
      <c r="DA48" s="37">
        <f t="shared" si="120"/>
        <v>5145</v>
      </c>
      <c r="DB48" s="37">
        <f t="shared" si="121"/>
        <v>5146</v>
      </c>
      <c r="DC48" s="37">
        <f t="shared" si="122"/>
        <v>5147</v>
      </c>
      <c r="DD48" s="37">
        <f t="shared" si="123"/>
        <v>5148</v>
      </c>
      <c r="DE48" s="37">
        <f t="shared" si="124"/>
        <v>5149</v>
      </c>
      <c r="DF48" s="39">
        <f t="shared" si="125"/>
        <v>5150</v>
      </c>
      <c r="DG48" s="36">
        <f t="shared" si="126"/>
        <v>5151</v>
      </c>
      <c r="DH48" s="37">
        <f t="shared" si="127"/>
        <v>5152</v>
      </c>
      <c r="DI48" s="37">
        <f t="shared" si="128"/>
        <v>5153</v>
      </c>
      <c r="DJ48" s="37">
        <f t="shared" si="129"/>
        <v>5154</v>
      </c>
      <c r="DK48" s="37">
        <f t="shared" si="130"/>
        <v>5155</v>
      </c>
      <c r="DL48" s="37">
        <f t="shared" si="131"/>
        <v>5156</v>
      </c>
      <c r="DM48" s="37">
        <f t="shared" si="132"/>
        <v>5157</v>
      </c>
      <c r="DN48" s="37">
        <f t="shared" si="133"/>
        <v>5158</v>
      </c>
      <c r="DO48" s="37">
        <f t="shared" si="134"/>
        <v>5159</v>
      </c>
      <c r="DP48" s="38">
        <f t="shared" si="135"/>
        <v>5160</v>
      </c>
      <c r="DR48" s="966">
        <v>40</v>
      </c>
      <c r="DS48" s="967"/>
      <c r="DT48" s="967"/>
      <c r="DU48" s="968"/>
    </row>
    <row r="49" spans="1:125" ht="5.75" customHeight="1">
      <c r="A49" s="36">
        <f t="shared" si="136"/>
        <v>5161</v>
      </c>
      <c r="B49" s="37">
        <f t="shared" si="17"/>
        <v>5162</v>
      </c>
      <c r="C49" s="37">
        <f t="shared" si="18"/>
        <v>5163</v>
      </c>
      <c r="D49" s="37">
        <f t="shared" si="19"/>
        <v>5164</v>
      </c>
      <c r="E49" s="37">
        <f t="shared" si="20"/>
        <v>5165</v>
      </c>
      <c r="F49" s="37">
        <f t="shared" si="21"/>
        <v>5166</v>
      </c>
      <c r="G49" s="37">
        <f t="shared" si="22"/>
        <v>5167</v>
      </c>
      <c r="H49" s="37">
        <f t="shared" si="23"/>
        <v>5168</v>
      </c>
      <c r="I49" s="37">
        <f t="shared" si="24"/>
        <v>5169</v>
      </c>
      <c r="J49" s="38">
        <f t="shared" si="25"/>
        <v>5170</v>
      </c>
      <c r="K49" s="36">
        <f t="shared" si="26"/>
        <v>5171</v>
      </c>
      <c r="L49" s="37">
        <f t="shared" si="27"/>
        <v>5172</v>
      </c>
      <c r="M49" s="37">
        <f t="shared" si="28"/>
        <v>5173</v>
      </c>
      <c r="N49" s="37">
        <f t="shared" si="29"/>
        <v>5174</v>
      </c>
      <c r="O49" s="37">
        <f t="shared" si="30"/>
        <v>5175</v>
      </c>
      <c r="P49" s="37">
        <f t="shared" si="31"/>
        <v>5176</v>
      </c>
      <c r="Q49" s="37">
        <f t="shared" si="32"/>
        <v>5177</v>
      </c>
      <c r="R49" s="37">
        <f t="shared" si="33"/>
        <v>5178</v>
      </c>
      <c r="S49" s="37">
        <f t="shared" si="34"/>
        <v>5179</v>
      </c>
      <c r="T49" s="38">
        <f t="shared" si="35"/>
        <v>5180</v>
      </c>
      <c r="U49" s="36">
        <f t="shared" si="36"/>
        <v>5181</v>
      </c>
      <c r="V49" s="37">
        <f t="shared" si="37"/>
        <v>5182</v>
      </c>
      <c r="W49" s="37">
        <f t="shared" si="38"/>
        <v>5183</v>
      </c>
      <c r="X49" s="37">
        <f t="shared" si="39"/>
        <v>5184</v>
      </c>
      <c r="Y49" s="37">
        <f t="shared" si="40"/>
        <v>5185</v>
      </c>
      <c r="Z49" s="37">
        <f t="shared" si="41"/>
        <v>5186</v>
      </c>
      <c r="AA49" s="37">
        <f t="shared" si="42"/>
        <v>5187</v>
      </c>
      <c r="AB49" s="37">
        <f t="shared" si="43"/>
        <v>5188</v>
      </c>
      <c r="AC49" s="37">
        <f t="shared" si="44"/>
        <v>5189</v>
      </c>
      <c r="AD49" s="38">
        <f t="shared" si="45"/>
        <v>5190</v>
      </c>
      <c r="AE49" s="36">
        <f t="shared" si="46"/>
        <v>5191</v>
      </c>
      <c r="AF49" s="37">
        <f t="shared" si="47"/>
        <v>5192</v>
      </c>
      <c r="AG49" s="37">
        <f t="shared" si="48"/>
        <v>5193</v>
      </c>
      <c r="AH49" s="37">
        <f t="shared" si="49"/>
        <v>5194</v>
      </c>
      <c r="AI49" s="37">
        <f t="shared" si="50"/>
        <v>5195</v>
      </c>
      <c r="AJ49" s="37">
        <f t="shared" si="51"/>
        <v>5196</v>
      </c>
      <c r="AK49" s="37">
        <f t="shared" si="52"/>
        <v>5197</v>
      </c>
      <c r="AL49" s="37">
        <f t="shared" si="53"/>
        <v>5198</v>
      </c>
      <c r="AM49" s="37">
        <f t="shared" si="54"/>
        <v>5199</v>
      </c>
      <c r="AN49" s="38">
        <f t="shared" si="55"/>
        <v>5200</v>
      </c>
      <c r="AO49" s="36">
        <f t="shared" si="56"/>
        <v>5201</v>
      </c>
      <c r="AP49" s="37">
        <f t="shared" si="57"/>
        <v>5202</v>
      </c>
      <c r="AQ49" s="37">
        <f t="shared" si="58"/>
        <v>5203</v>
      </c>
      <c r="AR49" s="37">
        <f t="shared" si="59"/>
        <v>5204</v>
      </c>
      <c r="AS49" s="37">
        <f t="shared" si="60"/>
        <v>5205</v>
      </c>
      <c r="AT49" s="37">
        <f t="shared" si="61"/>
        <v>5206</v>
      </c>
      <c r="AU49" s="37">
        <f t="shared" si="62"/>
        <v>5207</v>
      </c>
      <c r="AV49" s="37">
        <f t="shared" si="63"/>
        <v>5208</v>
      </c>
      <c r="AW49" s="37">
        <f t="shared" si="64"/>
        <v>5209</v>
      </c>
      <c r="AX49" s="38">
        <f t="shared" si="65"/>
        <v>5210</v>
      </c>
      <c r="AY49" s="36">
        <f t="shared" si="66"/>
        <v>5211</v>
      </c>
      <c r="AZ49" s="37">
        <f t="shared" si="67"/>
        <v>5212</v>
      </c>
      <c r="BA49" s="37">
        <f t="shared" si="68"/>
        <v>5213</v>
      </c>
      <c r="BB49" s="37">
        <f t="shared" si="69"/>
        <v>5214</v>
      </c>
      <c r="BC49" s="37">
        <f t="shared" si="70"/>
        <v>5215</v>
      </c>
      <c r="BD49" s="37">
        <f t="shared" si="71"/>
        <v>5216</v>
      </c>
      <c r="BE49" s="37">
        <f t="shared" si="72"/>
        <v>5217</v>
      </c>
      <c r="BF49" s="37">
        <f t="shared" si="73"/>
        <v>5218</v>
      </c>
      <c r="BG49" s="37">
        <f t="shared" si="74"/>
        <v>5219</v>
      </c>
      <c r="BH49" s="38">
        <f t="shared" si="75"/>
        <v>5220</v>
      </c>
      <c r="BI49" s="36">
        <f t="shared" si="76"/>
        <v>5221</v>
      </c>
      <c r="BJ49" s="37">
        <f t="shared" si="77"/>
        <v>5222</v>
      </c>
      <c r="BK49" s="37">
        <f t="shared" si="78"/>
        <v>5223</v>
      </c>
      <c r="BL49" s="37">
        <f t="shared" si="79"/>
        <v>5224</v>
      </c>
      <c r="BM49" s="37">
        <f t="shared" si="80"/>
        <v>5225</v>
      </c>
      <c r="BN49" s="37">
        <f t="shared" si="81"/>
        <v>5226</v>
      </c>
      <c r="BO49" s="37">
        <f t="shared" si="82"/>
        <v>5227</v>
      </c>
      <c r="BP49" s="37">
        <f t="shared" si="83"/>
        <v>5228</v>
      </c>
      <c r="BQ49" s="37">
        <f t="shared" si="84"/>
        <v>5229</v>
      </c>
      <c r="BR49" s="39">
        <f t="shared" si="85"/>
        <v>5230</v>
      </c>
      <c r="BS49" s="36">
        <f t="shared" si="86"/>
        <v>5231</v>
      </c>
      <c r="BT49" s="37">
        <f t="shared" si="87"/>
        <v>5232</v>
      </c>
      <c r="BU49" s="37">
        <f t="shared" si="88"/>
        <v>5233</v>
      </c>
      <c r="BV49" s="37">
        <f t="shared" si="89"/>
        <v>5234</v>
      </c>
      <c r="BW49" s="37">
        <f t="shared" si="90"/>
        <v>5235</v>
      </c>
      <c r="BX49" s="37">
        <f t="shared" si="91"/>
        <v>5236</v>
      </c>
      <c r="BY49" s="37">
        <f t="shared" si="92"/>
        <v>5237</v>
      </c>
      <c r="BZ49" s="37">
        <f t="shared" si="93"/>
        <v>5238</v>
      </c>
      <c r="CA49" s="37">
        <f t="shared" si="94"/>
        <v>5239</v>
      </c>
      <c r="CB49" s="38">
        <f t="shared" si="95"/>
        <v>5240</v>
      </c>
      <c r="CC49" s="40">
        <f t="shared" si="96"/>
        <v>5241</v>
      </c>
      <c r="CD49" s="37">
        <f t="shared" si="97"/>
        <v>5242</v>
      </c>
      <c r="CE49" s="37">
        <f t="shared" si="98"/>
        <v>5243</v>
      </c>
      <c r="CF49" s="37">
        <f t="shared" si="99"/>
        <v>5244</v>
      </c>
      <c r="CG49" s="37">
        <f t="shared" si="100"/>
        <v>5245</v>
      </c>
      <c r="CH49" s="37">
        <f t="shared" si="101"/>
        <v>5246</v>
      </c>
      <c r="CI49" s="37">
        <f t="shared" si="102"/>
        <v>5247</v>
      </c>
      <c r="CJ49" s="37">
        <f t="shared" si="103"/>
        <v>5248</v>
      </c>
      <c r="CK49" s="37">
        <f t="shared" si="104"/>
        <v>5249</v>
      </c>
      <c r="CL49" s="39">
        <f t="shared" si="105"/>
        <v>5250</v>
      </c>
      <c r="CM49" s="36">
        <f t="shared" si="106"/>
        <v>5251</v>
      </c>
      <c r="CN49" s="37">
        <f t="shared" si="107"/>
        <v>5252</v>
      </c>
      <c r="CO49" s="37">
        <f t="shared" si="108"/>
        <v>5253</v>
      </c>
      <c r="CP49" s="37">
        <f t="shared" si="109"/>
        <v>5254</v>
      </c>
      <c r="CQ49" s="37">
        <f t="shared" si="110"/>
        <v>5255</v>
      </c>
      <c r="CR49" s="37">
        <f t="shared" si="111"/>
        <v>5256</v>
      </c>
      <c r="CS49" s="37">
        <f t="shared" si="112"/>
        <v>5257</v>
      </c>
      <c r="CT49" s="37">
        <f t="shared" si="113"/>
        <v>5258</v>
      </c>
      <c r="CU49" s="37">
        <f t="shared" si="114"/>
        <v>5259</v>
      </c>
      <c r="CV49" s="38">
        <f t="shared" si="115"/>
        <v>5260</v>
      </c>
      <c r="CW49" s="40">
        <f t="shared" si="116"/>
        <v>5261</v>
      </c>
      <c r="CX49" s="37">
        <f t="shared" si="117"/>
        <v>5262</v>
      </c>
      <c r="CY49" s="37">
        <f t="shared" si="118"/>
        <v>5263</v>
      </c>
      <c r="CZ49" s="37">
        <f t="shared" si="119"/>
        <v>5264</v>
      </c>
      <c r="DA49" s="37">
        <f t="shared" si="120"/>
        <v>5265</v>
      </c>
      <c r="DB49" s="37">
        <f t="shared" si="121"/>
        <v>5266</v>
      </c>
      <c r="DC49" s="37">
        <f t="shared" si="122"/>
        <v>5267</v>
      </c>
      <c r="DD49" s="37">
        <f t="shared" si="123"/>
        <v>5268</v>
      </c>
      <c r="DE49" s="37">
        <f t="shared" si="124"/>
        <v>5269</v>
      </c>
      <c r="DF49" s="39">
        <f t="shared" si="125"/>
        <v>5270</v>
      </c>
      <c r="DG49" s="36">
        <f t="shared" si="126"/>
        <v>5271</v>
      </c>
      <c r="DH49" s="37">
        <f t="shared" si="127"/>
        <v>5272</v>
      </c>
      <c r="DI49" s="37">
        <f t="shared" si="128"/>
        <v>5273</v>
      </c>
      <c r="DJ49" s="37">
        <f t="shared" si="129"/>
        <v>5274</v>
      </c>
      <c r="DK49" s="37">
        <f t="shared" si="130"/>
        <v>5275</v>
      </c>
      <c r="DL49" s="37">
        <f t="shared" si="131"/>
        <v>5276</v>
      </c>
      <c r="DM49" s="37">
        <f t="shared" si="132"/>
        <v>5277</v>
      </c>
      <c r="DN49" s="37">
        <f t="shared" si="133"/>
        <v>5278</v>
      </c>
      <c r="DO49" s="37">
        <f t="shared" si="134"/>
        <v>5279</v>
      </c>
      <c r="DP49" s="38">
        <f t="shared" si="135"/>
        <v>5280</v>
      </c>
      <c r="DR49" s="966"/>
      <c r="DS49" s="967"/>
      <c r="DT49" s="967"/>
      <c r="DU49" s="968"/>
    </row>
    <row r="50" spans="1:125" ht="5.75" customHeight="1">
      <c r="A50" s="36">
        <f t="shared" si="136"/>
        <v>5281</v>
      </c>
      <c r="B50" s="37">
        <f t="shared" si="17"/>
        <v>5282</v>
      </c>
      <c r="C50" s="37">
        <f t="shared" si="18"/>
        <v>5283</v>
      </c>
      <c r="D50" s="37">
        <f t="shared" si="19"/>
        <v>5284</v>
      </c>
      <c r="E50" s="37">
        <f t="shared" si="20"/>
        <v>5285</v>
      </c>
      <c r="F50" s="37">
        <f t="shared" si="21"/>
        <v>5286</v>
      </c>
      <c r="G50" s="37">
        <f t="shared" si="22"/>
        <v>5287</v>
      </c>
      <c r="H50" s="37">
        <f t="shared" si="23"/>
        <v>5288</v>
      </c>
      <c r="I50" s="37">
        <f t="shared" si="24"/>
        <v>5289</v>
      </c>
      <c r="J50" s="38">
        <f t="shared" si="25"/>
        <v>5290</v>
      </c>
      <c r="K50" s="36">
        <f t="shared" si="26"/>
        <v>5291</v>
      </c>
      <c r="L50" s="37">
        <f t="shared" si="27"/>
        <v>5292</v>
      </c>
      <c r="M50" s="37">
        <f t="shared" si="28"/>
        <v>5293</v>
      </c>
      <c r="N50" s="37">
        <f t="shared" si="29"/>
        <v>5294</v>
      </c>
      <c r="O50" s="37">
        <f t="shared" si="30"/>
        <v>5295</v>
      </c>
      <c r="P50" s="37">
        <f t="shared" si="31"/>
        <v>5296</v>
      </c>
      <c r="Q50" s="37">
        <f t="shared" si="32"/>
        <v>5297</v>
      </c>
      <c r="R50" s="37">
        <f t="shared" si="33"/>
        <v>5298</v>
      </c>
      <c r="S50" s="37">
        <f t="shared" si="34"/>
        <v>5299</v>
      </c>
      <c r="T50" s="38">
        <f t="shared" si="35"/>
        <v>5300</v>
      </c>
      <c r="U50" s="36">
        <f t="shared" si="36"/>
        <v>5301</v>
      </c>
      <c r="V50" s="37">
        <f t="shared" si="37"/>
        <v>5302</v>
      </c>
      <c r="W50" s="37">
        <f t="shared" si="38"/>
        <v>5303</v>
      </c>
      <c r="X50" s="37">
        <f t="shared" si="39"/>
        <v>5304</v>
      </c>
      <c r="Y50" s="37">
        <f t="shared" si="40"/>
        <v>5305</v>
      </c>
      <c r="Z50" s="37">
        <f t="shared" si="41"/>
        <v>5306</v>
      </c>
      <c r="AA50" s="37">
        <f t="shared" si="42"/>
        <v>5307</v>
      </c>
      <c r="AB50" s="37">
        <f t="shared" si="43"/>
        <v>5308</v>
      </c>
      <c r="AC50" s="37">
        <f t="shared" si="44"/>
        <v>5309</v>
      </c>
      <c r="AD50" s="38">
        <f t="shared" si="45"/>
        <v>5310</v>
      </c>
      <c r="AE50" s="36">
        <f t="shared" si="46"/>
        <v>5311</v>
      </c>
      <c r="AF50" s="37">
        <f t="shared" si="47"/>
        <v>5312</v>
      </c>
      <c r="AG50" s="37">
        <f t="shared" si="48"/>
        <v>5313</v>
      </c>
      <c r="AH50" s="37">
        <f t="shared" si="49"/>
        <v>5314</v>
      </c>
      <c r="AI50" s="37">
        <f t="shared" si="50"/>
        <v>5315</v>
      </c>
      <c r="AJ50" s="37">
        <f t="shared" si="51"/>
        <v>5316</v>
      </c>
      <c r="AK50" s="37">
        <f t="shared" si="52"/>
        <v>5317</v>
      </c>
      <c r="AL50" s="37">
        <f t="shared" si="53"/>
        <v>5318</v>
      </c>
      <c r="AM50" s="37">
        <f t="shared" si="54"/>
        <v>5319</v>
      </c>
      <c r="AN50" s="38">
        <f t="shared" si="55"/>
        <v>5320</v>
      </c>
      <c r="AO50" s="36">
        <f t="shared" si="56"/>
        <v>5321</v>
      </c>
      <c r="AP50" s="37">
        <f t="shared" si="57"/>
        <v>5322</v>
      </c>
      <c r="AQ50" s="37">
        <f t="shared" si="58"/>
        <v>5323</v>
      </c>
      <c r="AR50" s="37">
        <f t="shared" si="59"/>
        <v>5324</v>
      </c>
      <c r="AS50" s="37">
        <f t="shared" si="60"/>
        <v>5325</v>
      </c>
      <c r="AT50" s="37">
        <f t="shared" si="61"/>
        <v>5326</v>
      </c>
      <c r="AU50" s="37">
        <f t="shared" si="62"/>
        <v>5327</v>
      </c>
      <c r="AV50" s="37">
        <f t="shared" si="63"/>
        <v>5328</v>
      </c>
      <c r="AW50" s="37">
        <f t="shared" si="64"/>
        <v>5329</v>
      </c>
      <c r="AX50" s="38">
        <f t="shared" si="65"/>
        <v>5330</v>
      </c>
      <c r="AY50" s="36">
        <f t="shared" si="66"/>
        <v>5331</v>
      </c>
      <c r="AZ50" s="37">
        <f t="shared" si="67"/>
        <v>5332</v>
      </c>
      <c r="BA50" s="37">
        <f t="shared" si="68"/>
        <v>5333</v>
      </c>
      <c r="BB50" s="37">
        <f t="shared" si="69"/>
        <v>5334</v>
      </c>
      <c r="BC50" s="37">
        <f t="shared" si="70"/>
        <v>5335</v>
      </c>
      <c r="BD50" s="37">
        <f t="shared" si="71"/>
        <v>5336</v>
      </c>
      <c r="BE50" s="37">
        <f t="shared" si="72"/>
        <v>5337</v>
      </c>
      <c r="BF50" s="37">
        <f t="shared" si="73"/>
        <v>5338</v>
      </c>
      <c r="BG50" s="37">
        <f t="shared" si="74"/>
        <v>5339</v>
      </c>
      <c r="BH50" s="38">
        <f t="shared" si="75"/>
        <v>5340</v>
      </c>
      <c r="BI50" s="36">
        <f t="shared" si="76"/>
        <v>5341</v>
      </c>
      <c r="BJ50" s="37">
        <f t="shared" si="77"/>
        <v>5342</v>
      </c>
      <c r="BK50" s="37">
        <f t="shared" si="78"/>
        <v>5343</v>
      </c>
      <c r="BL50" s="37">
        <f t="shared" si="79"/>
        <v>5344</v>
      </c>
      <c r="BM50" s="37">
        <f t="shared" si="80"/>
        <v>5345</v>
      </c>
      <c r="BN50" s="37">
        <f t="shared" si="81"/>
        <v>5346</v>
      </c>
      <c r="BO50" s="37">
        <f t="shared" si="82"/>
        <v>5347</v>
      </c>
      <c r="BP50" s="37">
        <f t="shared" si="83"/>
        <v>5348</v>
      </c>
      <c r="BQ50" s="37">
        <f t="shared" si="84"/>
        <v>5349</v>
      </c>
      <c r="BR50" s="39">
        <f t="shared" si="85"/>
        <v>5350</v>
      </c>
      <c r="BS50" s="36">
        <f t="shared" si="86"/>
        <v>5351</v>
      </c>
      <c r="BT50" s="37">
        <f t="shared" si="87"/>
        <v>5352</v>
      </c>
      <c r="BU50" s="37">
        <f t="shared" si="88"/>
        <v>5353</v>
      </c>
      <c r="BV50" s="37">
        <f t="shared" si="89"/>
        <v>5354</v>
      </c>
      <c r="BW50" s="37">
        <f t="shared" si="90"/>
        <v>5355</v>
      </c>
      <c r="BX50" s="37">
        <f t="shared" si="91"/>
        <v>5356</v>
      </c>
      <c r="BY50" s="37">
        <f t="shared" si="92"/>
        <v>5357</v>
      </c>
      <c r="BZ50" s="37">
        <f t="shared" si="93"/>
        <v>5358</v>
      </c>
      <c r="CA50" s="37">
        <f t="shared" si="94"/>
        <v>5359</v>
      </c>
      <c r="CB50" s="38">
        <f t="shared" si="95"/>
        <v>5360</v>
      </c>
      <c r="CC50" s="40">
        <f t="shared" si="96"/>
        <v>5361</v>
      </c>
      <c r="CD50" s="37">
        <f t="shared" si="97"/>
        <v>5362</v>
      </c>
      <c r="CE50" s="37">
        <f t="shared" si="98"/>
        <v>5363</v>
      </c>
      <c r="CF50" s="37">
        <f t="shared" si="99"/>
        <v>5364</v>
      </c>
      <c r="CG50" s="37">
        <f t="shared" si="100"/>
        <v>5365</v>
      </c>
      <c r="CH50" s="37">
        <f t="shared" si="101"/>
        <v>5366</v>
      </c>
      <c r="CI50" s="37">
        <f t="shared" si="102"/>
        <v>5367</v>
      </c>
      <c r="CJ50" s="37">
        <f t="shared" si="103"/>
        <v>5368</v>
      </c>
      <c r="CK50" s="37">
        <f t="shared" si="104"/>
        <v>5369</v>
      </c>
      <c r="CL50" s="39">
        <f t="shared" si="105"/>
        <v>5370</v>
      </c>
      <c r="CM50" s="36">
        <f t="shared" si="106"/>
        <v>5371</v>
      </c>
      <c r="CN50" s="37">
        <f t="shared" si="107"/>
        <v>5372</v>
      </c>
      <c r="CO50" s="37">
        <f t="shared" si="108"/>
        <v>5373</v>
      </c>
      <c r="CP50" s="37">
        <f t="shared" si="109"/>
        <v>5374</v>
      </c>
      <c r="CQ50" s="37">
        <f t="shared" si="110"/>
        <v>5375</v>
      </c>
      <c r="CR50" s="37">
        <f t="shared" si="111"/>
        <v>5376</v>
      </c>
      <c r="CS50" s="37">
        <f t="shared" si="112"/>
        <v>5377</v>
      </c>
      <c r="CT50" s="37">
        <f t="shared" si="113"/>
        <v>5378</v>
      </c>
      <c r="CU50" s="37">
        <f t="shared" si="114"/>
        <v>5379</v>
      </c>
      <c r="CV50" s="38">
        <f t="shared" si="115"/>
        <v>5380</v>
      </c>
      <c r="CW50" s="40">
        <f t="shared" si="116"/>
        <v>5381</v>
      </c>
      <c r="CX50" s="37">
        <f t="shared" si="117"/>
        <v>5382</v>
      </c>
      <c r="CY50" s="37">
        <f t="shared" si="118"/>
        <v>5383</v>
      </c>
      <c r="CZ50" s="37">
        <f t="shared" si="119"/>
        <v>5384</v>
      </c>
      <c r="DA50" s="37">
        <f t="shared" si="120"/>
        <v>5385</v>
      </c>
      <c r="DB50" s="37">
        <f t="shared" si="121"/>
        <v>5386</v>
      </c>
      <c r="DC50" s="37">
        <f t="shared" si="122"/>
        <v>5387</v>
      </c>
      <c r="DD50" s="37">
        <f t="shared" si="123"/>
        <v>5388</v>
      </c>
      <c r="DE50" s="37">
        <f t="shared" si="124"/>
        <v>5389</v>
      </c>
      <c r="DF50" s="39">
        <f t="shared" si="125"/>
        <v>5390</v>
      </c>
      <c r="DG50" s="36">
        <f t="shared" si="126"/>
        <v>5391</v>
      </c>
      <c r="DH50" s="37">
        <f t="shared" si="127"/>
        <v>5392</v>
      </c>
      <c r="DI50" s="37">
        <f t="shared" si="128"/>
        <v>5393</v>
      </c>
      <c r="DJ50" s="37">
        <f t="shared" si="129"/>
        <v>5394</v>
      </c>
      <c r="DK50" s="37">
        <f t="shared" si="130"/>
        <v>5395</v>
      </c>
      <c r="DL50" s="37">
        <f t="shared" si="131"/>
        <v>5396</v>
      </c>
      <c r="DM50" s="37">
        <f t="shared" si="132"/>
        <v>5397</v>
      </c>
      <c r="DN50" s="37">
        <f t="shared" si="133"/>
        <v>5398</v>
      </c>
      <c r="DO50" s="37">
        <f t="shared" si="134"/>
        <v>5399</v>
      </c>
      <c r="DP50" s="38">
        <f t="shared" si="135"/>
        <v>5400</v>
      </c>
      <c r="DR50" s="966"/>
      <c r="DS50" s="967"/>
      <c r="DT50" s="967"/>
      <c r="DU50" s="968"/>
    </row>
    <row r="51" spans="1:125" ht="5.75" customHeight="1">
      <c r="A51" s="36">
        <f t="shared" si="136"/>
        <v>5401</v>
      </c>
      <c r="B51" s="37">
        <f t="shared" si="17"/>
        <v>5402</v>
      </c>
      <c r="C51" s="37">
        <f t="shared" si="18"/>
        <v>5403</v>
      </c>
      <c r="D51" s="37">
        <f t="shared" si="19"/>
        <v>5404</v>
      </c>
      <c r="E51" s="37">
        <f t="shared" si="20"/>
        <v>5405</v>
      </c>
      <c r="F51" s="37">
        <f t="shared" si="21"/>
        <v>5406</v>
      </c>
      <c r="G51" s="37">
        <f t="shared" si="22"/>
        <v>5407</v>
      </c>
      <c r="H51" s="37">
        <f t="shared" si="23"/>
        <v>5408</v>
      </c>
      <c r="I51" s="37">
        <f t="shared" si="24"/>
        <v>5409</v>
      </c>
      <c r="J51" s="38">
        <f t="shared" si="25"/>
        <v>5410</v>
      </c>
      <c r="K51" s="36">
        <f t="shared" si="26"/>
        <v>5411</v>
      </c>
      <c r="L51" s="37">
        <f t="shared" si="27"/>
        <v>5412</v>
      </c>
      <c r="M51" s="37">
        <f t="shared" si="28"/>
        <v>5413</v>
      </c>
      <c r="N51" s="37">
        <f t="shared" si="29"/>
        <v>5414</v>
      </c>
      <c r="O51" s="37">
        <f t="shared" si="30"/>
        <v>5415</v>
      </c>
      <c r="P51" s="37">
        <f t="shared" si="31"/>
        <v>5416</v>
      </c>
      <c r="Q51" s="37">
        <f t="shared" si="32"/>
        <v>5417</v>
      </c>
      <c r="R51" s="37">
        <f t="shared" si="33"/>
        <v>5418</v>
      </c>
      <c r="S51" s="37">
        <f t="shared" si="34"/>
        <v>5419</v>
      </c>
      <c r="T51" s="38">
        <f t="shared" si="35"/>
        <v>5420</v>
      </c>
      <c r="U51" s="36">
        <f t="shared" si="36"/>
        <v>5421</v>
      </c>
      <c r="V51" s="37">
        <f t="shared" si="37"/>
        <v>5422</v>
      </c>
      <c r="W51" s="37">
        <f t="shared" si="38"/>
        <v>5423</v>
      </c>
      <c r="X51" s="37">
        <f t="shared" si="39"/>
        <v>5424</v>
      </c>
      <c r="Y51" s="37">
        <f t="shared" si="40"/>
        <v>5425</v>
      </c>
      <c r="Z51" s="37">
        <f t="shared" si="41"/>
        <v>5426</v>
      </c>
      <c r="AA51" s="37">
        <f t="shared" si="42"/>
        <v>5427</v>
      </c>
      <c r="AB51" s="37">
        <f t="shared" si="43"/>
        <v>5428</v>
      </c>
      <c r="AC51" s="37">
        <f t="shared" si="44"/>
        <v>5429</v>
      </c>
      <c r="AD51" s="38">
        <f t="shared" si="45"/>
        <v>5430</v>
      </c>
      <c r="AE51" s="36">
        <f t="shared" si="46"/>
        <v>5431</v>
      </c>
      <c r="AF51" s="37">
        <f t="shared" si="47"/>
        <v>5432</v>
      </c>
      <c r="AG51" s="37">
        <f t="shared" si="48"/>
        <v>5433</v>
      </c>
      <c r="AH51" s="37">
        <f t="shared" si="49"/>
        <v>5434</v>
      </c>
      <c r="AI51" s="37">
        <f t="shared" si="50"/>
        <v>5435</v>
      </c>
      <c r="AJ51" s="37">
        <f t="shared" si="51"/>
        <v>5436</v>
      </c>
      <c r="AK51" s="37">
        <f t="shared" si="52"/>
        <v>5437</v>
      </c>
      <c r="AL51" s="37">
        <f t="shared" si="53"/>
        <v>5438</v>
      </c>
      <c r="AM51" s="37">
        <f t="shared" si="54"/>
        <v>5439</v>
      </c>
      <c r="AN51" s="38">
        <f t="shared" si="55"/>
        <v>5440</v>
      </c>
      <c r="AO51" s="36">
        <f t="shared" si="56"/>
        <v>5441</v>
      </c>
      <c r="AP51" s="37">
        <f t="shared" si="57"/>
        <v>5442</v>
      </c>
      <c r="AQ51" s="37">
        <f t="shared" si="58"/>
        <v>5443</v>
      </c>
      <c r="AR51" s="37">
        <f t="shared" si="59"/>
        <v>5444</v>
      </c>
      <c r="AS51" s="37">
        <f t="shared" si="60"/>
        <v>5445</v>
      </c>
      <c r="AT51" s="37">
        <f t="shared" si="61"/>
        <v>5446</v>
      </c>
      <c r="AU51" s="37">
        <f t="shared" si="62"/>
        <v>5447</v>
      </c>
      <c r="AV51" s="37">
        <f t="shared" si="63"/>
        <v>5448</v>
      </c>
      <c r="AW51" s="37">
        <f t="shared" si="64"/>
        <v>5449</v>
      </c>
      <c r="AX51" s="38">
        <f t="shared" si="65"/>
        <v>5450</v>
      </c>
      <c r="AY51" s="36">
        <f t="shared" si="66"/>
        <v>5451</v>
      </c>
      <c r="AZ51" s="37">
        <f t="shared" si="67"/>
        <v>5452</v>
      </c>
      <c r="BA51" s="37">
        <f t="shared" si="68"/>
        <v>5453</v>
      </c>
      <c r="BB51" s="37">
        <f t="shared" si="69"/>
        <v>5454</v>
      </c>
      <c r="BC51" s="37">
        <f t="shared" si="70"/>
        <v>5455</v>
      </c>
      <c r="BD51" s="37">
        <f t="shared" si="71"/>
        <v>5456</v>
      </c>
      <c r="BE51" s="37">
        <f t="shared" si="72"/>
        <v>5457</v>
      </c>
      <c r="BF51" s="37">
        <f t="shared" si="73"/>
        <v>5458</v>
      </c>
      <c r="BG51" s="37">
        <f t="shared" si="74"/>
        <v>5459</v>
      </c>
      <c r="BH51" s="38">
        <f t="shared" si="75"/>
        <v>5460</v>
      </c>
      <c r="BI51" s="36">
        <f t="shared" si="76"/>
        <v>5461</v>
      </c>
      <c r="BJ51" s="37">
        <f t="shared" si="77"/>
        <v>5462</v>
      </c>
      <c r="BK51" s="37">
        <f t="shared" si="78"/>
        <v>5463</v>
      </c>
      <c r="BL51" s="37">
        <f t="shared" si="79"/>
        <v>5464</v>
      </c>
      <c r="BM51" s="37">
        <f t="shared" si="80"/>
        <v>5465</v>
      </c>
      <c r="BN51" s="37">
        <f t="shared" si="81"/>
        <v>5466</v>
      </c>
      <c r="BO51" s="37">
        <f t="shared" si="82"/>
        <v>5467</v>
      </c>
      <c r="BP51" s="37">
        <f t="shared" si="83"/>
        <v>5468</v>
      </c>
      <c r="BQ51" s="37">
        <f t="shared" si="84"/>
        <v>5469</v>
      </c>
      <c r="BR51" s="39">
        <f t="shared" si="85"/>
        <v>5470</v>
      </c>
      <c r="BS51" s="36">
        <f t="shared" si="86"/>
        <v>5471</v>
      </c>
      <c r="BT51" s="37">
        <f t="shared" si="87"/>
        <v>5472</v>
      </c>
      <c r="BU51" s="37">
        <f t="shared" si="88"/>
        <v>5473</v>
      </c>
      <c r="BV51" s="37">
        <f t="shared" si="89"/>
        <v>5474</v>
      </c>
      <c r="BW51" s="37">
        <f t="shared" si="90"/>
        <v>5475</v>
      </c>
      <c r="BX51" s="37">
        <f t="shared" si="91"/>
        <v>5476</v>
      </c>
      <c r="BY51" s="37">
        <f t="shared" si="92"/>
        <v>5477</v>
      </c>
      <c r="BZ51" s="37">
        <f t="shared" si="93"/>
        <v>5478</v>
      </c>
      <c r="CA51" s="37">
        <f t="shared" si="94"/>
        <v>5479</v>
      </c>
      <c r="CB51" s="38">
        <f t="shared" si="95"/>
        <v>5480</v>
      </c>
      <c r="CC51" s="40">
        <f t="shared" si="96"/>
        <v>5481</v>
      </c>
      <c r="CD51" s="37">
        <f t="shared" si="97"/>
        <v>5482</v>
      </c>
      <c r="CE51" s="37">
        <f t="shared" si="98"/>
        <v>5483</v>
      </c>
      <c r="CF51" s="37">
        <f t="shared" si="99"/>
        <v>5484</v>
      </c>
      <c r="CG51" s="37">
        <f t="shared" si="100"/>
        <v>5485</v>
      </c>
      <c r="CH51" s="37">
        <f t="shared" si="101"/>
        <v>5486</v>
      </c>
      <c r="CI51" s="37">
        <f t="shared" si="102"/>
        <v>5487</v>
      </c>
      <c r="CJ51" s="37">
        <f t="shared" si="103"/>
        <v>5488</v>
      </c>
      <c r="CK51" s="37">
        <f t="shared" si="104"/>
        <v>5489</v>
      </c>
      <c r="CL51" s="39">
        <f t="shared" si="105"/>
        <v>5490</v>
      </c>
      <c r="CM51" s="36">
        <f t="shared" si="106"/>
        <v>5491</v>
      </c>
      <c r="CN51" s="37">
        <f t="shared" si="107"/>
        <v>5492</v>
      </c>
      <c r="CO51" s="37">
        <f t="shared" si="108"/>
        <v>5493</v>
      </c>
      <c r="CP51" s="37">
        <f t="shared" si="109"/>
        <v>5494</v>
      </c>
      <c r="CQ51" s="37">
        <f t="shared" si="110"/>
        <v>5495</v>
      </c>
      <c r="CR51" s="37">
        <f t="shared" si="111"/>
        <v>5496</v>
      </c>
      <c r="CS51" s="37">
        <f t="shared" si="112"/>
        <v>5497</v>
      </c>
      <c r="CT51" s="37">
        <f t="shared" si="113"/>
        <v>5498</v>
      </c>
      <c r="CU51" s="37">
        <f t="shared" si="114"/>
        <v>5499</v>
      </c>
      <c r="CV51" s="38">
        <f t="shared" si="115"/>
        <v>5500</v>
      </c>
      <c r="CW51" s="40">
        <f t="shared" si="116"/>
        <v>5501</v>
      </c>
      <c r="CX51" s="37">
        <f t="shared" si="117"/>
        <v>5502</v>
      </c>
      <c r="CY51" s="37">
        <f t="shared" si="118"/>
        <v>5503</v>
      </c>
      <c r="CZ51" s="37">
        <f t="shared" si="119"/>
        <v>5504</v>
      </c>
      <c r="DA51" s="37">
        <f t="shared" si="120"/>
        <v>5505</v>
      </c>
      <c r="DB51" s="37">
        <f t="shared" si="121"/>
        <v>5506</v>
      </c>
      <c r="DC51" s="37">
        <f t="shared" si="122"/>
        <v>5507</v>
      </c>
      <c r="DD51" s="37">
        <f t="shared" si="123"/>
        <v>5508</v>
      </c>
      <c r="DE51" s="37">
        <f t="shared" si="124"/>
        <v>5509</v>
      </c>
      <c r="DF51" s="39">
        <f t="shared" si="125"/>
        <v>5510</v>
      </c>
      <c r="DG51" s="36">
        <f t="shared" si="126"/>
        <v>5511</v>
      </c>
      <c r="DH51" s="37">
        <f t="shared" si="127"/>
        <v>5512</v>
      </c>
      <c r="DI51" s="37">
        <f t="shared" si="128"/>
        <v>5513</v>
      </c>
      <c r="DJ51" s="37">
        <f t="shared" si="129"/>
        <v>5514</v>
      </c>
      <c r="DK51" s="37">
        <f t="shared" si="130"/>
        <v>5515</v>
      </c>
      <c r="DL51" s="37">
        <f t="shared" si="131"/>
        <v>5516</v>
      </c>
      <c r="DM51" s="37">
        <f t="shared" si="132"/>
        <v>5517</v>
      </c>
      <c r="DN51" s="37">
        <f t="shared" si="133"/>
        <v>5518</v>
      </c>
      <c r="DO51" s="37">
        <f t="shared" si="134"/>
        <v>5519</v>
      </c>
      <c r="DP51" s="38">
        <f t="shared" si="135"/>
        <v>5520</v>
      </c>
      <c r="DR51" s="966">
        <v>50</v>
      </c>
      <c r="DS51" s="967"/>
      <c r="DT51" s="967"/>
      <c r="DU51" s="968"/>
    </row>
    <row r="52" spans="1:125" ht="5.75" customHeight="1">
      <c r="A52" s="36">
        <f t="shared" si="136"/>
        <v>5521</v>
      </c>
      <c r="B52" s="37">
        <f t="shared" si="17"/>
        <v>5522</v>
      </c>
      <c r="C52" s="37">
        <f t="shared" si="18"/>
        <v>5523</v>
      </c>
      <c r="D52" s="37">
        <f t="shared" si="19"/>
        <v>5524</v>
      </c>
      <c r="E52" s="37">
        <f t="shared" si="20"/>
        <v>5525</v>
      </c>
      <c r="F52" s="37">
        <f t="shared" si="21"/>
        <v>5526</v>
      </c>
      <c r="G52" s="37">
        <f t="shared" si="22"/>
        <v>5527</v>
      </c>
      <c r="H52" s="37">
        <f t="shared" si="23"/>
        <v>5528</v>
      </c>
      <c r="I52" s="37">
        <f t="shared" si="24"/>
        <v>5529</v>
      </c>
      <c r="J52" s="38">
        <f t="shared" si="25"/>
        <v>5530</v>
      </c>
      <c r="K52" s="36">
        <f t="shared" si="26"/>
        <v>5531</v>
      </c>
      <c r="L52" s="37">
        <f t="shared" si="27"/>
        <v>5532</v>
      </c>
      <c r="M52" s="37">
        <f t="shared" si="28"/>
        <v>5533</v>
      </c>
      <c r="N52" s="37">
        <f t="shared" si="29"/>
        <v>5534</v>
      </c>
      <c r="O52" s="37">
        <f t="shared" si="30"/>
        <v>5535</v>
      </c>
      <c r="P52" s="37">
        <f t="shared" si="31"/>
        <v>5536</v>
      </c>
      <c r="Q52" s="37">
        <f t="shared" si="32"/>
        <v>5537</v>
      </c>
      <c r="R52" s="37">
        <f t="shared" si="33"/>
        <v>5538</v>
      </c>
      <c r="S52" s="37">
        <f t="shared" si="34"/>
        <v>5539</v>
      </c>
      <c r="T52" s="38">
        <f t="shared" si="35"/>
        <v>5540</v>
      </c>
      <c r="U52" s="36">
        <f t="shared" si="36"/>
        <v>5541</v>
      </c>
      <c r="V52" s="37">
        <f t="shared" si="37"/>
        <v>5542</v>
      </c>
      <c r="W52" s="37">
        <f t="shared" si="38"/>
        <v>5543</v>
      </c>
      <c r="X52" s="37">
        <f t="shared" si="39"/>
        <v>5544</v>
      </c>
      <c r="Y52" s="37">
        <f t="shared" si="40"/>
        <v>5545</v>
      </c>
      <c r="Z52" s="37">
        <f t="shared" si="41"/>
        <v>5546</v>
      </c>
      <c r="AA52" s="37">
        <f t="shared" si="42"/>
        <v>5547</v>
      </c>
      <c r="AB52" s="37">
        <f t="shared" si="43"/>
        <v>5548</v>
      </c>
      <c r="AC52" s="37">
        <f t="shared" si="44"/>
        <v>5549</v>
      </c>
      <c r="AD52" s="38">
        <f t="shared" si="45"/>
        <v>5550</v>
      </c>
      <c r="AE52" s="36">
        <f t="shared" si="46"/>
        <v>5551</v>
      </c>
      <c r="AF52" s="37">
        <f t="shared" si="47"/>
        <v>5552</v>
      </c>
      <c r="AG52" s="37">
        <f t="shared" si="48"/>
        <v>5553</v>
      </c>
      <c r="AH52" s="37">
        <f t="shared" si="49"/>
        <v>5554</v>
      </c>
      <c r="AI52" s="37">
        <f t="shared" si="50"/>
        <v>5555</v>
      </c>
      <c r="AJ52" s="37">
        <f t="shared" si="51"/>
        <v>5556</v>
      </c>
      <c r="AK52" s="37">
        <f t="shared" si="52"/>
        <v>5557</v>
      </c>
      <c r="AL52" s="37">
        <f t="shared" si="53"/>
        <v>5558</v>
      </c>
      <c r="AM52" s="37">
        <f t="shared" si="54"/>
        <v>5559</v>
      </c>
      <c r="AN52" s="38">
        <f t="shared" si="55"/>
        <v>5560</v>
      </c>
      <c r="AO52" s="36">
        <f t="shared" si="56"/>
        <v>5561</v>
      </c>
      <c r="AP52" s="37">
        <f t="shared" si="57"/>
        <v>5562</v>
      </c>
      <c r="AQ52" s="37">
        <f t="shared" si="58"/>
        <v>5563</v>
      </c>
      <c r="AR52" s="37">
        <f t="shared" si="59"/>
        <v>5564</v>
      </c>
      <c r="AS52" s="37">
        <f t="shared" si="60"/>
        <v>5565</v>
      </c>
      <c r="AT52" s="37">
        <f t="shared" si="61"/>
        <v>5566</v>
      </c>
      <c r="AU52" s="37">
        <f t="shared" si="62"/>
        <v>5567</v>
      </c>
      <c r="AV52" s="37">
        <f t="shared" si="63"/>
        <v>5568</v>
      </c>
      <c r="AW52" s="37">
        <f t="shared" si="64"/>
        <v>5569</v>
      </c>
      <c r="AX52" s="38">
        <f t="shared" si="65"/>
        <v>5570</v>
      </c>
      <c r="AY52" s="36">
        <f t="shared" si="66"/>
        <v>5571</v>
      </c>
      <c r="AZ52" s="37">
        <f t="shared" si="67"/>
        <v>5572</v>
      </c>
      <c r="BA52" s="37">
        <f t="shared" si="68"/>
        <v>5573</v>
      </c>
      <c r="BB52" s="37">
        <f t="shared" si="69"/>
        <v>5574</v>
      </c>
      <c r="BC52" s="37">
        <f t="shared" si="70"/>
        <v>5575</v>
      </c>
      <c r="BD52" s="37">
        <f t="shared" si="71"/>
        <v>5576</v>
      </c>
      <c r="BE52" s="37">
        <f t="shared" si="72"/>
        <v>5577</v>
      </c>
      <c r="BF52" s="37">
        <f t="shared" si="73"/>
        <v>5578</v>
      </c>
      <c r="BG52" s="37">
        <f t="shared" si="74"/>
        <v>5579</v>
      </c>
      <c r="BH52" s="38">
        <f t="shared" si="75"/>
        <v>5580</v>
      </c>
      <c r="BI52" s="36">
        <f t="shared" si="76"/>
        <v>5581</v>
      </c>
      <c r="BJ52" s="37">
        <f t="shared" si="77"/>
        <v>5582</v>
      </c>
      <c r="BK52" s="37">
        <f t="shared" si="78"/>
        <v>5583</v>
      </c>
      <c r="BL52" s="37">
        <f t="shared" si="79"/>
        <v>5584</v>
      </c>
      <c r="BM52" s="37">
        <f t="shared" si="80"/>
        <v>5585</v>
      </c>
      <c r="BN52" s="37">
        <f t="shared" si="81"/>
        <v>5586</v>
      </c>
      <c r="BO52" s="37">
        <f t="shared" si="82"/>
        <v>5587</v>
      </c>
      <c r="BP52" s="37">
        <f t="shared" si="83"/>
        <v>5588</v>
      </c>
      <c r="BQ52" s="37">
        <f t="shared" si="84"/>
        <v>5589</v>
      </c>
      <c r="BR52" s="39">
        <f t="shared" si="85"/>
        <v>5590</v>
      </c>
      <c r="BS52" s="36">
        <f t="shared" si="86"/>
        <v>5591</v>
      </c>
      <c r="BT52" s="37">
        <f t="shared" si="87"/>
        <v>5592</v>
      </c>
      <c r="BU52" s="37">
        <f t="shared" si="88"/>
        <v>5593</v>
      </c>
      <c r="BV52" s="37">
        <f t="shared" si="89"/>
        <v>5594</v>
      </c>
      <c r="BW52" s="37">
        <f t="shared" si="90"/>
        <v>5595</v>
      </c>
      <c r="BX52" s="37">
        <f t="shared" si="91"/>
        <v>5596</v>
      </c>
      <c r="BY52" s="37">
        <f t="shared" si="92"/>
        <v>5597</v>
      </c>
      <c r="BZ52" s="37">
        <f t="shared" si="93"/>
        <v>5598</v>
      </c>
      <c r="CA52" s="37">
        <f t="shared" si="94"/>
        <v>5599</v>
      </c>
      <c r="CB52" s="38">
        <f t="shared" si="95"/>
        <v>5600</v>
      </c>
      <c r="CC52" s="40">
        <f t="shared" si="96"/>
        <v>5601</v>
      </c>
      <c r="CD52" s="37">
        <f t="shared" si="97"/>
        <v>5602</v>
      </c>
      <c r="CE52" s="37">
        <f t="shared" si="98"/>
        <v>5603</v>
      </c>
      <c r="CF52" s="37">
        <f t="shared" si="99"/>
        <v>5604</v>
      </c>
      <c r="CG52" s="37">
        <f t="shared" si="100"/>
        <v>5605</v>
      </c>
      <c r="CH52" s="37">
        <f t="shared" si="101"/>
        <v>5606</v>
      </c>
      <c r="CI52" s="37">
        <f t="shared" si="102"/>
        <v>5607</v>
      </c>
      <c r="CJ52" s="37">
        <f t="shared" si="103"/>
        <v>5608</v>
      </c>
      <c r="CK52" s="37">
        <f t="shared" si="104"/>
        <v>5609</v>
      </c>
      <c r="CL52" s="39">
        <f t="shared" si="105"/>
        <v>5610</v>
      </c>
      <c r="CM52" s="36">
        <f t="shared" si="106"/>
        <v>5611</v>
      </c>
      <c r="CN52" s="37">
        <f t="shared" si="107"/>
        <v>5612</v>
      </c>
      <c r="CO52" s="37">
        <f t="shared" si="108"/>
        <v>5613</v>
      </c>
      <c r="CP52" s="37">
        <f t="shared" si="109"/>
        <v>5614</v>
      </c>
      <c r="CQ52" s="37">
        <f t="shared" si="110"/>
        <v>5615</v>
      </c>
      <c r="CR52" s="37">
        <f t="shared" si="111"/>
        <v>5616</v>
      </c>
      <c r="CS52" s="37">
        <f t="shared" si="112"/>
        <v>5617</v>
      </c>
      <c r="CT52" s="37">
        <f t="shared" si="113"/>
        <v>5618</v>
      </c>
      <c r="CU52" s="37">
        <f t="shared" si="114"/>
        <v>5619</v>
      </c>
      <c r="CV52" s="38">
        <f t="shared" si="115"/>
        <v>5620</v>
      </c>
      <c r="CW52" s="40">
        <f t="shared" si="116"/>
        <v>5621</v>
      </c>
      <c r="CX52" s="37">
        <f t="shared" si="117"/>
        <v>5622</v>
      </c>
      <c r="CY52" s="37">
        <f t="shared" si="118"/>
        <v>5623</v>
      </c>
      <c r="CZ52" s="37">
        <f t="shared" si="119"/>
        <v>5624</v>
      </c>
      <c r="DA52" s="37">
        <f t="shared" si="120"/>
        <v>5625</v>
      </c>
      <c r="DB52" s="37">
        <f t="shared" si="121"/>
        <v>5626</v>
      </c>
      <c r="DC52" s="37">
        <f t="shared" si="122"/>
        <v>5627</v>
      </c>
      <c r="DD52" s="37">
        <f t="shared" si="123"/>
        <v>5628</v>
      </c>
      <c r="DE52" s="37">
        <f t="shared" si="124"/>
        <v>5629</v>
      </c>
      <c r="DF52" s="39">
        <f t="shared" si="125"/>
        <v>5630</v>
      </c>
      <c r="DG52" s="36">
        <f t="shared" si="126"/>
        <v>5631</v>
      </c>
      <c r="DH52" s="37">
        <f t="shared" si="127"/>
        <v>5632</v>
      </c>
      <c r="DI52" s="37">
        <f t="shared" si="128"/>
        <v>5633</v>
      </c>
      <c r="DJ52" s="37">
        <f t="shared" si="129"/>
        <v>5634</v>
      </c>
      <c r="DK52" s="37">
        <f t="shared" si="130"/>
        <v>5635</v>
      </c>
      <c r="DL52" s="37">
        <f t="shared" si="131"/>
        <v>5636</v>
      </c>
      <c r="DM52" s="37">
        <f t="shared" si="132"/>
        <v>5637</v>
      </c>
      <c r="DN52" s="37">
        <f t="shared" si="133"/>
        <v>5638</v>
      </c>
      <c r="DO52" s="37">
        <f t="shared" si="134"/>
        <v>5639</v>
      </c>
      <c r="DP52" s="38">
        <f t="shared" si="135"/>
        <v>5640</v>
      </c>
      <c r="DR52" s="966"/>
      <c r="DS52" s="967"/>
      <c r="DT52" s="967"/>
      <c r="DU52" s="968"/>
    </row>
    <row r="53" spans="1:125" ht="5.75" customHeight="1">
      <c r="A53" s="36">
        <f t="shared" si="136"/>
        <v>5641</v>
      </c>
      <c r="B53" s="37">
        <f t="shared" si="17"/>
        <v>5642</v>
      </c>
      <c r="C53" s="37">
        <f t="shared" si="18"/>
        <v>5643</v>
      </c>
      <c r="D53" s="37">
        <f t="shared" si="19"/>
        <v>5644</v>
      </c>
      <c r="E53" s="37">
        <f t="shared" si="20"/>
        <v>5645</v>
      </c>
      <c r="F53" s="37">
        <f t="shared" si="21"/>
        <v>5646</v>
      </c>
      <c r="G53" s="37">
        <f t="shared" si="22"/>
        <v>5647</v>
      </c>
      <c r="H53" s="37">
        <f t="shared" si="23"/>
        <v>5648</v>
      </c>
      <c r="I53" s="37">
        <f t="shared" si="24"/>
        <v>5649</v>
      </c>
      <c r="J53" s="38">
        <f t="shared" si="25"/>
        <v>5650</v>
      </c>
      <c r="K53" s="36">
        <f t="shared" si="26"/>
        <v>5651</v>
      </c>
      <c r="L53" s="37">
        <f t="shared" si="27"/>
        <v>5652</v>
      </c>
      <c r="M53" s="37">
        <f t="shared" si="28"/>
        <v>5653</v>
      </c>
      <c r="N53" s="37">
        <f t="shared" si="29"/>
        <v>5654</v>
      </c>
      <c r="O53" s="37">
        <f t="shared" si="30"/>
        <v>5655</v>
      </c>
      <c r="P53" s="37">
        <f t="shared" si="31"/>
        <v>5656</v>
      </c>
      <c r="Q53" s="37">
        <f t="shared" si="32"/>
        <v>5657</v>
      </c>
      <c r="R53" s="37">
        <f t="shared" si="33"/>
        <v>5658</v>
      </c>
      <c r="S53" s="37">
        <f t="shared" si="34"/>
        <v>5659</v>
      </c>
      <c r="T53" s="38">
        <f t="shared" si="35"/>
        <v>5660</v>
      </c>
      <c r="U53" s="36">
        <f t="shared" si="36"/>
        <v>5661</v>
      </c>
      <c r="V53" s="37">
        <f t="shared" si="37"/>
        <v>5662</v>
      </c>
      <c r="W53" s="37">
        <f t="shared" si="38"/>
        <v>5663</v>
      </c>
      <c r="X53" s="37">
        <f t="shared" si="39"/>
        <v>5664</v>
      </c>
      <c r="Y53" s="37">
        <f t="shared" si="40"/>
        <v>5665</v>
      </c>
      <c r="Z53" s="37">
        <f t="shared" si="41"/>
        <v>5666</v>
      </c>
      <c r="AA53" s="37">
        <f t="shared" si="42"/>
        <v>5667</v>
      </c>
      <c r="AB53" s="37">
        <f t="shared" si="43"/>
        <v>5668</v>
      </c>
      <c r="AC53" s="37">
        <f t="shared" si="44"/>
        <v>5669</v>
      </c>
      <c r="AD53" s="38">
        <f t="shared" si="45"/>
        <v>5670</v>
      </c>
      <c r="AE53" s="36">
        <f t="shared" si="46"/>
        <v>5671</v>
      </c>
      <c r="AF53" s="37">
        <f t="shared" si="47"/>
        <v>5672</v>
      </c>
      <c r="AG53" s="37">
        <f t="shared" si="48"/>
        <v>5673</v>
      </c>
      <c r="AH53" s="37">
        <f t="shared" si="49"/>
        <v>5674</v>
      </c>
      <c r="AI53" s="37">
        <f t="shared" si="50"/>
        <v>5675</v>
      </c>
      <c r="AJ53" s="37">
        <f t="shared" si="51"/>
        <v>5676</v>
      </c>
      <c r="AK53" s="37">
        <f t="shared" si="52"/>
        <v>5677</v>
      </c>
      <c r="AL53" s="37">
        <f t="shared" si="53"/>
        <v>5678</v>
      </c>
      <c r="AM53" s="37">
        <f t="shared" si="54"/>
        <v>5679</v>
      </c>
      <c r="AN53" s="38">
        <f t="shared" si="55"/>
        <v>5680</v>
      </c>
      <c r="AO53" s="36">
        <f t="shared" si="56"/>
        <v>5681</v>
      </c>
      <c r="AP53" s="37">
        <f t="shared" si="57"/>
        <v>5682</v>
      </c>
      <c r="AQ53" s="37">
        <f t="shared" si="58"/>
        <v>5683</v>
      </c>
      <c r="AR53" s="37">
        <f t="shared" si="59"/>
        <v>5684</v>
      </c>
      <c r="AS53" s="37">
        <f t="shared" si="60"/>
        <v>5685</v>
      </c>
      <c r="AT53" s="37">
        <f t="shared" si="61"/>
        <v>5686</v>
      </c>
      <c r="AU53" s="37">
        <f t="shared" si="62"/>
        <v>5687</v>
      </c>
      <c r="AV53" s="37">
        <f t="shared" si="63"/>
        <v>5688</v>
      </c>
      <c r="AW53" s="37">
        <f t="shared" si="64"/>
        <v>5689</v>
      </c>
      <c r="AX53" s="38">
        <f t="shared" si="65"/>
        <v>5690</v>
      </c>
      <c r="AY53" s="36">
        <f t="shared" si="66"/>
        <v>5691</v>
      </c>
      <c r="AZ53" s="37">
        <f t="shared" si="67"/>
        <v>5692</v>
      </c>
      <c r="BA53" s="37">
        <f t="shared" si="68"/>
        <v>5693</v>
      </c>
      <c r="BB53" s="37">
        <f t="shared" si="69"/>
        <v>5694</v>
      </c>
      <c r="BC53" s="37">
        <f t="shared" si="70"/>
        <v>5695</v>
      </c>
      <c r="BD53" s="37">
        <f t="shared" si="71"/>
        <v>5696</v>
      </c>
      <c r="BE53" s="37">
        <f t="shared" si="72"/>
        <v>5697</v>
      </c>
      <c r="BF53" s="37">
        <f t="shared" si="73"/>
        <v>5698</v>
      </c>
      <c r="BG53" s="37">
        <f t="shared" si="74"/>
        <v>5699</v>
      </c>
      <c r="BH53" s="38">
        <f t="shared" si="75"/>
        <v>5700</v>
      </c>
      <c r="BI53" s="36">
        <f t="shared" si="76"/>
        <v>5701</v>
      </c>
      <c r="BJ53" s="37">
        <f t="shared" si="77"/>
        <v>5702</v>
      </c>
      <c r="BK53" s="37">
        <f t="shared" si="78"/>
        <v>5703</v>
      </c>
      <c r="BL53" s="37">
        <f t="shared" si="79"/>
        <v>5704</v>
      </c>
      <c r="BM53" s="37">
        <f t="shared" si="80"/>
        <v>5705</v>
      </c>
      <c r="BN53" s="37">
        <f t="shared" si="81"/>
        <v>5706</v>
      </c>
      <c r="BO53" s="37">
        <f t="shared" si="82"/>
        <v>5707</v>
      </c>
      <c r="BP53" s="37">
        <f t="shared" si="83"/>
        <v>5708</v>
      </c>
      <c r="BQ53" s="37">
        <f t="shared" si="84"/>
        <v>5709</v>
      </c>
      <c r="BR53" s="39">
        <f t="shared" si="85"/>
        <v>5710</v>
      </c>
      <c r="BS53" s="36">
        <f t="shared" si="86"/>
        <v>5711</v>
      </c>
      <c r="BT53" s="37">
        <f t="shared" si="87"/>
        <v>5712</v>
      </c>
      <c r="BU53" s="37">
        <f t="shared" si="88"/>
        <v>5713</v>
      </c>
      <c r="BV53" s="37">
        <f t="shared" si="89"/>
        <v>5714</v>
      </c>
      <c r="BW53" s="37">
        <f t="shared" si="90"/>
        <v>5715</v>
      </c>
      <c r="BX53" s="37">
        <f t="shared" si="91"/>
        <v>5716</v>
      </c>
      <c r="BY53" s="37">
        <f t="shared" si="92"/>
        <v>5717</v>
      </c>
      <c r="BZ53" s="37">
        <f t="shared" si="93"/>
        <v>5718</v>
      </c>
      <c r="CA53" s="37">
        <f t="shared" si="94"/>
        <v>5719</v>
      </c>
      <c r="CB53" s="38">
        <f t="shared" si="95"/>
        <v>5720</v>
      </c>
      <c r="CC53" s="40">
        <f t="shared" si="96"/>
        <v>5721</v>
      </c>
      <c r="CD53" s="37">
        <f t="shared" si="97"/>
        <v>5722</v>
      </c>
      <c r="CE53" s="37">
        <f t="shared" si="98"/>
        <v>5723</v>
      </c>
      <c r="CF53" s="37">
        <f t="shared" si="99"/>
        <v>5724</v>
      </c>
      <c r="CG53" s="37">
        <f t="shared" si="100"/>
        <v>5725</v>
      </c>
      <c r="CH53" s="37">
        <f t="shared" si="101"/>
        <v>5726</v>
      </c>
      <c r="CI53" s="37">
        <f t="shared" si="102"/>
        <v>5727</v>
      </c>
      <c r="CJ53" s="37">
        <f t="shared" si="103"/>
        <v>5728</v>
      </c>
      <c r="CK53" s="37">
        <f t="shared" si="104"/>
        <v>5729</v>
      </c>
      <c r="CL53" s="39">
        <f t="shared" si="105"/>
        <v>5730</v>
      </c>
      <c r="CM53" s="36">
        <f t="shared" si="106"/>
        <v>5731</v>
      </c>
      <c r="CN53" s="37">
        <f t="shared" si="107"/>
        <v>5732</v>
      </c>
      <c r="CO53" s="37">
        <f t="shared" si="108"/>
        <v>5733</v>
      </c>
      <c r="CP53" s="37">
        <f t="shared" si="109"/>
        <v>5734</v>
      </c>
      <c r="CQ53" s="37">
        <f t="shared" si="110"/>
        <v>5735</v>
      </c>
      <c r="CR53" s="37">
        <f t="shared" si="111"/>
        <v>5736</v>
      </c>
      <c r="CS53" s="37">
        <f t="shared" si="112"/>
        <v>5737</v>
      </c>
      <c r="CT53" s="37">
        <f t="shared" si="113"/>
        <v>5738</v>
      </c>
      <c r="CU53" s="37">
        <f t="shared" si="114"/>
        <v>5739</v>
      </c>
      <c r="CV53" s="38">
        <f t="shared" si="115"/>
        <v>5740</v>
      </c>
      <c r="CW53" s="40">
        <f t="shared" si="116"/>
        <v>5741</v>
      </c>
      <c r="CX53" s="37">
        <f t="shared" si="117"/>
        <v>5742</v>
      </c>
      <c r="CY53" s="37">
        <f t="shared" si="118"/>
        <v>5743</v>
      </c>
      <c r="CZ53" s="37">
        <f t="shared" si="119"/>
        <v>5744</v>
      </c>
      <c r="DA53" s="37">
        <f t="shared" si="120"/>
        <v>5745</v>
      </c>
      <c r="DB53" s="37">
        <f t="shared" si="121"/>
        <v>5746</v>
      </c>
      <c r="DC53" s="37">
        <f t="shared" si="122"/>
        <v>5747</v>
      </c>
      <c r="DD53" s="37">
        <f t="shared" si="123"/>
        <v>5748</v>
      </c>
      <c r="DE53" s="37">
        <f t="shared" si="124"/>
        <v>5749</v>
      </c>
      <c r="DF53" s="39">
        <f t="shared" si="125"/>
        <v>5750</v>
      </c>
      <c r="DG53" s="36">
        <f t="shared" si="126"/>
        <v>5751</v>
      </c>
      <c r="DH53" s="37">
        <f t="shared" si="127"/>
        <v>5752</v>
      </c>
      <c r="DI53" s="37">
        <f t="shared" si="128"/>
        <v>5753</v>
      </c>
      <c r="DJ53" s="37">
        <f t="shared" si="129"/>
        <v>5754</v>
      </c>
      <c r="DK53" s="37">
        <f t="shared" si="130"/>
        <v>5755</v>
      </c>
      <c r="DL53" s="37">
        <f t="shared" si="131"/>
        <v>5756</v>
      </c>
      <c r="DM53" s="37">
        <f t="shared" si="132"/>
        <v>5757</v>
      </c>
      <c r="DN53" s="37">
        <f t="shared" si="133"/>
        <v>5758</v>
      </c>
      <c r="DO53" s="37">
        <f t="shared" si="134"/>
        <v>5759</v>
      </c>
      <c r="DP53" s="38">
        <f t="shared" si="135"/>
        <v>5760</v>
      </c>
      <c r="DR53" s="966"/>
      <c r="DS53" s="967"/>
      <c r="DT53" s="967"/>
      <c r="DU53" s="968"/>
    </row>
    <row r="54" spans="1:125" ht="5.75" customHeight="1">
      <c r="A54" s="36">
        <f t="shared" si="136"/>
        <v>5761</v>
      </c>
      <c r="B54" s="37">
        <f t="shared" si="17"/>
        <v>5762</v>
      </c>
      <c r="C54" s="37">
        <f t="shared" si="18"/>
        <v>5763</v>
      </c>
      <c r="D54" s="37">
        <f t="shared" si="19"/>
        <v>5764</v>
      </c>
      <c r="E54" s="37">
        <f t="shared" si="20"/>
        <v>5765</v>
      </c>
      <c r="F54" s="37">
        <f t="shared" si="21"/>
        <v>5766</v>
      </c>
      <c r="G54" s="37">
        <f t="shared" si="22"/>
        <v>5767</v>
      </c>
      <c r="H54" s="37">
        <f t="shared" si="23"/>
        <v>5768</v>
      </c>
      <c r="I54" s="37">
        <f t="shared" si="24"/>
        <v>5769</v>
      </c>
      <c r="J54" s="38">
        <f t="shared" si="25"/>
        <v>5770</v>
      </c>
      <c r="K54" s="36">
        <f t="shared" si="26"/>
        <v>5771</v>
      </c>
      <c r="L54" s="37">
        <f t="shared" si="27"/>
        <v>5772</v>
      </c>
      <c r="M54" s="37">
        <f t="shared" si="28"/>
        <v>5773</v>
      </c>
      <c r="N54" s="37">
        <f t="shared" si="29"/>
        <v>5774</v>
      </c>
      <c r="O54" s="37">
        <f t="shared" si="30"/>
        <v>5775</v>
      </c>
      <c r="P54" s="37">
        <f t="shared" si="31"/>
        <v>5776</v>
      </c>
      <c r="Q54" s="37">
        <f t="shared" si="32"/>
        <v>5777</v>
      </c>
      <c r="R54" s="37">
        <f t="shared" si="33"/>
        <v>5778</v>
      </c>
      <c r="S54" s="37">
        <f t="shared" si="34"/>
        <v>5779</v>
      </c>
      <c r="T54" s="38">
        <f t="shared" si="35"/>
        <v>5780</v>
      </c>
      <c r="U54" s="36">
        <f t="shared" si="36"/>
        <v>5781</v>
      </c>
      <c r="V54" s="37">
        <f t="shared" si="37"/>
        <v>5782</v>
      </c>
      <c r="W54" s="37">
        <f t="shared" si="38"/>
        <v>5783</v>
      </c>
      <c r="X54" s="37">
        <f t="shared" si="39"/>
        <v>5784</v>
      </c>
      <c r="Y54" s="37">
        <f t="shared" si="40"/>
        <v>5785</v>
      </c>
      <c r="Z54" s="37">
        <f t="shared" si="41"/>
        <v>5786</v>
      </c>
      <c r="AA54" s="37">
        <f t="shared" si="42"/>
        <v>5787</v>
      </c>
      <c r="AB54" s="37">
        <f t="shared" si="43"/>
        <v>5788</v>
      </c>
      <c r="AC54" s="37">
        <f t="shared" si="44"/>
        <v>5789</v>
      </c>
      <c r="AD54" s="38">
        <f t="shared" si="45"/>
        <v>5790</v>
      </c>
      <c r="AE54" s="36">
        <f t="shared" si="46"/>
        <v>5791</v>
      </c>
      <c r="AF54" s="37">
        <f t="shared" si="47"/>
        <v>5792</v>
      </c>
      <c r="AG54" s="37">
        <f t="shared" si="48"/>
        <v>5793</v>
      </c>
      <c r="AH54" s="37">
        <f t="shared" si="49"/>
        <v>5794</v>
      </c>
      <c r="AI54" s="37">
        <f t="shared" si="50"/>
        <v>5795</v>
      </c>
      <c r="AJ54" s="37">
        <f t="shared" si="51"/>
        <v>5796</v>
      </c>
      <c r="AK54" s="37">
        <f t="shared" si="52"/>
        <v>5797</v>
      </c>
      <c r="AL54" s="37">
        <f t="shared" si="53"/>
        <v>5798</v>
      </c>
      <c r="AM54" s="37">
        <f t="shared" si="54"/>
        <v>5799</v>
      </c>
      <c r="AN54" s="38">
        <f t="shared" si="55"/>
        <v>5800</v>
      </c>
      <c r="AO54" s="36">
        <f t="shared" si="56"/>
        <v>5801</v>
      </c>
      <c r="AP54" s="37">
        <f t="shared" si="57"/>
        <v>5802</v>
      </c>
      <c r="AQ54" s="37">
        <f t="shared" si="58"/>
        <v>5803</v>
      </c>
      <c r="AR54" s="37">
        <f t="shared" si="59"/>
        <v>5804</v>
      </c>
      <c r="AS54" s="37">
        <f t="shared" si="60"/>
        <v>5805</v>
      </c>
      <c r="AT54" s="37">
        <f t="shared" si="61"/>
        <v>5806</v>
      </c>
      <c r="AU54" s="37">
        <f t="shared" si="62"/>
        <v>5807</v>
      </c>
      <c r="AV54" s="37">
        <f t="shared" si="63"/>
        <v>5808</v>
      </c>
      <c r="AW54" s="37">
        <f t="shared" si="64"/>
        <v>5809</v>
      </c>
      <c r="AX54" s="38">
        <f t="shared" si="65"/>
        <v>5810</v>
      </c>
      <c r="AY54" s="36">
        <f t="shared" si="66"/>
        <v>5811</v>
      </c>
      <c r="AZ54" s="37">
        <f t="shared" si="67"/>
        <v>5812</v>
      </c>
      <c r="BA54" s="37">
        <f t="shared" si="68"/>
        <v>5813</v>
      </c>
      <c r="BB54" s="37">
        <f t="shared" si="69"/>
        <v>5814</v>
      </c>
      <c r="BC54" s="37">
        <f t="shared" si="70"/>
        <v>5815</v>
      </c>
      <c r="BD54" s="37">
        <f t="shared" si="71"/>
        <v>5816</v>
      </c>
      <c r="BE54" s="37">
        <f t="shared" si="72"/>
        <v>5817</v>
      </c>
      <c r="BF54" s="37">
        <f t="shared" si="73"/>
        <v>5818</v>
      </c>
      <c r="BG54" s="37">
        <f t="shared" si="74"/>
        <v>5819</v>
      </c>
      <c r="BH54" s="38">
        <f t="shared" si="75"/>
        <v>5820</v>
      </c>
      <c r="BI54" s="36">
        <f t="shared" si="76"/>
        <v>5821</v>
      </c>
      <c r="BJ54" s="37">
        <f t="shared" si="77"/>
        <v>5822</v>
      </c>
      <c r="BK54" s="37">
        <f t="shared" si="78"/>
        <v>5823</v>
      </c>
      <c r="BL54" s="37">
        <f t="shared" si="79"/>
        <v>5824</v>
      </c>
      <c r="BM54" s="37">
        <f t="shared" si="80"/>
        <v>5825</v>
      </c>
      <c r="BN54" s="37">
        <f t="shared" si="81"/>
        <v>5826</v>
      </c>
      <c r="BO54" s="37">
        <f t="shared" si="82"/>
        <v>5827</v>
      </c>
      <c r="BP54" s="37">
        <f t="shared" si="83"/>
        <v>5828</v>
      </c>
      <c r="BQ54" s="37">
        <f t="shared" si="84"/>
        <v>5829</v>
      </c>
      <c r="BR54" s="39">
        <f t="shared" si="85"/>
        <v>5830</v>
      </c>
      <c r="BS54" s="36">
        <f t="shared" si="86"/>
        <v>5831</v>
      </c>
      <c r="BT54" s="37">
        <f t="shared" si="87"/>
        <v>5832</v>
      </c>
      <c r="BU54" s="37">
        <f t="shared" si="88"/>
        <v>5833</v>
      </c>
      <c r="BV54" s="37">
        <f t="shared" si="89"/>
        <v>5834</v>
      </c>
      <c r="BW54" s="37">
        <f t="shared" si="90"/>
        <v>5835</v>
      </c>
      <c r="BX54" s="37">
        <f t="shared" si="91"/>
        <v>5836</v>
      </c>
      <c r="BY54" s="37">
        <f t="shared" si="92"/>
        <v>5837</v>
      </c>
      <c r="BZ54" s="37">
        <f t="shared" si="93"/>
        <v>5838</v>
      </c>
      <c r="CA54" s="37">
        <f t="shared" si="94"/>
        <v>5839</v>
      </c>
      <c r="CB54" s="38">
        <f t="shared" si="95"/>
        <v>5840</v>
      </c>
      <c r="CC54" s="40">
        <f t="shared" si="96"/>
        <v>5841</v>
      </c>
      <c r="CD54" s="37">
        <f t="shared" si="97"/>
        <v>5842</v>
      </c>
      <c r="CE54" s="37">
        <f t="shared" si="98"/>
        <v>5843</v>
      </c>
      <c r="CF54" s="37">
        <f t="shared" si="99"/>
        <v>5844</v>
      </c>
      <c r="CG54" s="37">
        <f t="shared" si="100"/>
        <v>5845</v>
      </c>
      <c r="CH54" s="37">
        <f t="shared" si="101"/>
        <v>5846</v>
      </c>
      <c r="CI54" s="37">
        <f t="shared" si="102"/>
        <v>5847</v>
      </c>
      <c r="CJ54" s="37">
        <f t="shared" si="103"/>
        <v>5848</v>
      </c>
      <c r="CK54" s="37">
        <f t="shared" si="104"/>
        <v>5849</v>
      </c>
      <c r="CL54" s="39">
        <f t="shared" si="105"/>
        <v>5850</v>
      </c>
      <c r="CM54" s="36">
        <f t="shared" si="106"/>
        <v>5851</v>
      </c>
      <c r="CN54" s="37">
        <f t="shared" si="107"/>
        <v>5852</v>
      </c>
      <c r="CO54" s="37">
        <f t="shared" si="108"/>
        <v>5853</v>
      </c>
      <c r="CP54" s="37">
        <f t="shared" si="109"/>
        <v>5854</v>
      </c>
      <c r="CQ54" s="37">
        <f t="shared" si="110"/>
        <v>5855</v>
      </c>
      <c r="CR54" s="37">
        <f t="shared" si="111"/>
        <v>5856</v>
      </c>
      <c r="CS54" s="37">
        <f t="shared" si="112"/>
        <v>5857</v>
      </c>
      <c r="CT54" s="37">
        <f t="shared" si="113"/>
        <v>5858</v>
      </c>
      <c r="CU54" s="37">
        <f t="shared" si="114"/>
        <v>5859</v>
      </c>
      <c r="CV54" s="38">
        <f t="shared" si="115"/>
        <v>5860</v>
      </c>
      <c r="CW54" s="40">
        <f t="shared" si="116"/>
        <v>5861</v>
      </c>
      <c r="CX54" s="37">
        <f t="shared" si="117"/>
        <v>5862</v>
      </c>
      <c r="CY54" s="37">
        <f t="shared" si="118"/>
        <v>5863</v>
      </c>
      <c r="CZ54" s="37">
        <f t="shared" si="119"/>
        <v>5864</v>
      </c>
      <c r="DA54" s="37">
        <f t="shared" si="120"/>
        <v>5865</v>
      </c>
      <c r="DB54" s="37">
        <f t="shared" si="121"/>
        <v>5866</v>
      </c>
      <c r="DC54" s="37">
        <f t="shared" si="122"/>
        <v>5867</v>
      </c>
      <c r="DD54" s="37">
        <f t="shared" si="123"/>
        <v>5868</v>
      </c>
      <c r="DE54" s="37">
        <f t="shared" si="124"/>
        <v>5869</v>
      </c>
      <c r="DF54" s="39">
        <f t="shared" si="125"/>
        <v>5870</v>
      </c>
      <c r="DG54" s="36">
        <f t="shared" si="126"/>
        <v>5871</v>
      </c>
      <c r="DH54" s="37">
        <f t="shared" si="127"/>
        <v>5872</v>
      </c>
      <c r="DI54" s="37">
        <f t="shared" si="128"/>
        <v>5873</v>
      </c>
      <c r="DJ54" s="37">
        <f t="shared" si="129"/>
        <v>5874</v>
      </c>
      <c r="DK54" s="37">
        <f t="shared" si="130"/>
        <v>5875</v>
      </c>
      <c r="DL54" s="37">
        <f t="shared" si="131"/>
        <v>5876</v>
      </c>
      <c r="DM54" s="37">
        <f t="shared" si="132"/>
        <v>5877</v>
      </c>
      <c r="DN54" s="37">
        <f t="shared" si="133"/>
        <v>5878</v>
      </c>
      <c r="DO54" s="37">
        <f t="shared" si="134"/>
        <v>5879</v>
      </c>
      <c r="DP54" s="38">
        <f t="shared" si="135"/>
        <v>5880</v>
      </c>
      <c r="DR54" s="966">
        <v>60</v>
      </c>
      <c r="DS54" s="967"/>
      <c r="DT54" s="967"/>
      <c r="DU54" s="968"/>
    </row>
    <row r="55" spans="1:125" ht="5.75" customHeight="1">
      <c r="A55" s="36">
        <f t="shared" si="136"/>
        <v>5881</v>
      </c>
      <c r="B55" s="37">
        <f t="shared" si="17"/>
        <v>5882</v>
      </c>
      <c r="C55" s="37">
        <f t="shared" si="18"/>
        <v>5883</v>
      </c>
      <c r="D55" s="37">
        <f t="shared" si="19"/>
        <v>5884</v>
      </c>
      <c r="E55" s="37">
        <f t="shared" si="20"/>
        <v>5885</v>
      </c>
      <c r="F55" s="37">
        <f t="shared" si="21"/>
        <v>5886</v>
      </c>
      <c r="G55" s="37">
        <f t="shared" si="22"/>
        <v>5887</v>
      </c>
      <c r="H55" s="37">
        <f t="shared" si="23"/>
        <v>5888</v>
      </c>
      <c r="I55" s="37">
        <f t="shared" si="24"/>
        <v>5889</v>
      </c>
      <c r="J55" s="38">
        <f t="shared" si="25"/>
        <v>5890</v>
      </c>
      <c r="K55" s="36">
        <f t="shared" si="26"/>
        <v>5891</v>
      </c>
      <c r="L55" s="37">
        <f t="shared" si="27"/>
        <v>5892</v>
      </c>
      <c r="M55" s="37">
        <f t="shared" si="28"/>
        <v>5893</v>
      </c>
      <c r="N55" s="37">
        <f t="shared" si="29"/>
        <v>5894</v>
      </c>
      <c r="O55" s="37">
        <f t="shared" si="30"/>
        <v>5895</v>
      </c>
      <c r="P55" s="37">
        <f t="shared" si="31"/>
        <v>5896</v>
      </c>
      <c r="Q55" s="37">
        <f t="shared" si="32"/>
        <v>5897</v>
      </c>
      <c r="R55" s="37">
        <f t="shared" si="33"/>
        <v>5898</v>
      </c>
      <c r="S55" s="37">
        <f t="shared" si="34"/>
        <v>5899</v>
      </c>
      <c r="T55" s="38">
        <f t="shared" si="35"/>
        <v>5900</v>
      </c>
      <c r="U55" s="36">
        <f t="shared" si="36"/>
        <v>5901</v>
      </c>
      <c r="V55" s="37">
        <f t="shared" si="37"/>
        <v>5902</v>
      </c>
      <c r="W55" s="37">
        <f t="shared" si="38"/>
        <v>5903</v>
      </c>
      <c r="X55" s="37">
        <f t="shared" si="39"/>
        <v>5904</v>
      </c>
      <c r="Y55" s="37">
        <f t="shared" si="40"/>
        <v>5905</v>
      </c>
      <c r="Z55" s="37">
        <f t="shared" si="41"/>
        <v>5906</v>
      </c>
      <c r="AA55" s="37">
        <f t="shared" si="42"/>
        <v>5907</v>
      </c>
      <c r="AB55" s="37">
        <f t="shared" si="43"/>
        <v>5908</v>
      </c>
      <c r="AC55" s="37">
        <f t="shared" si="44"/>
        <v>5909</v>
      </c>
      <c r="AD55" s="38">
        <f t="shared" si="45"/>
        <v>5910</v>
      </c>
      <c r="AE55" s="36">
        <f t="shared" si="46"/>
        <v>5911</v>
      </c>
      <c r="AF55" s="37">
        <f t="shared" si="47"/>
        <v>5912</v>
      </c>
      <c r="AG55" s="37">
        <f t="shared" si="48"/>
        <v>5913</v>
      </c>
      <c r="AH55" s="37">
        <f t="shared" si="49"/>
        <v>5914</v>
      </c>
      <c r="AI55" s="37">
        <f t="shared" si="50"/>
        <v>5915</v>
      </c>
      <c r="AJ55" s="37">
        <f t="shared" si="51"/>
        <v>5916</v>
      </c>
      <c r="AK55" s="37">
        <f t="shared" si="52"/>
        <v>5917</v>
      </c>
      <c r="AL55" s="37">
        <f t="shared" si="53"/>
        <v>5918</v>
      </c>
      <c r="AM55" s="37">
        <f t="shared" si="54"/>
        <v>5919</v>
      </c>
      <c r="AN55" s="38">
        <f t="shared" si="55"/>
        <v>5920</v>
      </c>
      <c r="AO55" s="36">
        <f t="shared" si="56"/>
        <v>5921</v>
      </c>
      <c r="AP55" s="37">
        <f t="shared" si="57"/>
        <v>5922</v>
      </c>
      <c r="AQ55" s="37">
        <f t="shared" si="58"/>
        <v>5923</v>
      </c>
      <c r="AR55" s="37">
        <f t="shared" si="59"/>
        <v>5924</v>
      </c>
      <c r="AS55" s="37">
        <f t="shared" si="60"/>
        <v>5925</v>
      </c>
      <c r="AT55" s="37">
        <f t="shared" si="61"/>
        <v>5926</v>
      </c>
      <c r="AU55" s="37">
        <f t="shared" si="62"/>
        <v>5927</v>
      </c>
      <c r="AV55" s="37">
        <f t="shared" si="63"/>
        <v>5928</v>
      </c>
      <c r="AW55" s="37">
        <f t="shared" si="64"/>
        <v>5929</v>
      </c>
      <c r="AX55" s="38">
        <f t="shared" si="65"/>
        <v>5930</v>
      </c>
      <c r="AY55" s="36">
        <f t="shared" si="66"/>
        <v>5931</v>
      </c>
      <c r="AZ55" s="37">
        <f t="shared" si="67"/>
        <v>5932</v>
      </c>
      <c r="BA55" s="37">
        <f t="shared" si="68"/>
        <v>5933</v>
      </c>
      <c r="BB55" s="37">
        <f t="shared" si="69"/>
        <v>5934</v>
      </c>
      <c r="BC55" s="37">
        <f t="shared" si="70"/>
        <v>5935</v>
      </c>
      <c r="BD55" s="37">
        <f t="shared" si="71"/>
        <v>5936</v>
      </c>
      <c r="BE55" s="37">
        <f t="shared" si="72"/>
        <v>5937</v>
      </c>
      <c r="BF55" s="37">
        <f t="shared" si="73"/>
        <v>5938</v>
      </c>
      <c r="BG55" s="37">
        <f t="shared" si="74"/>
        <v>5939</v>
      </c>
      <c r="BH55" s="38">
        <f t="shared" si="75"/>
        <v>5940</v>
      </c>
      <c r="BI55" s="36">
        <f t="shared" si="76"/>
        <v>5941</v>
      </c>
      <c r="BJ55" s="37">
        <f t="shared" si="77"/>
        <v>5942</v>
      </c>
      <c r="BK55" s="37">
        <f t="shared" si="78"/>
        <v>5943</v>
      </c>
      <c r="BL55" s="37">
        <f t="shared" si="79"/>
        <v>5944</v>
      </c>
      <c r="BM55" s="37">
        <f t="shared" si="80"/>
        <v>5945</v>
      </c>
      <c r="BN55" s="37">
        <f t="shared" si="81"/>
        <v>5946</v>
      </c>
      <c r="BO55" s="37">
        <f t="shared" si="82"/>
        <v>5947</v>
      </c>
      <c r="BP55" s="37">
        <f t="shared" si="83"/>
        <v>5948</v>
      </c>
      <c r="BQ55" s="37">
        <f t="shared" si="84"/>
        <v>5949</v>
      </c>
      <c r="BR55" s="39">
        <f t="shared" si="85"/>
        <v>5950</v>
      </c>
      <c r="BS55" s="36">
        <f t="shared" si="86"/>
        <v>5951</v>
      </c>
      <c r="BT55" s="37">
        <f t="shared" si="87"/>
        <v>5952</v>
      </c>
      <c r="BU55" s="37">
        <f t="shared" si="88"/>
        <v>5953</v>
      </c>
      <c r="BV55" s="37">
        <f t="shared" si="89"/>
        <v>5954</v>
      </c>
      <c r="BW55" s="37">
        <f t="shared" si="90"/>
        <v>5955</v>
      </c>
      <c r="BX55" s="37">
        <f t="shared" si="91"/>
        <v>5956</v>
      </c>
      <c r="BY55" s="37">
        <f t="shared" si="92"/>
        <v>5957</v>
      </c>
      <c r="BZ55" s="37">
        <f t="shared" si="93"/>
        <v>5958</v>
      </c>
      <c r="CA55" s="37">
        <f t="shared" si="94"/>
        <v>5959</v>
      </c>
      <c r="CB55" s="38">
        <f t="shared" si="95"/>
        <v>5960</v>
      </c>
      <c r="CC55" s="40">
        <f t="shared" si="96"/>
        <v>5961</v>
      </c>
      <c r="CD55" s="37">
        <f t="shared" si="97"/>
        <v>5962</v>
      </c>
      <c r="CE55" s="37">
        <f t="shared" si="98"/>
        <v>5963</v>
      </c>
      <c r="CF55" s="37">
        <f t="shared" si="99"/>
        <v>5964</v>
      </c>
      <c r="CG55" s="37">
        <f t="shared" si="100"/>
        <v>5965</v>
      </c>
      <c r="CH55" s="37">
        <f t="shared" si="101"/>
        <v>5966</v>
      </c>
      <c r="CI55" s="37">
        <f t="shared" si="102"/>
        <v>5967</v>
      </c>
      <c r="CJ55" s="37">
        <f t="shared" si="103"/>
        <v>5968</v>
      </c>
      <c r="CK55" s="37">
        <f t="shared" si="104"/>
        <v>5969</v>
      </c>
      <c r="CL55" s="39">
        <f t="shared" si="105"/>
        <v>5970</v>
      </c>
      <c r="CM55" s="36">
        <f t="shared" si="106"/>
        <v>5971</v>
      </c>
      <c r="CN55" s="37">
        <f t="shared" si="107"/>
        <v>5972</v>
      </c>
      <c r="CO55" s="37">
        <f t="shared" si="108"/>
        <v>5973</v>
      </c>
      <c r="CP55" s="37">
        <f t="shared" si="109"/>
        <v>5974</v>
      </c>
      <c r="CQ55" s="37">
        <f t="shared" si="110"/>
        <v>5975</v>
      </c>
      <c r="CR55" s="37">
        <f t="shared" si="111"/>
        <v>5976</v>
      </c>
      <c r="CS55" s="37">
        <f t="shared" si="112"/>
        <v>5977</v>
      </c>
      <c r="CT55" s="37">
        <f t="shared" si="113"/>
        <v>5978</v>
      </c>
      <c r="CU55" s="37">
        <f t="shared" si="114"/>
        <v>5979</v>
      </c>
      <c r="CV55" s="38">
        <f t="shared" si="115"/>
        <v>5980</v>
      </c>
      <c r="CW55" s="40">
        <f t="shared" si="116"/>
        <v>5981</v>
      </c>
      <c r="CX55" s="37">
        <f t="shared" si="117"/>
        <v>5982</v>
      </c>
      <c r="CY55" s="37">
        <f t="shared" si="118"/>
        <v>5983</v>
      </c>
      <c r="CZ55" s="37">
        <f t="shared" si="119"/>
        <v>5984</v>
      </c>
      <c r="DA55" s="37">
        <f t="shared" si="120"/>
        <v>5985</v>
      </c>
      <c r="DB55" s="37">
        <f t="shared" si="121"/>
        <v>5986</v>
      </c>
      <c r="DC55" s="37">
        <f t="shared" si="122"/>
        <v>5987</v>
      </c>
      <c r="DD55" s="37">
        <f t="shared" si="123"/>
        <v>5988</v>
      </c>
      <c r="DE55" s="37">
        <f t="shared" si="124"/>
        <v>5989</v>
      </c>
      <c r="DF55" s="39">
        <f t="shared" si="125"/>
        <v>5990</v>
      </c>
      <c r="DG55" s="36">
        <f t="shared" si="126"/>
        <v>5991</v>
      </c>
      <c r="DH55" s="37">
        <f t="shared" si="127"/>
        <v>5992</v>
      </c>
      <c r="DI55" s="37">
        <f t="shared" si="128"/>
        <v>5993</v>
      </c>
      <c r="DJ55" s="37">
        <f t="shared" si="129"/>
        <v>5994</v>
      </c>
      <c r="DK55" s="37">
        <f t="shared" si="130"/>
        <v>5995</v>
      </c>
      <c r="DL55" s="37">
        <f t="shared" si="131"/>
        <v>5996</v>
      </c>
      <c r="DM55" s="37">
        <f t="shared" si="132"/>
        <v>5997</v>
      </c>
      <c r="DN55" s="37">
        <f t="shared" si="133"/>
        <v>5998</v>
      </c>
      <c r="DO55" s="37">
        <f t="shared" si="134"/>
        <v>5999</v>
      </c>
      <c r="DP55" s="38">
        <f t="shared" si="135"/>
        <v>6000</v>
      </c>
      <c r="DR55" s="966"/>
      <c r="DS55" s="967"/>
      <c r="DT55" s="967"/>
      <c r="DU55" s="968"/>
    </row>
    <row r="56" spans="1:125" ht="5.75" customHeight="1">
      <c r="A56" s="36">
        <f t="shared" si="136"/>
        <v>6001</v>
      </c>
      <c r="B56" s="37">
        <f t="shared" si="17"/>
        <v>6002</v>
      </c>
      <c r="C56" s="37">
        <f t="shared" si="18"/>
        <v>6003</v>
      </c>
      <c r="D56" s="37">
        <f t="shared" si="19"/>
        <v>6004</v>
      </c>
      <c r="E56" s="37">
        <f t="shared" si="20"/>
        <v>6005</v>
      </c>
      <c r="F56" s="37">
        <f t="shared" si="21"/>
        <v>6006</v>
      </c>
      <c r="G56" s="37">
        <f t="shared" si="22"/>
        <v>6007</v>
      </c>
      <c r="H56" s="37">
        <f t="shared" si="23"/>
        <v>6008</v>
      </c>
      <c r="I56" s="37">
        <f t="shared" si="24"/>
        <v>6009</v>
      </c>
      <c r="J56" s="38">
        <f t="shared" si="25"/>
        <v>6010</v>
      </c>
      <c r="K56" s="36">
        <f t="shared" si="26"/>
        <v>6011</v>
      </c>
      <c r="L56" s="37">
        <f t="shared" si="27"/>
        <v>6012</v>
      </c>
      <c r="M56" s="37">
        <f t="shared" si="28"/>
        <v>6013</v>
      </c>
      <c r="N56" s="37">
        <f t="shared" si="29"/>
        <v>6014</v>
      </c>
      <c r="O56" s="37">
        <f t="shared" si="30"/>
        <v>6015</v>
      </c>
      <c r="P56" s="37">
        <f t="shared" si="31"/>
        <v>6016</v>
      </c>
      <c r="Q56" s="37">
        <f t="shared" si="32"/>
        <v>6017</v>
      </c>
      <c r="R56" s="37">
        <f t="shared" si="33"/>
        <v>6018</v>
      </c>
      <c r="S56" s="37">
        <f t="shared" si="34"/>
        <v>6019</v>
      </c>
      <c r="T56" s="38">
        <f t="shared" si="35"/>
        <v>6020</v>
      </c>
      <c r="U56" s="36">
        <f t="shared" si="36"/>
        <v>6021</v>
      </c>
      <c r="V56" s="37">
        <f t="shared" si="37"/>
        <v>6022</v>
      </c>
      <c r="W56" s="37">
        <f t="shared" si="38"/>
        <v>6023</v>
      </c>
      <c r="X56" s="37">
        <f t="shared" si="39"/>
        <v>6024</v>
      </c>
      <c r="Y56" s="37">
        <f t="shared" si="40"/>
        <v>6025</v>
      </c>
      <c r="Z56" s="37">
        <f t="shared" si="41"/>
        <v>6026</v>
      </c>
      <c r="AA56" s="37">
        <f t="shared" si="42"/>
        <v>6027</v>
      </c>
      <c r="AB56" s="37">
        <f t="shared" si="43"/>
        <v>6028</v>
      </c>
      <c r="AC56" s="37">
        <f t="shared" si="44"/>
        <v>6029</v>
      </c>
      <c r="AD56" s="38">
        <f t="shared" si="45"/>
        <v>6030</v>
      </c>
      <c r="AE56" s="36">
        <f t="shared" si="46"/>
        <v>6031</v>
      </c>
      <c r="AF56" s="37">
        <f t="shared" si="47"/>
        <v>6032</v>
      </c>
      <c r="AG56" s="37">
        <f t="shared" si="48"/>
        <v>6033</v>
      </c>
      <c r="AH56" s="37">
        <f t="shared" si="49"/>
        <v>6034</v>
      </c>
      <c r="AI56" s="37">
        <f t="shared" si="50"/>
        <v>6035</v>
      </c>
      <c r="AJ56" s="37">
        <f t="shared" si="51"/>
        <v>6036</v>
      </c>
      <c r="AK56" s="37">
        <f t="shared" si="52"/>
        <v>6037</v>
      </c>
      <c r="AL56" s="37">
        <f t="shared" si="53"/>
        <v>6038</v>
      </c>
      <c r="AM56" s="37">
        <f t="shared" si="54"/>
        <v>6039</v>
      </c>
      <c r="AN56" s="38">
        <f t="shared" si="55"/>
        <v>6040</v>
      </c>
      <c r="AO56" s="36">
        <f t="shared" si="56"/>
        <v>6041</v>
      </c>
      <c r="AP56" s="37">
        <f t="shared" si="57"/>
        <v>6042</v>
      </c>
      <c r="AQ56" s="37">
        <f t="shared" si="58"/>
        <v>6043</v>
      </c>
      <c r="AR56" s="37">
        <f t="shared" si="59"/>
        <v>6044</v>
      </c>
      <c r="AS56" s="37">
        <f t="shared" si="60"/>
        <v>6045</v>
      </c>
      <c r="AT56" s="37">
        <f t="shared" si="61"/>
        <v>6046</v>
      </c>
      <c r="AU56" s="37">
        <f t="shared" si="62"/>
        <v>6047</v>
      </c>
      <c r="AV56" s="37">
        <f t="shared" si="63"/>
        <v>6048</v>
      </c>
      <c r="AW56" s="37">
        <f t="shared" si="64"/>
        <v>6049</v>
      </c>
      <c r="AX56" s="38">
        <f t="shared" si="65"/>
        <v>6050</v>
      </c>
      <c r="AY56" s="36">
        <f t="shared" si="66"/>
        <v>6051</v>
      </c>
      <c r="AZ56" s="37">
        <f t="shared" si="67"/>
        <v>6052</v>
      </c>
      <c r="BA56" s="37">
        <f t="shared" si="68"/>
        <v>6053</v>
      </c>
      <c r="BB56" s="37">
        <f t="shared" si="69"/>
        <v>6054</v>
      </c>
      <c r="BC56" s="37">
        <f t="shared" si="70"/>
        <v>6055</v>
      </c>
      <c r="BD56" s="37">
        <f t="shared" si="71"/>
        <v>6056</v>
      </c>
      <c r="BE56" s="37">
        <f t="shared" si="72"/>
        <v>6057</v>
      </c>
      <c r="BF56" s="37">
        <f t="shared" si="73"/>
        <v>6058</v>
      </c>
      <c r="BG56" s="37">
        <f t="shared" si="74"/>
        <v>6059</v>
      </c>
      <c r="BH56" s="38">
        <f t="shared" si="75"/>
        <v>6060</v>
      </c>
      <c r="BI56" s="36">
        <f t="shared" si="76"/>
        <v>6061</v>
      </c>
      <c r="BJ56" s="37">
        <f t="shared" si="77"/>
        <v>6062</v>
      </c>
      <c r="BK56" s="37">
        <f t="shared" si="78"/>
        <v>6063</v>
      </c>
      <c r="BL56" s="37">
        <f t="shared" si="79"/>
        <v>6064</v>
      </c>
      <c r="BM56" s="37">
        <f t="shared" si="80"/>
        <v>6065</v>
      </c>
      <c r="BN56" s="37">
        <f t="shared" si="81"/>
        <v>6066</v>
      </c>
      <c r="BO56" s="37">
        <f t="shared" si="82"/>
        <v>6067</v>
      </c>
      <c r="BP56" s="37">
        <f t="shared" si="83"/>
        <v>6068</v>
      </c>
      <c r="BQ56" s="37">
        <f t="shared" si="84"/>
        <v>6069</v>
      </c>
      <c r="BR56" s="39">
        <f t="shared" si="85"/>
        <v>6070</v>
      </c>
      <c r="BS56" s="36">
        <f t="shared" si="86"/>
        <v>6071</v>
      </c>
      <c r="BT56" s="37">
        <f t="shared" si="87"/>
        <v>6072</v>
      </c>
      <c r="BU56" s="37">
        <f t="shared" si="88"/>
        <v>6073</v>
      </c>
      <c r="BV56" s="37">
        <f t="shared" si="89"/>
        <v>6074</v>
      </c>
      <c r="BW56" s="37">
        <f t="shared" si="90"/>
        <v>6075</v>
      </c>
      <c r="BX56" s="37">
        <f t="shared" si="91"/>
        <v>6076</v>
      </c>
      <c r="BY56" s="37">
        <f t="shared" si="92"/>
        <v>6077</v>
      </c>
      <c r="BZ56" s="37">
        <f t="shared" si="93"/>
        <v>6078</v>
      </c>
      <c r="CA56" s="37">
        <f t="shared" si="94"/>
        <v>6079</v>
      </c>
      <c r="CB56" s="38">
        <f t="shared" si="95"/>
        <v>6080</v>
      </c>
      <c r="CC56" s="40">
        <f t="shared" si="96"/>
        <v>6081</v>
      </c>
      <c r="CD56" s="37">
        <f t="shared" si="97"/>
        <v>6082</v>
      </c>
      <c r="CE56" s="37">
        <f t="shared" si="98"/>
        <v>6083</v>
      </c>
      <c r="CF56" s="37">
        <f t="shared" si="99"/>
        <v>6084</v>
      </c>
      <c r="CG56" s="37">
        <f t="shared" si="100"/>
        <v>6085</v>
      </c>
      <c r="CH56" s="37">
        <f t="shared" si="101"/>
        <v>6086</v>
      </c>
      <c r="CI56" s="37">
        <f t="shared" si="102"/>
        <v>6087</v>
      </c>
      <c r="CJ56" s="37">
        <f t="shared" si="103"/>
        <v>6088</v>
      </c>
      <c r="CK56" s="37">
        <f t="shared" si="104"/>
        <v>6089</v>
      </c>
      <c r="CL56" s="39">
        <f t="shared" si="105"/>
        <v>6090</v>
      </c>
      <c r="CM56" s="36">
        <f t="shared" si="106"/>
        <v>6091</v>
      </c>
      <c r="CN56" s="37">
        <f t="shared" si="107"/>
        <v>6092</v>
      </c>
      <c r="CO56" s="37">
        <f t="shared" si="108"/>
        <v>6093</v>
      </c>
      <c r="CP56" s="37">
        <f t="shared" si="109"/>
        <v>6094</v>
      </c>
      <c r="CQ56" s="37">
        <f t="shared" si="110"/>
        <v>6095</v>
      </c>
      <c r="CR56" s="37">
        <f t="shared" si="111"/>
        <v>6096</v>
      </c>
      <c r="CS56" s="37">
        <f t="shared" si="112"/>
        <v>6097</v>
      </c>
      <c r="CT56" s="37">
        <f t="shared" si="113"/>
        <v>6098</v>
      </c>
      <c r="CU56" s="37">
        <f t="shared" si="114"/>
        <v>6099</v>
      </c>
      <c r="CV56" s="38">
        <f t="shared" si="115"/>
        <v>6100</v>
      </c>
      <c r="CW56" s="40">
        <f t="shared" si="116"/>
        <v>6101</v>
      </c>
      <c r="CX56" s="37">
        <f t="shared" si="117"/>
        <v>6102</v>
      </c>
      <c r="CY56" s="37">
        <f t="shared" si="118"/>
        <v>6103</v>
      </c>
      <c r="CZ56" s="37">
        <f t="shared" si="119"/>
        <v>6104</v>
      </c>
      <c r="DA56" s="37">
        <f t="shared" si="120"/>
        <v>6105</v>
      </c>
      <c r="DB56" s="37">
        <f t="shared" si="121"/>
        <v>6106</v>
      </c>
      <c r="DC56" s="37">
        <f t="shared" si="122"/>
        <v>6107</v>
      </c>
      <c r="DD56" s="37">
        <f t="shared" si="123"/>
        <v>6108</v>
      </c>
      <c r="DE56" s="37">
        <f t="shared" si="124"/>
        <v>6109</v>
      </c>
      <c r="DF56" s="39">
        <f t="shared" si="125"/>
        <v>6110</v>
      </c>
      <c r="DG56" s="36">
        <f t="shared" si="126"/>
        <v>6111</v>
      </c>
      <c r="DH56" s="37">
        <f t="shared" si="127"/>
        <v>6112</v>
      </c>
      <c r="DI56" s="37">
        <f t="shared" si="128"/>
        <v>6113</v>
      </c>
      <c r="DJ56" s="37">
        <f t="shared" si="129"/>
        <v>6114</v>
      </c>
      <c r="DK56" s="37">
        <f t="shared" si="130"/>
        <v>6115</v>
      </c>
      <c r="DL56" s="37">
        <f t="shared" si="131"/>
        <v>6116</v>
      </c>
      <c r="DM56" s="37">
        <f t="shared" si="132"/>
        <v>6117</v>
      </c>
      <c r="DN56" s="37">
        <f t="shared" si="133"/>
        <v>6118</v>
      </c>
      <c r="DO56" s="37">
        <f t="shared" si="134"/>
        <v>6119</v>
      </c>
      <c r="DP56" s="38">
        <f t="shared" si="135"/>
        <v>6120</v>
      </c>
      <c r="DR56" s="966"/>
      <c r="DS56" s="967"/>
      <c r="DT56" s="967"/>
      <c r="DU56" s="968"/>
    </row>
    <row r="57" spans="1:125" ht="5.75" customHeight="1">
      <c r="A57" s="36">
        <f t="shared" si="136"/>
        <v>6121</v>
      </c>
      <c r="B57" s="37">
        <f t="shared" si="17"/>
        <v>6122</v>
      </c>
      <c r="C57" s="37">
        <f t="shared" si="18"/>
        <v>6123</v>
      </c>
      <c r="D57" s="37">
        <f t="shared" si="19"/>
        <v>6124</v>
      </c>
      <c r="E57" s="37">
        <f t="shared" si="20"/>
        <v>6125</v>
      </c>
      <c r="F57" s="37">
        <f t="shared" si="21"/>
        <v>6126</v>
      </c>
      <c r="G57" s="37">
        <f t="shared" si="22"/>
        <v>6127</v>
      </c>
      <c r="H57" s="37">
        <f t="shared" si="23"/>
        <v>6128</v>
      </c>
      <c r="I57" s="37">
        <f t="shared" si="24"/>
        <v>6129</v>
      </c>
      <c r="J57" s="38">
        <f t="shared" si="25"/>
        <v>6130</v>
      </c>
      <c r="K57" s="36">
        <f t="shared" si="26"/>
        <v>6131</v>
      </c>
      <c r="L57" s="37">
        <f t="shared" si="27"/>
        <v>6132</v>
      </c>
      <c r="M57" s="37">
        <f t="shared" si="28"/>
        <v>6133</v>
      </c>
      <c r="N57" s="37">
        <f t="shared" si="29"/>
        <v>6134</v>
      </c>
      <c r="O57" s="37">
        <f t="shared" si="30"/>
        <v>6135</v>
      </c>
      <c r="P57" s="37">
        <f t="shared" si="31"/>
        <v>6136</v>
      </c>
      <c r="Q57" s="37">
        <f t="shared" si="32"/>
        <v>6137</v>
      </c>
      <c r="R57" s="37">
        <f t="shared" si="33"/>
        <v>6138</v>
      </c>
      <c r="S57" s="37">
        <f t="shared" si="34"/>
        <v>6139</v>
      </c>
      <c r="T57" s="38">
        <f t="shared" si="35"/>
        <v>6140</v>
      </c>
      <c r="U57" s="36">
        <f t="shared" si="36"/>
        <v>6141</v>
      </c>
      <c r="V57" s="37">
        <f t="shared" si="37"/>
        <v>6142</v>
      </c>
      <c r="W57" s="37">
        <f t="shared" si="38"/>
        <v>6143</v>
      </c>
      <c r="X57" s="37">
        <f t="shared" si="39"/>
        <v>6144</v>
      </c>
      <c r="Y57" s="37">
        <f t="shared" si="40"/>
        <v>6145</v>
      </c>
      <c r="Z57" s="37">
        <f t="shared" si="41"/>
        <v>6146</v>
      </c>
      <c r="AA57" s="37">
        <f t="shared" si="42"/>
        <v>6147</v>
      </c>
      <c r="AB57" s="37">
        <f t="shared" si="43"/>
        <v>6148</v>
      </c>
      <c r="AC57" s="37">
        <f t="shared" si="44"/>
        <v>6149</v>
      </c>
      <c r="AD57" s="38">
        <f t="shared" si="45"/>
        <v>6150</v>
      </c>
      <c r="AE57" s="36">
        <f t="shared" si="46"/>
        <v>6151</v>
      </c>
      <c r="AF57" s="37">
        <f t="shared" si="47"/>
        <v>6152</v>
      </c>
      <c r="AG57" s="37">
        <f t="shared" si="48"/>
        <v>6153</v>
      </c>
      <c r="AH57" s="37">
        <f t="shared" si="49"/>
        <v>6154</v>
      </c>
      <c r="AI57" s="37">
        <f t="shared" si="50"/>
        <v>6155</v>
      </c>
      <c r="AJ57" s="37">
        <f t="shared" si="51"/>
        <v>6156</v>
      </c>
      <c r="AK57" s="37">
        <f t="shared" si="52"/>
        <v>6157</v>
      </c>
      <c r="AL57" s="37">
        <f t="shared" si="53"/>
        <v>6158</v>
      </c>
      <c r="AM57" s="37">
        <f t="shared" si="54"/>
        <v>6159</v>
      </c>
      <c r="AN57" s="38">
        <f t="shared" si="55"/>
        <v>6160</v>
      </c>
      <c r="AO57" s="36">
        <f t="shared" si="56"/>
        <v>6161</v>
      </c>
      <c r="AP57" s="37">
        <f t="shared" si="57"/>
        <v>6162</v>
      </c>
      <c r="AQ57" s="37">
        <f t="shared" si="58"/>
        <v>6163</v>
      </c>
      <c r="AR57" s="37">
        <f t="shared" si="59"/>
        <v>6164</v>
      </c>
      <c r="AS57" s="37">
        <f t="shared" si="60"/>
        <v>6165</v>
      </c>
      <c r="AT57" s="37">
        <f t="shared" si="61"/>
        <v>6166</v>
      </c>
      <c r="AU57" s="37">
        <f t="shared" si="62"/>
        <v>6167</v>
      </c>
      <c r="AV57" s="37">
        <f t="shared" si="63"/>
        <v>6168</v>
      </c>
      <c r="AW57" s="37">
        <f t="shared" si="64"/>
        <v>6169</v>
      </c>
      <c r="AX57" s="38">
        <f t="shared" si="65"/>
        <v>6170</v>
      </c>
      <c r="AY57" s="36">
        <f t="shared" si="66"/>
        <v>6171</v>
      </c>
      <c r="AZ57" s="37">
        <f t="shared" si="67"/>
        <v>6172</v>
      </c>
      <c r="BA57" s="37">
        <f t="shared" si="68"/>
        <v>6173</v>
      </c>
      <c r="BB57" s="37">
        <f t="shared" si="69"/>
        <v>6174</v>
      </c>
      <c r="BC57" s="37">
        <f t="shared" si="70"/>
        <v>6175</v>
      </c>
      <c r="BD57" s="37">
        <f t="shared" si="71"/>
        <v>6176</v>
      </c>
      <c r="BE57" s="37">
        <f t="shared" si="72"/>
        <v>6177</v>
      </c>
      <c r="BF57" s="37">
        <f t="shared" si="73"/>
        <v>6178</v>
      </c>
      <c r="BG57" s="37">
        <f t="shared" si="74"/>
        <v>6179</v>
      </c>
      <c r="BH57" s="38">
        <f t="shared" si="75"/>
        <v>6180</v>
      </c>
      <c r="BI57" s="36">
        <f t="shared" si="76"/>
        <v>6181</v>
      </c>
      <c r="BJ57" s="37">
        <f t="shared" si="77"/>
        <v>6182</v>
      </c>
      <c r="BK57" s="37">
        <f t="shared" si="78"/>
        <v>6183</v>
      </c>
      <c r="BL57" s="37">
        <f t="shared" si="79"/>
        <v>6184</v>
      </c>
      <c r="BM57" s="37">
        <f t="shared" si="80"/>
        <v>6185</v>
      </c>
      <c r="BN57" s="37">
        <f t="shared" si="81"/>
        <v>6186</v>
      </c>
      <c r="BO57" s="37">
        <f t="shared" si="82"/>
        <v>6187</v>
      </c>
      <c r="BP57" s="37">
        <f t="shared" si="83"/>
        <v>6188</v>
      </c>
      <c r="BQ57" s="37">
        <f t="shared" si="84"/>
        <v>6189</v>
      </c>
      <c r="BR57" s="39">
        <f t="shared" si="85"/>
        <v>6190</v>
      </c>
      <c r="BS57" s="36">
        <f t="shared" si="86"/>
        <v>6191</v>
      </c>
      <c r="BT57" s="37">
        <f t="shared" si="87"/>
        <v>6192</v>
      </c>
      <c r="BU57" s="37">
        <f t="shared" si="88"/>
        <v>6193</v>
      </c>
      <c r="BV57" s="37">
        <f t="shared" si="89"/>
        <v>6194</v>
      </c>
      <c r="BW57" s="37">
        <f t="shared" si="90"/>
        <v>6195</v>
      </c>
      <c r="BX57" s="37">
        <f t="shared" si="91"/>
        <v>6196</v>
      </c>
      <c r="BY57" s="37">
        <f t="shared" si="92"/>
        <v>6197</v>
      </c>
      <c r="BZ57" s="37">
        <f t="shared" si="93"/>
        <v>6198</v>
      </c>
      <c r="CA57" s="37">
        <f t="shared" si="94"/>
        <v>6199</v>
      </c>
      <c r="CB57" s="38">
        <f t="shared" si="95"/>
        <v>6200</v>
      </c>
      <c r="CC57" s="40">
        <f t="shared" si="96"/>
        <v>6201</v>
      </c>
      <c r="CD57" s="37">
        <f t="shared" si="97"/>
        <v>6202</v>
      </c>
      <c r="CE57" s="37">
        <f t="shared" si="98"/>
        <v>6203</v>
      </c>
      <c r="CF57" s="37">
        <f t="shared" si="99"/>
        <v>6204</v>
      </c>
      <c r="CG57" s="37">
        <f t="shared" si="100"/>
        <v>6205</v>
      </c>
      <c r="CH57" s="37">
        <f t="shared" si="101"/>
        <v>6206</v>
      </c>
      <c r="CI57" s="37">
        <f t="shared" si="102"/>
        <v>6207</v>
      </c>
      <c r="CJ57" s="37">
        <f t="shared" si="103"/>
        <v>6208</v>
      </c>
      <c r="CK57" s="37">
        <f t="shared" si="104"/>
        <v>6209</v>
      </c>
      <c r="CL57" s="39">
        <f t="shared" si="105"/>
        <v>6210</v>
      </c>
      <c r="CM57" s="36">
        <f t="shared" si="106"/>
        <v>6211</v>
      </c>
      <c r="CN57" s="37">
        <f t="shared" si="107"/>
        <v>6212</v>
      </c>
      <c r="CO57" s="37">
        <f t="shared" si="108"/>
        <v>6213</v>
      </c>
      <c r="CP57" s="37">
        <f t="shared" si="109"/>
        <v>6214</v>
      </c>
      <c r="CQ57" s="37">
        <f t="shared" si="110"/>
        <v>6215</v>
      </c>
      <c r="CR57" s="37">
        <f t="shared" si="111"/>
        <v>6216</v>
      </c>
      <c r="CS57" s="37">
        <f t="shared" si="112"/>
        <v>6217</v>
      </c>
      <c r="CT57" s="37">
        <f t="shared" si="113"/>
        <v>6218</v>
      </c>
      <c r="CU57" s="37">
        <f t="shared" si="114"/>
        <v>6219</v>
      </c>
      <c r="CV57" s="38">
        <f t="shared" si="115"/>
        <v>6220</v>
      </c>
      <c r="CW57" s="40">
        <f t="shared" si="116"/>
        <v>6221</v>
      </c>
      <c r="CX57" s="37">
        <f t="shared" si="117"/>
        <v>6222</v>
      </c>
      <c r="CY57" s="37">
        <f t="shared" si="118"/>
        <v>6223</v>
      </c>
      <c r="CZ57" s="37">
        <f t="shared" si="119"/>
        <v>6224</v>
      </c>
      <c r="DA57" s="37">
        <f t="shared" si="120"/>
        <v>6225</v>
      </c>
      <c r="DB57" s="37">
        <f t="shared" si="121"/>
        <v>6226</v>
      </c>
      <c r="DC57" s="37">
        <f t="shared" si="122"/>
        <v>6227</v>
      </c>
      <c r="DD57" s="37">
        <f t="shared" si="123"/>
        <v>6228</v>
      </c>
      <c r="DE57" s="37">
        <f t="shared" si="124"/>
        <v>6229</v>
      </c>
      <c r="DF57" s="39">
        <f t="shared" si="125"/>
        <v>6230</v>
      </c>
      <c r="DG57" s="36">
        <f t="shared" si="126"/>
        <v>6231</v>
      </c>
      <c r="DH57" s="37">
        <f t="shared" si="127"/>
        <v>6232</v>
      </c>
      <c r="DI57" s="37">
        <f t="shared" si="128"/>
        <v>6233</v>
      </c>
      <c r="DJ57" s="37">
        <f t="shared" si="129"/>
        <v>6234</v>
      </c>
      <c r="DK57" s="37">
        <f t="shared" si="130"/>
        <v>6235</v>
      </c>
      <c r="DL57" s="37">
        <f t="shared" si="131"/>
        <v>6236</v>
      </c>
      <c r="DM57" s="37">
        <f t="shared" si="132"/>
        <v>6237</v>
      </c>
      <c r="DN57" s="37">
        <f t="shared" si="133"/>
        <v>6238</v>
      </c>
      <c r="DO57" s="37">
        <f t="shared" si="134"/>
        <v>6239</v>
      </c>
      <c r="DP57" s="38">
        <f t="shared" si="135"/>
        <v>6240</v>
      </c>
      <c r="DR57" s="966">
        <v>70</v>
      </c>
      <c r="DS57" s="967"/>
      <c r="DT57" s="967"/>
      <c r="DU57" s="968"/>
    </row>
    <row r="58" spans="1:125" ht="5.75" customHeight="1">
      <c r="A58" s="36">
        <f t="shared" si="136"/>
        <v>6241</v>
      </c>
      <c r="B58" s="37">
        <f t="shared" si="17"/>
        <v>6242</v>
      </c>
      <c r="C58" s="37">
        <f t="shared" si="18"/>
        <v>6243</v>
      </c>
      <c r="D58" s="37">
        <f t="shared" si="19"/>
        <v>6244</v>
      </c>
      <c r="E58" s="37">
        <f t="shared" si="20"/>
        <v>6245</v>
      </c>
      <c r="F58" s="37">
        <f t="shared" si="21"/>
        <v>6246</v>
      </c>
      <c r="G58" s="37">
        <f t="shared" si="22"/>
        <v>6247</v>
      </c>
      <c r="H58" s="37">
        <f t="shared" si="23"/>
        <v>6248</v>
      </c>
      <c r="I58" s="37">
        <f t="shared" si="24"/>
        <v>6249</v>
      </c>
      <c r="J58" s="38">
        <f t="shared" si="25"/>
        <v>6250</v>
      </c>
      <c r="K58" s="36">
        <f t="shared" si="26"/>
        <v>6251</v>
      </c>
      <c r="L58" s="37">
        <f t="shared" si="27"/>
        <v>6252</v>
      </c>
      <c r="M58" s="37">
        <f t="shared" si="28"/>
        <v>6253</v>
      </c>
      <c r="N58" s="37">
        <f t="shared" si="29"/>
        <v>6254</v>
      </c>
      <c r="O58" s="37">
        <f t="shared" si="30"/>
        <v>6255</v>
      </c>
      <c r="P58" s="37">
        <f t="shared" si="31"/>
        <v>6256</v>
      </c>
      <c r="Q58" s="37">
        <f t="shared" si="32"/>
        <v>6257</v>
      </c>
      <c r="R58" s="37">
        <f t="shared" si="33"/>
        <v>6258</v>
      </c>
      <c r="S58" s="37">
        <f t="shared" si="34"/>
        <v>6259</v>
      </c>
      <c r="T58" s="38">
        <f t="shared" si="35"/>
        <v>6260</v>
      </c>
      <c r="U58" s="36">
        <f t="shared" si="36"/>
        <v>6261</v>
      </c>
      <c r="V58" s="37">
        <f t="shared" si="37"/>
        <v>6262</v>
      </c>
      <c r="W58" s="37">
        <f t="shared" si="38"/>
        <v>6263</v>
      </c>
      <c r="X58" s="37">
        <f t="shared" si="39"/>
        <v>6264</v>
      </c>
      <c r="Y58" s="37">
        <f t="shared" si="40"/>
        <v>6265</v>
      </c>
      <c r="Z58" s="37">
        <f t="shared" si="41"/>
        <v>6266</v>
      </c>
      <c r="AA58" s="37">
        <f t="shared" si="42"/>
        <v>6267</v>
      </c>
      <c r="AB58" s="37">
        <f t="shared" si="43"/>
        <v>6268</v>
      </c>
      <c r="AC58" s="37">
        <f t="shared" si="44"/>
        <v>6269</v>
      </c>
      <c r="AD58" s="38">
        <f t="shared" si="45"/>
        <v>6270</v>
      </c>
      <c r="AE58" s="36">
        <f t="shared" si="46"/>
        <v>6271</v>
      </c>
      <c r="AF58" s="37">
        <f t="shared" si="47"/>
        <v>6272</v>
      </c>
      <c r="AG58" s="37">
        <f t="shared" si="48"/>
        <v>6273</v>
      </c>
      <c r="AH58" s="37">
        <f t="shared" si="49"/>
        <v>6274</v>
      </c>
      <c r="AI58" s="37">
        <f t="shared" si="50"/>
        <v>6275</v>
      </c>
      <c r="AJ58" s="37">
        <f t="shared" si="51"/>
        <v>6276</v>
      </c>
      <c r="AK58" s="37">
        <f t="shared" si="52"/>
        <v>6277</v>
      </c>
      <c r="AL58" s="37">
        <f t="shared" si="53"/>
        <v>6278</v>
      </c>
      <c r="AM58" s="37">
        <f t="shared" si="54"/>
        <v>6279</v>
      </c>
      <c r="AN58" s="38">
        <f t="shared" si="55"/>
        <v>6280</v>
      </c>
      <c r="AO58" s="36">
        <f t="shared" si="56"/>
        <v>6281</v>
      </c>
      <c r="AP58" s="37">
        <f t="shared" si="57"/>
        <v>6282</v>
      </c>
      <c r="AQ58" s="37">
        <f t="shared" si="58"/>
        <v>6283</v>
      </c>
      <c r="AR58" s="37">
        <f t="shared" si="59"/>
        <v>6284</v>
      </c>
      <c r="AS58" s="37">
        <f t="shared" si="60"/>
        <v>6285</v>
      </c>
      <c r="AT58" s="37">
        <f t="shared" si="61"/>
        <v>6286</v>
      </c>
      <c r="AU58" s="37">
        <f t="shared" si="62"/>
        <v>6287</v>
      </c>
      <c r="AV58" s="37">
        <f t="shared" si="63"/>
        <v>6288</v>
      </c>
      <c r="AW58" s="37">
        <f t="shared" si="64"/>
        <v>6289</v>
      </c>
      <c r="AX58" s="38">
        <f t="shared" si="65"/>
        <v>6290</v>
      </c>
      <c r="AY58" s="36">
        <f t="shared" si="66"/>
        <v>6291</v>
      </c>
      <c r="AZ58" s="37">
        <f t="shared" si="67"/>
        <v>6292</v>
      </c>
      <c r="BA58" s="37">
        <f t="shared" si="68"/>
        <v>6293</v>
      </c>
      <c r="BB58" s="37">
        <f t="shared" si="69"/>
        <v>6294</v>
      </c>
      <c r="BC58" s="37">
        <f t="shared" si="70"/>
        <v>6295</v>
      </c>
      <c r="BD58" s="37">
        <f t="shared" si="71"/>
        <v>6296</v>
      </c>
      <c r="BE58" s="37">
        <f t="shared" si="72"/>
        <v>6297</v>
      </c>
      <c r="BF58" s="37">
        <f t="shared" si="73"/>
        <v>6298</v>
      </c>
      <c r="BG58" s="37">
        <f t="shared" si="74"/>
        <v>6299</v>
      </c>
      <c r="BH58" s="38">
        <f t="shared" si="75"/>
        <v>6300</v>
      </c>
      <c r="BI58" s="36">
        <f t="shared" si="76"/>
        <v>6301</v>
      </c>
      <c r="BJ58" s="37">
        <f t="shared" si="77"/>
        <v>6302</v>
      </c>
      <c r="BK58" s="37">
        <f t="shared" si="78"/>
        <v>6303</v>
      </c>
      <c r="BL58" s="37">
        <f t="shared" si="79"/>
        <v>6304</v>
      </c>
      <c r="BM58" s="37">
        <f t="shared" si="80"/>
        <v>6305</v>
      </c>
      <c r="BN58" s="37">
        <f t="shared" si="81"/>
        <v>6306</v>
      </c>
      <c r="BO58" s="37">
        <f t="shared" si="82"/>
        <v>6307</v>
      </c>
      <c r="BP58" s="37">
        <f t="shared" si="83"/>
        <v>6308</v>
      </c>
      <c r="BQ58" s="37">
        <f t="shared" si="84"/>
        <v>6309</v>
      </c>
      <c r="BR58" s="39">
        <f t="shared" si="85"/>
        <v>6310</v>
      </c>
      <c r="BS58" s="36">
        <f t="shared" si="86"/>
        <v>6311</v>
      </c>
      <c r="BT58" s="37">
        <f t="shared" si="87"/>
        <v>6312</v>
      </c>
      <c r="BU58" s="37">
        <f t="shared" si="88"/>
        <v>6313</v>
      </c>
      <c r="BV58" s="37">
        <f t="shared" si="89"/>
        <v>6314</v>
      </c>
      <c r="BW58" s="37">
        <f t="shared" si="90"/>
        <v>6315</v>
      </c>
      <c r="BX58" s="37">
        <f t="shared" si="91"/>
        <v>6316</v>
      </c>
      <c r="BY58" s="37">
        <f t="shared" si="92"/>
        <v>6317</v>
      </c>
      <c r="BZ58" s="37">
        <f t="shared" si="93"/>
        <v>6318</v>
      </c>
      <c r="CA58" s="37">
        <f t="shared" si="94"/>
        <v>6319</v>
      </c>
      <c r="CB58" s="38">
        <f t="shared" si="95"/>
        <v>6320</v>
      </c>
      <c r="CC58" s="40">
        <f t="shared" si="96"/>
        <v>6321</v>
      </c>
      <c r="CD58" s="37">
        <f t="shared" si="97"/>
        <v>6322</v>
      </c>
      <c r="CE58" s="37">
        <f t="shared" si="98"/>
        <v>6323</v>
      </c>
      <c r="CF58" s="37">
        <f t="shared" si="99"/>
        <v>6324</v>
      </c>
      <c r="CG58" s="37">
        <f t="shared" si="100"/>
        <v>6325</v>
      </c>
      <c r="CH58" s="37">
        <f t="shared" si="101"/>
        <v>6326</v>
      </c>
      <c r="CI58" s="37">
        <f t="shared" si="102"/>
        <v>6327</v>
      </c>
      <c r="CJ58" s="37">
        <f t="shared" si="103"/>
        <v>6328</v>
      </c>
      <c r="CK58" s="37">
        <f t="shared" si="104"/>
        <v>6329</v>
      </c>
      <c r="CL58" s="39">
        <f t="shared" si="105"/>
        <v>6330</v>
      </c>
      <c r="CM58" s="36">
        <f t="shared" si="106"/>
        <v>6331</v>
      </c>
      <c r="CN58" s="37">
        <f t="shared" si="107"/>
        <v>6332</v>
      </c>
      <c r="CO58" s="37">
        <f t="shared" si="108"/>
        <v>6333</v>
      </c>
      <c r="CP58" s="37">
        <f t="shared" si="109"/>
        <v>6334</v>
      </c>
      <c r="CQ58" s="37">
        <f t="shared" si="110"/>
        <v>6335</v>
      </c>
      <c r="CR58" s="37">
        <f t="shared" si="111"/>
        <v>6336</v>
      </c>
      <c r="CS58" s="37">
        <f t="shared" si="112"/>
        <v>6337</v>
      </c>
      <c r="CT58" s="37">
        <f t="shared" si="113"/>
        <v>6338</v>
      </c>
      <c r="CU58" s="37">
        <f t="shared" si="114"/>
        <v>6339</v>
      </c>
      <c r="CV58" s="38">
        <f t="shared" si="115"/>
        <v>6340</v>
      </c>
      <c r="CW58" s="40">
        <f t="shared" si="116"/>
        <v>6341</v>
      </c>
      <c r="CX58" s="37">
        <f t="shared" si="117"/>
        <v>6342</v>
      </c>
      <c r="CY58" s="37">
        <f t="shared" si="118"/>
        <v>6343</v>
      </c>
      <c r="CZ58" s="37">
        <f t="shared" si="119"/>
        <v>6344</v>
      </c>
      <c r="DA58" s="37">
        <f t="shared" si="120"/>
        <v>6345</v>
      </c>
      <c r="DB58" s="37">
        <f t="shared" si="121"/>
        <v>6346</v>
      </c>
      <c r="DC58" s="37">
        <f t="shared" si="122"/>
        <v>6347</v>
      </c>
      <c r="DD58" s="37">
        <f t="shared" si="123"/>
        <v>6348</v>
      </c>
      <c r="DE58" s="37">
        <f t="shared" si="124"/>
        <v>6349</v>
      </c>
      <c r="DF58" s="39">
        <f t="shared" si="125"/>
        <v>6350</v>
      </c>
      <c r="DG58" s="36">
        <f t="shared" si="126"/>
        <v>6351</v>
      </c>
      <c r="DH58" s="37">
        <f t="shared" si="127"/>
        <v>6352</v>
      </c>
      <c r="DI58" s="37">
        <f t="shared" si="128"/>
        <v>6353</v>
      </c>
      <c r="DJ58" s="37">
        <f t="shared" si="129"/>
        <v>6354</v>
      </c>
      <c r="DK58" s="37">
        <f t="shared" si="130"/>
        <v>6355</v>
      </c>
      <c r="DL58" s="37">
        <f t="shared" si="131"/>
        <v>6356</v>
      </c>
      <c r="DM58" s="37">
        <f t="shared" si="132"/>
        <v>6357</v>
      </c>
      <c r="DN58" s="37">
        <f t="shared" si="133"/>
        <v>6358</v>
      </c>
      <c r="DO58" s="37">
        <f t="shared" si="134"/>
        <v>6359</v>
      </c>
      <c r="DP58" s="38">
        <f t="shared" si="135"/>
        <v>6360</v>
      </c>
      <c r="DR58" s="966"/>
      <c r="DS58" s="967"/>
      <c r="DT58" s="967"/>
      <c r="DU58" s="968"/>
    </row>
    <row r="59" spans="1:125" ht="5.75" customHeight="1">
      <c r="A59" s="36">
        <f t="shared" si="136"/>
        <v>6361</v>
      </c>
      <c r="B59" s="37">
        <f t="shared" si="17"/>
        <v>6362</v>
      </c>
      <c r="C59" s="37">
        <f t="shared" si="18"/>
        <v>6363</v>
      </c>
      <c r="D59" s="37">
        <f t="shared" si="19"/>
        <v>6364</v>
      </c>
      <c r="E59" s="37">
        <f t="shared" si="20"/>
        <v>6365</v>
      </c>
      <c r="F59" s="37">
        <f t="shared" si="21"/>
        <v>6366</v>
      </c>
      <c r="G59" s="37">
        <f t="shared" si="22"/>
        <v>6367</v>
      </c>
      <c r="H59" s="37">
        <f t="shared" si="23"/>
        <v>6368</v>
      </c>
      <c r="I59" s="37">
        <f t="shared" si="24"/>
        <v>6369</v>
      </c>
      <c r="J59" s="38">
        <f t="shared" si="25"/>
        <v>6370</v>
      </c>
      <c r="K59" s="36">
        <f t="shared" si="26"/>
        <v>6371</v>
      </c>
      <c r="L59" s="37">
        <f t="shared" si="27"/>
        <v>6372</v>
      </c>
      <c r="M59" s="37">
        <f t="shared" si="28"/>
        <v>6373</v>
      </c>
      <c r="N59" s="37">
        <f t="shared" si="29"/>
        <v>6374</v>
      </c>
      <c r="O59" s="37">
        <f t="shared" si="30"/>
        <v>6375</v>
      </c>
      <c r="P59" s="37">
        <f t="shared" si="31"/>
        <v>6376</v>
      </c>
      <c r="Q59" s="37">
        <f t="shared" si="32"/>
        <v>6377</v>
      </c>
      <c r="R59" s="37">
        <f t="shared" si="33"/>
        <v>6378</v>
      </c>
      <c r="S59" s="37">
        <f t="shared" si="34"/>
        <v>6379</v>
      </c>
      <c r="T59" s="38">
        <f t="shared" si="35"/>
        <v>6380</v>
      </c>
      <c r="U59" s="36">
        <f t="shared" si="36"/>
        <v>6381</v>
      </c>
      <c r="V59" s="37">
        <f t="shared" si="37"/>
        <v>6382</v>
      </c>
      <c r="W59" s="37">
        <f t="shared" si="38"/>
        <v>6383</v>
      </c>
      <c r="X59" s="37">
        <f t="shared" si="39"/>
        <v>6384</v>
      </c>
      <c r="Y59" s="37">
        <f t="shared" si="40"/>
        <v>6385</v>
      </c>
      <c r="Z59" s="37">
        <f t="shared" si="41"/>
        <v>6386</v>
      </c>
      <c r="AA59" s="37">
        <f t="shared" si="42"/>
        <v>6387</v>
      </c>
      <c r="AB59" s="37">
        <f t="shared" si="43"/>
        <v>6388</v>
      </c>
      <c r="AC59" s="37">
        <f t="shared" si="44"/>
        <v>6389</v>
      </c>
      <c r="AD59" s="38">
        <f t="shared" si="45"/>
        <v>6390</v>
      </c>
      <c r="AE59" s="36">
        <f t="shared" si="46"/>
        <v>6391</v>
      </c>
      <c r="AF59" s="37">
        <f t="shared" si="47"/>
        <v>6392</v>
      </c>
      <c r="AG59" s="37">
        <f t="shared" si="48"/>
        <v>6393</v>
      </c>
      <c r="AH59" s="37">
        <f t="shared" si="49"/>
        <v>6394</v>
      </c>
      <c r="AI59" s="37">
        <f t="shared" si="50"/>
        <v>6395</v>
      </c>
      <c r="AJ59" s="37">
        <f t="shared" si="51"/>
        <v>6396</v>
      </c>
      <c r="AK59" s="37">
        <f t="shared" si="52"/>
        <v>6397</v>
      </c>
      <c r="AL59" s="37">
        <f t="shared" si="53"/>
        <v>6398</v>
      </c>
      <c r="AM59" s="37">
        <f t="shared" si="54"/>
        <v>6399</v>
      </c>
      <c r="AN59" s="38">
        <f t="shared" si="55"/>
        <v>6400</v>
      </c>
      <c r="AO59" s="36">
        <f t="shared" si="56"/>
        <v>6401</v>
      </c>
      <c r="AP59" s="37">
        <f t="shared" si="57"/>
        <v>6402</v>
      </c>
      <c r="AQ59" s="37">
        <f t="shared" si="58"/>
        <v>6403</v>
      </c>
      <c r="AR59" s="37">
        <f t="shared" si="59"/>
        <v>6404</v>
      </c>
      <c r="AS59" s="37">
        <f t="shared" si="60"/>
        <v>6405</v>
      </c>
      <c r="AT59" s="37">
        <f t="shared" si="61"/>
        <v>6406</v>
      </c>
      <c r="AU59" s="37">
        <f t="shared" si="62"/>
        <v>6407</v>
      </c>
      <c r="AV59" s="37">
        <f t="shared" si="63"/>
        <v>6408</v>
      </c>
      <c r="AW59" s="37">
        <f t="shared" si="64"/>
        <v>6409</v>
      </c>
      <c r="AX59" s="38">
        <f t="shared" si="65"/>
        <v>6410</v>
      </c>
      <c r="AY59" s="36">
        <f t="shared" si="66"/>
        <v>6411</v>
      </c>
      <c r="AZ59" s="37">
        <f t="shared" si="67"/>
        <v>6412</v>
      </c>
      <c r="BA59" s="37">
        <f t="shared" si="68"/>
        <v>6413</v>
      </c>
      <c r="BB59" s="37">
        <f t="shared" si="69"/>
        <v>6414</v>
      </c>
      <c r="BC59" s="37">
        <f t="shared" si="70"/>
        <v>6415</v>
      </c>
      <c r="BD59" s="37">
        <f t="shared" si="71"/>
        <v>6416</v>
      </c>
      <c r="BE59" s="37">
        <f t="shared" si="72"/>
        <v>6417</v>
      </c>
      <c r="BF59" s="37">
        <f t="shared" si="73"/>
        <v>6418</v>
      </c>
      <c r="BG59" s="37">
        <f t="shared" si="74"/>
        <v>6419</v>
      </c>
      <c r="BH59" s="38">
        <f t="shared" si="75"/>
        <v>6420</v>
      </c>
      <c r="BI59" s="36">
        <f t="shared" si="76"/>
        <v>6421</v>
      </c>
      <c r="BJ59" s="37">
        <f t="shared" si="77"/>
        <v>6422</v>
      </c>
      <c r="BK59" s="37">
        <f t="shared" si="78"/>
        <v>6423</v>
      </c>
      <c r="BL59" s="37">
        <f t="shared" si="79"/>
        <v>6424</v>
      </c>
      <c r="BM59" s="37">
        <f t="shared" si="80"/>
        <v>6425</v>
      </c>
      <c r="BN59" s="37">
        <f t="shared" si="81"/>
        <v>6426</v>
      </c>
      <c r="BO59" s="37">
        <f t="shared" si="82"/>
        <v>6427</v>
      </c>
      <c r="BP59" s="37">
        <f t="shared" si="83"/>
        <v>6428</v>
      </c>
      <c r="BQ59" s="37">
        <f t="shared" si="84"/>
        <v>6429</v>
      </c>
      <c r="BR59" s="39">
        <f t="shared" si="85"/>
        <v>6430</v>
      </c>
      <c r="BS59" s="36">
        <f t="shared" si="86"/>
        <v>6431</v>
      </c>
      <c r="BT59" s="37">
        <f t="shared" si="87"/>
        <v>6432</v>
      </c>
      <c r="BU59" s="37">
        <f t="shared" si="88"/>
        <v>6433</v>
      </c>
      <c r="BV59" s="37">
        <f t="shared" si="89"/>
        <v>6434</v>
      </c>
      <c r="BW59" s="37">
        <f t="shared" si="90"/>
        <v>6435</v>
      </c>
      <c r="BX59" s="37">
        <f t="shared" si="91"/>
        <v>6436</v>
      </c>
      <c r="BY59" s="37">
        <f t="shared" si="92"/>
        <v>6437</v>
      </c>
      <c r="BZ59" s="37">
        <f t="shared" si="93"/>
        <v>6438</v>
      </c>
      <c r="CA59" s="37">
        <f t="shared" si="94"/>
        <v>6439</v>
      </c>
      <c r="CB59" s="38">
        <f t="shared" si="95"/>
        <v>6440</v>
      </c>
      <c r="CC59" s="40">
        <f t="shared" si="96"/>
        <v>6441</v>
      </c>
      <c r="CD59" s="37">
        <f t="shared" si="97"/>
        <v>6442</v>
      </c>
      <c r="CE59" s="37">
        <f t="shared" si="98"/>
        <v>6443</v>
      </c>
      <c r="CF59" s="37">
        <f t="shared" si="99"/>
        <v>6444</v>
      </c>
      <c r="CG59" s="37">
        <f t="shared" si="100"/>
        <v>6445</v>
      </c>
      <c r="CH59" s="37">
        <f t="shared" si="101"/>
        <v>6446</v>
      </c>
      <c r="CI59" s="37">
        <f t="shared" si="102"/>
        <v>6447</v>
      </c>
      <c r="CJ59" s="37">
        <f t="shared" si="103"/>
        <v>6448</v>
      </c>
      <c r="CK59" s="37">
        <f t="shared" si="104"/>
        <v>6449</v>
      </c>
      <c r="CL59" s="39">
        <f t="shared" si="105"/>
        <v>6450</v>
      </c>
      <c r="CM59" s="36">
        <f t="shared" si="106"/>
        <v>6451</v>
      </c>
      <c r="CN59" s="37">
        <f t="shared" si="107"/>
        <v>6452</v>
      </c>
      <c r="CO59" s="37">
        <f t="shared" si="108"/>
        <v>6453</v>
      </c>
      <c r="CP59" s="37">
        <f t="shared" si="109"/>
        <v>6454</v>
      </c>
      <c r="CQ59" s="37">
        <f t="shared" si="110"/>
        <v>6455</v>
      </c>
      <c r="CR59" s="37">
        <f t="shared" si="111"/>
        <v>6456</v>
      </c>
      <c r="CS59" s="37">
        <f t="shared" si="112"/>
        <v>6457</v>
      </c>
      <c r="CT59" s="37">
        <f t="shared" si="113"/>
        <v>6458</v>
      </c>
      <c r="CU59" s="37">
        <f t="shared" si="114"/>
        <v>6459</v>
      </c>
      <c r="CV59" s="38">
        <f t="shared" si="115"/>
        <v>6460</v>
      </c>
      <c r="CW59" s="40">
        <f t="shared" si="116"/>
        <v>6461</v>
      </c>
      <c r="CX59" s="37">
        <f t="shared" si="117"/>
        <v>6462</v>
      </c>
      <c r="CY59" s="37">
        <f t="shared" si="118"/>
        <v>6463</v>
      </c>
      <c r="CZ59" s="37">
        <f t="shared" si="119"/>
        <v>6464</v>
      </c>
      <c r="DA59" s="37">
        <f t="shared" si="120"/>
        <v>6465</v>
      </c>
      <c r="DB59" s="37">
        <f t="shared" si="121"/>
        <v>6466</v>
      </c>
      <c r="DC59" s="37">
        <f t="shared" si="122"/>
        <v>6467</v>
      </c>
      <c r="DD59" s="37">
        <f t="shared" si="123"/>
        <v>6468</v>
      </c>
      <c r="DE59" s="37">
        <f t="shared" si="124"/>
        <v>6469</v>
      </c>
      <c r="DF59" s="39">
        <f t="shared" si="125"/>
        <v>6470</v>
      </c>
      <c r="DG59" s="36">
        <f t="shared" si="126"/>
        <v>6471</v>
      </c>
      <c r="DH59" s="37">
        <f t="shared" si="127"/>
        <v>6472</v>
      </c>
      <c r="DI59" s="37">
        <f t="shared" si="128"/>
        <v>6473</v>
      </c>
      <c r="DJ59" s="37">
        <f t="shared" si="129"/>
        <v>6474</v>
      </c>
      <c r="DK59" s="37">
        <f t="shared" si="130"/>
        <v>6475</v>
      </c>
      <c r="DL59" s="37">
        <f t="shared" si="131"/>
        <v>6476</v>
      </c>
      <c r="DM59" s="37">
        <f t="shared" si="132"/>
        <v>6477</v>
      </c>
      <c r="DN59" s="37">
        <f t="shared" si="133"/>
        <v>6478</v>
      </c>
      <c r="DO59" s="37">
        <f t="shared" si="134"/>
        <v>6479</v>
      </c>
      <c r="DP59" s="38">
        <f t="shared" si="135"/>
        <v>6480</v>
      </c>
      <c r="DR59" s="966"/>
      <c r="DS59" s="967"/>
      <c r="DT59" s="967"/>
      <c r="DU59" s="968"/>
    </row>
    <row r="60" spans="1:125" ht="5.75" customHeight="1">
      <c r="A60" s="36">
        <f t="shared" si="136"/>
        <v>6481</v>
      </c>
      <c r="B60" s="37">
        <f t="shared" si="17"/>
        <v>6482</v>
      </c>
      <c r="C60" s="37">
        <f t="shared" si="18"/>
        <v>6483</v>
      </c>
      <c r="D60" s="37">
        <f t="shared" si="19"/>
        <v>6484</v>
      </c>
      <c r="E60" s="37">
        <f t="shared" si="20"/>
        <v>6485</v>
      </c>
      <c r="F60" s="37">
        <f t="shared" si="21"/>
        <v>6486</v>
      </c>
      <c r="G60" s="37">
        <f t="shared" si="22"/>
        <v>6487</v>
      </c>
      <c r="H60" s="37">
        <f t="shared" si="23"/>
        <v>6488</v>
      </c>
      <c r="I60" s="37">
        <f t="shared" si="24"/>
        <v>6489</v>
      </c>
      <c r="J60" s="38">
        <f t="shared" si="25"/>
        <v>6490</v>
      </c>
      <c r="K60" s="36">
        <f t="shared" si="26"/>
        <v>6491</v>
      </c>
      <c r="L60" s="37">
        <f t="shared" si="27"/>
        <v>6492</v>
      </c>
      <c r="M60" s="37">
        <f t="shared" si="28"/>
        <v>6493</v>
      </c>
      <c r="N60" s="37">
        <f t="shared" si="29"/>
        <v>6494</v>
      </c>
      <c r="O60" s="37">
        <f t="shared" si="30"/>
        <v>6495</v>
      </c>
      <c r="P60" s="37">
        <f t="shared" si="31"/>
        <v>6496</v>
      </c>
      <c r="Q60" s="37">
        <f t="shared" si="32"/>
        <v>6497</v>
      </c>
      <c r="R60" s="37">
        <f t="shared" si="33"/>
        <v>6498</v>
      </c>
      <c r="S60" s="37">
        <f t="shared" si="34"/>
        <v>6499</v>
      </c>
      <c r="T60" s="38">
        <f t="shared" si="35"/>
        <v>6500</v>
      </c>
      <c r="U60" s="36">
        <f t="shared" si="36"/>
        <v>6501</v>
      </c>
      <c r="V60" s="37">
        <f t="shared" si="37"/>
        <v>6502</v>
      </c>
      <c r="W60" s="37">
        <f t="shared" si="38"/>
        <v>6503</v>
      </c>
      <c r="X60" s="37">
        <f t="shared" si="39"/>
        <v>6504</v>
      </c>
      <c r="Y60" s="37">
        <f t="shared" si="40"/>
        <v>6505</v>
      </c>
      <c r="Z60" s="37">
        <f t="shared" si="41"/>
        <v>6506</v>
      </c>
      <c r="AA60" s="37">
        <f t="shared" si="42"/>
        <v>6507</v>
      </c>
      <c r="AB60" s="37">
        <f t="shared" si="43"/>
        <v>6508</v>
      </c>
      <c r="AC60" s="37">
        <f t="shared" si="44"/>
        <v>6509</v>
      </c>
      <c r="AD60" s="38">
        <f t="shared" si="45"/>
        <v>6510</v>
      </c>
      <c r="AE60" s="36">
        <f t="shared" si="46"/>
        <v>6511</v>
      </c>
      <c r="AF60" s="37">
        <f t="shared" si="47"/>
        <v>6512</v>
      </c>
      <c r="AG60" s="37">
        <f t="shared" si="48"/>
        <v>6513</v>
      </c>
      <c r="AH60" s="37">
        <f t="shared" si="49"/>
        <v>6514</v>
      </c>
      <c r="AI60" s="37">
        <f t="shared" si="50"/>
        <v>6515</v>
      </c>
      <c r="AJ60" s="37">
        <f t="shared" si="51"/>
        <v>6516</v>
      </c>
      <c r="AK60" s="37">
        <f t="shared" si="52"/>
        <v>6517</v>
      </c>
      <c r="AL60" s="37">
        <f t="shared" si="53"/>
        <v>6518</v>
      </c>
      <c r="AM60" s="37">
        <f t="shared" si="54"/>
        <v>6519</v>
      </c>
      <c r="AN60" s="38">
        <f t="shared" si="55"/>
        <v>6520</v>
      </c>
      <c r="AO60" s="36">
        <f t="shared" si="56"/>
        <v>6521</v>
      </c>
      <c r="AP60" s="37">
        <f t="shared" si="57"/>
        <v>6522</v>
      </c>
      <c r="AQ60" s="37">
        <f t="shared" si="58"/>
        <v>6523</v>
      </c>
      <c r="AR60" s="37">
        <f t="shared" si="59"/>
        <v>6524</v>
      </c>
      <c r="AS60" s="37">
        <f t="shared" si="60"/>
        <v>6525</v>
      </c>
      <c r="AT60" s="37">
        <f t="shared" si="61"/>
        <v>6526</v>
      </c>
      <c r="AU60" s="37">
        <f t="shared" si="62"/>
        <v>6527</v>
      </c>
      <c r="AV60" s="37">
        <f t="shared" si="63"/>
        <v>6528</v>
      </c>
      <c r="AW60" s="37">
        <f t="shared" si="64"/>
        <v>6529</v>
      </c>
      <c r="AX60" s="38">
        <f t="shared" si="65"/>
        <v>6530</v>
      </c>
      <c r="AY60" s="36">
        <f t="shared" si="66"/>
        <v>6531</v>
      </c>
      <c r="AZ60" s="37">
        <f t="shared" si="67"/>
        <v>6532</v>
      </c>
      <c r="BA60" s="37">
        <f t="shared" si="68"/>
        <v>6533</v>
      </c>
      <c r="BB60" s="37">
        <f t="shared" si="69"/>
        <v>6534</v>
      </c>
      <c r="BC60" s="37">
        <f t="shared" si="70"/>
        <v>6535</v>
      </c>
      <c r="BD60" s="37">
        <f t="shared" si="71"/>
        <v>6536</v>
      </c>
      <c r="BE60" s="37">
        <f t="shared" si="72"/>
        <v>6537</v>
      </c>
      <c r="BF60" s="37">
        <f t="shared" si="73"/>
        <v>6538</v>
      </c>
      <c r="BG60" s="37">
        <f t="shared" si="74"/>
        <v>6539</v>
      </c>
      <c r="BH60" s="38">
        <f t="shared" si="75"/>
        <v>6540</v>
      </c>
      <c r="BI60" s="36">
        <f t="shared" si="76"/>
        <v>6541</v>
      </c>
      <c r="BJ60" s="37">
        <f t="shared" si="77"/>
        <v>6542</v>
      </c>
      <c r="BK60" s="37">
        <f t="shared" si="78"/>
        <v>6543</v>
      </c>
      <c r="BL60" s="37">
        <f t="shared" si="79"/>
        <v>6544</v>
      </c>
      <c r="BM60" s="37">
        <f t="shared" si="80"/>
        <v>6545</v>
      </c>
      <c r="BN60" s="37">
        <f t="shared" si="81"/>
        <v>6546</v>
      </c>
      <c r="BO60" s="37">
        <f t="shared" si="82"/>
        <v>6547</v>
      </c>
      <c r="BP60" s="37">
        <f t="shared" si="83"/>
        <v>6548</v>
      </c>
      <c r="BQ60" s="37">
        <f t="shared" si="84"/>
        <v>6549</v>
      </c>
      <c r="BR60" s="39">
        <f t="shared" si="85"/>
        <v>6550</v>
      </c>
      <c r="BS60" s="36">
        <f t="shared" si="86"/>
        <v>6551</v>
      </c>
      <c r="BT60" s="37">
        <f t="shared" si="87"/>
        <v>6552</v>
      </c>
      <c r="BU60" s="37">
        <f t="shared" si="88"/>
        <v>6553</v>
      </c>
      <c r="BV60" s="37">
        <f t="shared" si="89"/>
        <v>6554</v>
      </c>
      <c r="BW60" s="37">
        <f t="shared" si="90"/>
        <v>6555</v>
      </c>
      <c r="BX60" s="37">
        <f t="shared" si="91"/>
        <v>6556</v>
      </c>
      <c r="BY60" s="37">
        <f t="shared" si="92"/>
        <v>6557</v>
      </c>
      <c r="BZ60" s="37">
        <f t="shared" si="93"/>
        <v>6558</v>
      </c>
      <c r="CA60" s="37">
        <f t="shared" si="94"/>
        <v>6559</v>
      </c>
      <c r="CB60" s="38">
        <f t="shared" si="95"/>
        <v>6560</v>
      </c>
      <c r="CC60" s="40">
        <f t="shared" si="96"/>
        <v>6561</v>
      </c>
      <c r="CD60" s="37">
        <f t="shared" si="97"/>
        <v>6562</v>
      </c>
      <c r="CE60" s="37">
        <f t="shared" si="98"/>
        <v>6563</v>
      </c>
      <c r="CF60" s="37">
        <f t="shared" si="99"/>
        <v>6564</v>
      </c>
      <c r="CG60" s="37">
        <f t="shared" si="100"/>
        <v>6565</v>
      </c>
      <c r="CH60" s="37">
        <f t="shared" si="101"/>
        <v>6566</v>
      </c>
      <c r="CI60" s="37">
        <f t="shared" si="102"/>
        <v>6567</v>
      </c>
      <c r="CJ60" s="37">
        <f t="shared" si="103"/>
        <v>6568</v>
      </c>
      <c r="CK60" s="37">
        <f t="shared" si="104"/>
        <v>6569</v>
      </c>
      <c r="CL60" s="39">
        <f t="shared" si="105"/>
        <v>6570</v>
      </c>
      <c r="CM60" s="36">
        <f t="shared" si="106"/>
        <v>6571</v>
      </c>
      <c r="CN60" s="37">
        <f t="shared" si="107"/>
        <v>6572</v>
      </c>
      <c r="CO60" s="37">
        <f t="shared" si="108"/>
        <v>6573</v>
      </c>
      <c r="CP60" s="37">
        <f t="shared" si="109"/>
        <v>6574</v>
      </c>
      <c r="CQ60" s="37">
        <f t="shared" si="110"/>
        <v>6575</v>
      </c>
      <c r="CR60" s="37">
        <f t="shared" si="111"/>
        <v>6576</v>
      </c>
      <c r="CS60" s="37">
        <f t="shared" si="112"/>
        <v>6577</v>
      </c>
      <c r="CT60" s="37">
        <f t="shared" si="113"/>
        <v>6578</v>
      </c>
      <c r="CU60" s="37">
        <f t="shared" si="114"/>
        <v>6579</v>
      </c>
      <c r="CV60" s="38">
        <f t="shared" si="115"/>
        <v>6580</v>
      </c>
      <c r="CW60" s="40">
        <f t="shared" si="116"/>
        <v>6581</v>
      </c>
      <c r="CX60" s="37">
        <f t="shared" si="117"/>
        <v>6582</v>
      </c>
      <c r="CY60" s="37">
        <f t="shared" si="118"/>
        <v>6583</v>
      </c>
      <c r="CZ60" s="37">
        <f t="shared" si="119"/>
        <v>6584</v>
      </c>
      <c r="DA60" s="37">
        <f t="shared" si="120"/>
        <v>6585</v>
      </c>
      <c r="DB60" s="37">
        <f t="shared" si="121"/>
        <v>6586</v>
      </c>
      <c r="DC60" s="37">
        <f t="shared" si="122"/>
        <v>6587</v>
      </c>
      <c r="DD60" s="37">
        <f t="shared" si="123"/>
        <v>6588</v>
      </c>
      <c r="DE60" s="37">
        <f t="shared" si="124"/>
        <v>6589</v>
      </c>
      <c r="DF60" s="39">
        <f t="shared" si="125"/>
        <v>6590</v>
      </c>
      <c r="DG60" s="36">
        <f t="shared" si="126"/>
        <v>6591</v>
      </c>
      <c r="DH60" s="37">
        <f t="shared" si="127"/>
        <v>6592</v>
      </c>
      <c r="DI60" s="37">
        <f t="shared" si="128"/>
        <v>6593</v>
      </c>
      <c r="DJ60" s="37">
        <f t="shared" si="129"/>
        <v>6594</v>
      </c>
      <c r="DK60" s="37">
        <f t="shared" si="130"/>
        <v>6595</v>
      </c>
      <c r="DL60" s="37">
        <f t="shared" si="131"/>
        <v>6596</v>
      </c>
      <c r="DM60" s="37">
        <f t="shared" si="132"/>
        <v>6597</v>
      </c>
      <c r="DN60" s="37">
        <f t="shared" si="133"/>
        <v>6598</v>
      </c>
      <c r="DO60" s="37">
        <f t="shared" si="134"/>
        <v>6599</v>
      </c>
      <c r="DP60" s="38">
        <f t="shared" si="135"/>
        <v>6600</v>
      </c>
      <c r="DR60" s="975">
        <v>80</v>
      </c>
      <c r="DS60" s="976"/>
      <c r="DT60" s="976"/>
      <c r="DU60" s="977"/>
    </row>
    <row r="61" spans="1:125" ht="5.75" customHeight="1">
      <c r="A61" s="36">
        <f t="shared" si="136"/>
        <v>6601</v>
      </c>
      <c r="B61" s="37">
        <f t="shared" si="17"/>
        <v>6602</v>
      </c>
      <c r="C61" s="37">
        <f t="shared" si="18"/>
        <v>6603</v>
      </c>
      <c r="D61" s="37">
        <f t="shared" si="19"/>
        <v>6604</v>
      </c>
      <c r="E61" s="37">
        <f t="shared" si="20"/>
        <v>6605</v>
      </c>
      <c r="F61" s="37">
        <f t="shared" si="21"/>
        <v>6606</v>
      </c>
      <c r="G61" s="37">
        <f t="shared" si="22"/>
        <v>6607</v>
      </c>
      <c r="H61" s="37">
        <f t="shared" si="23"/>
        <v>6608</v>
      </c>
      <c r="I61" s="37">
        <f t="shared" si="24"/>
        <v>6609</v>
      </c>
      <c r="J61" s="38">
        <f t="shared" si="25"/>
        <v>6610</v>
      </c>
      <c r="K61" s="36">
        <f t="shared" si="26"/>
        <v>6611</v>
      </c>
      <c r="L61" s="37">
        <f t="shared" si="27"/>
        <v>6612</v>
      </c>
      <c r="M61" s="37">
        <f t="shared" si="28"/>
        <v>6613</v>
      </c>
      <c r="N61" s="37">
        <f t="shared" si="29"/>
        <v>6614</v>
      </c>
      <c r="O61" s="37">
        <f t="shared" si="30"/>
        <v>6615</v>
      </c>
      <c r="P61" s="37">
        <f t="shared" si="31"/>
        <v>6616</v>
      </c>
      <c r="Q61" s="37">
        <f t="shared" si="32"/>
        <v>6617</v>
      </c>
      <c r="R61" s="37">
        <f t="shared" si="33"/>
        <v>6618</v>
      </c>
      <c r="S61" s="37">
        <f t="shared" si="34"/>
        <v>6619</v>
      </c>
      <c r="T61" s="38">
        <f t="shared" si="35"/>
        <v>6620</v>
      </c>
      <c r="U61" s="36">
        <f t="shared" si="36"/>
        <v>6621</v>
      </c>
      <c r="V61" s="37">
        <f t="shared" si="37"/>
        <v>6622</v>
      </c>
      <c r="W61" s="37">
        <f t="shared" si="38"/>
        <v>6623</v>
      </c>
      <c r="X61" s="37">
        <f t="shared" si="39"/>
        <v>6624</v>
      </c>
      <c r="Y61" s="37">
        <f t="shared" si="40"/>
        <v>6625</v>
      </c>
      <c r="Z61" s="37">
        <f t="shared" si="41"/>
        <v>6626</v>
      </c>
      <c r="AA61" s="37">
        <f t="shared" si="42"/>
        <v>6627</v>
      </c>
      <c r="AB61" s="37">
        <f t="shared" si="43"/>
        <v>6628</v>
      </c>
      <c r="AC61" s="37">
        <f t="shared" si="44"/>
        <v>6629</v>
      </c>
      <c r="AD61" s="38">
        <f t="shared" si="45"/>
        <v>6630</v>
      </c>
      <c r="AE61" s="36">
        <f t="shared" si="46"/>
        <v>6631</v>
      </c>
      <c r="AF61" s="37">
        <f t="shared" si="47"/>
        <v>6632</v>
      </c>
      <c r="AG61" s="37">
        <f t="shared" si="48"/>
        <v>6633</v>
      </c>
      <c r="AH61" s="37">
        <f t="shared" si="49"/>
        <v>6634</v>
      </c>
      <c r="AI61" s="37">
        <f t="shared" si="50"/>
        <v>6635</v>
      </c>
      <c r="AJ61" s="37">
        <f t="shared" si="51"/>
        <v>6636</v>
      </c>
      <c r="AK61" s="37">
        <f t="shared" si="52"/>
        <v>6637</v>
      </c>
      <c r="AL61" s="37">
        <f t="shared" si="53"/>
        <v>6638</v>
      </c>
      <c r="AM61" s="37">
        <f t="shared" si="54"/>
        <v>6639</v>
      </c>
      <c r="AN61" s="38">
        <f t="shared" si="55"/>
        <v>6640</v>
      </c>
      <c r="AO61" s="36">
        <f t="shared" si="56"/>
        <v>6641</v>
      </c>
      <c r="AP61" s="37">
        <f t="shared" si="57"/>
        <v>6642</v>
      </c>
      <c r="AQ61" s="37">
        <f t="shared" si="58"/>
        <v>6643</v>
      </c>
      <c r="AR61" s="37">
        <f t="shared" si="59"/>
        <v>6644</v>
      </c>
      <c r="AS61" s="37">
        <f t="shared" si="60"/>
        <v>6645</v>
      </c>
      <c r="AT61" s="37">
        <f t="shared" si="61"/>
        <v>6646</v>
      </c>
      <c r="AU61" s="37">
        <f t="shared" si="62"/>
        <v>6647</v>
      </c>
      <c r="AV61" s="37">
        <f t="shared" si="63"/>
        <v>6648</v>
      </c>
      <c r="AW61" s="37">
        <f t="shared" si="64"/>
        <v>6649</v>
      </c>
      <c r="AX61" s="38">
        <f t="shared" si="65"/>
        <v>6650</v>
      </c>
      <c r="AY61" s="36">
        <f t="shared" si="66"/>
        <v>6651</v>
      </c>
      <c r="AZ61" s="37">
        <f t="shared" si="67"/>
        <v>6652</v>
      </c>
      <c r="BA61" s="37">
        <f t="shared" si="68"/>
        <v>6653</v>
      </c>
      <c r="BB61" s="37">
        <f t="shared" si="69"/>
        <v>6654</v>
      </c>
      <c r="BC61" s="37">
        <f t="shared" si="70"/>
        <v>6655</v>
      </c>
      <c r="BD61" s="37">
        <f t="shared" si="71"/>
        <v>6656</v>
      </c>
      <c r="BE61" s="37">
        <f t="shared" si="72"/>
        <v>6657</v>
      </c>
      <c r="BF61" s="37">
        <f t="shared" si="73"/>
        <v>6658</v>
      </c>
      <c r="BG61" s="37">
        <f t="shared" si="74"/>
        <v>6659</v>
      </c>
      <c r="BH61" s="38">
        <f t="shared" si="75"/>
        <v>6660</v>
      </c>
      <c r="BI61" s="36">
        <f t="shared" si="76"/>
        <v>6661</v>
      </c>
      <c r="BJ61" s="37">
        <f t="shared" si="77"/>
        <v>6662</v>
      </c>
      <c r="BK61" s="37">
        <f t="shared" si="78"/>
        <v>6663</v>
      </c>
      <c r="BL61" s="37">
        <f t="shared" si="79"/>
        <v>6664</v>
      </c>
      <c r="BM61" s="37">
        <f t="shared" si="80"/>
        <v>6665</v>
      </c>
      <c r="BN61" s="37">
        <f t="shared" si="81"/>
        <v>6666</v>
      </c>
      <c r="BO61" s="37">
        <f t="shared" si="82"/>
        <v>6667</v>
      </c>
      <c r="BP61" s="37">
        <f t="shared" si="83"/>
        <v>6668</v>
      </c>
      <c r="BQ61" s="37">
        <f t="shared" si="84"/>
        <v>6669</v>
      </c>
      <c r="BR61" s="39">
        <f t="shared" si="85"/>
        <v>6670</v>
      </c>
      <c r="BS61" s="36">
        <f t="shared" si="86"/>
        <v>6671</v>
      </c>
      <c r="BT61" s="37">
        <f t="shared" si="87"/>
        <v>6672</v>
      </c>
      <c r="BU61" s="37">
        <f t="shared" si="88"/>
        <v>6673</v>
      </c>
      <c r="BV61" s="37">
        <f t="shared" si="89"/>
        <v>6674</v>
      </c>
      <c r="BW61" s="37">
        <f t="shared" si="90"/>
        <v>6675</v>
      </c>
      <c r="BX61" s="37">
        <f t="shared" si="91"/>
        <v>6676</v>
      </c>
      <c r="BY61" s="37">
        <f t="shared" si="92"/>
        <v>6677</v>
      </c>
      <c r="BZ61" s="37">
        <f t="shared" si="93"/>
        <v>6678</v>
      </c>
      <c r="CA61" s="37">
        <f t="shared" si="94"/>
        <v>6679</v>
      </c>
      <c r="CB61" s="38">
        <f t="shared" si="95"/>
        <v>6680</v>
      </c>
      <c r="CC61" s="40">
        <f t="shared" si="96"/>
        <v>6681</v>
      </c>
      <c r="CD61" s="37">
        <f t="shared" si="97"/>
        <v>6682</v>
      </c>
      <c r="CE61" s="37">
        <f t="shared" si="98"/>
        <v>6683</v>
      </c>
      <c r="CF61" s="37">
        <f t="shared" si="99"/>
        <v>6684</v>
      </c>
      <c r="CG61" s="37">
        <f t="shared" si="100"/>
        <v>6685</v>
      </c>
      <c r="CH61" s="37">
        <f t="shared" si="101"/>
        <v>6686</v>
      </c>
      <c r="CI61" s="37">
        <f t="shared" si="102"/>
        <v>6687</v>
      </c>
      <c r="CJ61" s="37">
        <f t="shared" si="103"/>
        <v>6688</v>
      </c>
      <c r="CK61" s="37">
        <f t="shared" si="104"/>
        <v>6689</v>
      </c>
      <c r="CL61" s="39">
        <f t="shared" si="105"/>
        <v>6690</v>
      </c>
      <c r="CM61" s="36">
        <f t="shared" si="106"/>
        <v>6691</v>
      </c>
      <c r="CN61" s="37">
        <f t="shared" si="107"/>
        <v>6692</v>
      </c>
      <c r="CO61" s="37">
        <f t="shared" si="108"/>
        <v>6693</v>
      </c>
      <c r="CP61" s="37">
        <f t="shared" si="109"/>
        <v>6694</v>
      </c>
      <c r="CQ61" s="37">
        <f t="shared" si="110"/>
        <v>6695</v>
      </c>
      <c r="CR61" s="37">
        <f t="shared" si="111"/>
        <v>6696</v>
      </c>
      <c r="CS61" s="37">
        <f t="shared" si="112"/>
        <v>6697</v>
      </c>
      <c r="CT61" s="37">
        <f t="shared" si="113"/>
        <v>6698</v>
      </c>
      <c r="CU61" s="37">
        <f t="shared" si="114"/>
        <v>6699</v>
      </c>
      <c r="CV61" s="38">
        <f t="shared" si="115"/>
        <v>6700</v>
      </c>
      <c r="CW61" s="40">
        <f t="shared" si="116"/>
        <v>6701</v>
      </c>
      <c r="CX61" s="37">
        <f t="shared" si="117"/>
        <v>6702</v>
      </c>
      <c r="CY61" s="37">
        <f t="shared" si="118"/>
        <v>6703</v>
      </c>
      <c r="CZ61" s="37">
        <f t="shared" si="119"/>
        <v>6704</v>
      </c>
      <c r="DA61" s="37">
        <f t="shared" si="120"/>
        <v>6705</v>
      </c>
      <c r="DB61" s="37">
        <f t="shared" si="121"/>
        <v>6706</v>
      </c>
      <c r="DC61" s="37">
        <f t="shared" si="122"/>
        <v>6707</v>
      </c>
      <c r="DD61" s="37">
        <f t="shared" si="123"/>
        <v>6708</v>
      </c>
      <c r="DE61" s="37">
        <f t="shared" si="124"/>
        <v>6709</v>
      </c>
      <c r="DF61" s="39">
        <f t="shared" si="125"/>
        <v>6710</v>
      </c>
      <c r="DG61" s="36">
        <f t="shared" si="126"/>
        <v>6711</v>
      </c>
      <c r="DH61" s="37">
        <f t="shared" si="127"/>
        <v>6712</v>
      </c>
      <c r="DI61" s="37">
        <f t="shared" si="128"/>
        <v>6713</v>
      </c>
      <c r="DJ61" s="37">
        <f t="shared" si="129"/>
        <v>6714</v>
      </c>
      <c r="DK61" s="37">
        <f t="shared" si="130"/>
        <v>6715</v>
      </c>
      <c r="DL61" s="37">
        <f t="shared" si="131"/>
        <v>6716</v>
      </c>
      <c r="DM61" s="37">
        <f t="shared" si="132"/>
        <v>6717</v>
      </c>
      <c r="DN61" s="37">
        <f t="shared" si="133"/>
        <v>6718</v>
      </c>
      <c r="DO61" s="37">
        <f t="shared" si="134"/>
        <v>6719</v>
      </c>
      <c r="DP61" s="38">
        <f t="shared" si="135"/>
        <v>6720</v>
      </c>
      <c r="DR61" s="975"/>
      <c r="DS61" s="976"/>
      <c r="DT61" s="976"/>
      <c r="DU61" s="977"/>
    </row>
    <row r="62" spans="1:125" ht="5.75" customHeight="1">
      <c r="A62" s="36">
        <f t="shared" si="136"/>
        <v>6721</v>
      </c>
      <c r="B62" s="37">
        <f t="shared" si="17"/>
        <v>6722</v>
      </c>
      <c r="C62" s="37">
        <f t="shared" si="18"/>
        <v>6723</v>
      </c>
      <c r="D62" s="37">
        <f t="shared" si="19"/>
        <v>6724</v>
      </c>
      <c r="E62" s="37">
        <f t="shared" si="20"/>
        <v>6725</v>
      </c>
      <c r="F62" s="37">
        <f t="shared" si="21"/>
        <v>6726</v>
      </c>
      <c r="G62" s="37">
        <f t="shared" si="22"/>
        <v>6727</v>
      </c>
      <c r="H62" s="37">
        <f t="shared" si="23"/>
        <v>6728</v>
      </c>
      <c r="I62" s="37">
        <f t="shared" si="24"/>
        <v>6729</v>
      </c>
      <c r="J62" s="38">
        <f t="shared" si="25"/>
        <v>6730</v>
      </c>
      <c r="K62" s="36">
        <f t="shared" si="26"/>
        <v>6731</v>
      </c>
      <c r="L62" s="37">
        <f t="shared" si="27"/>
        <v>6732</v>
      </c>
      <c r="M62" s="37">
        <f t="shared" si="28"/>
        <v>6733</v>
      </c>
      <c r="N62" s="37">
        <f t="shared" si="29"/>
        <v>6734</v>
      </c>
      <c r="O62" s="37">
        <f t="shared" si="30"/>
        <v>6735</v>
      </c>
      <c r="P62" s="37">
        <f t="shared" si="31"/>
        <v>6736</v>
      </c>
      <c r="Q62" s="37">
        <f t="shared" si="32"/>
        <v>6737</v>
      </c>
      <c r="R62" s="37">
        <f t="shared" si="33"/>
        <v>6738</v>
      </c>
      <c r="S62" s="37">
        <f t="shared" si="34"/>
        <v>6739</v>
      </c>
      <c r="T62" s="38">
        <f t="shared" si="35"/>
        <v>6740</v>
      </c>
      <c r="U62" s="36">
        <f t="shared" si="36"/>
        <v>6741</v>
      </c>
      <c r="V62" s="37">
        <f t="shared" si="37"/>
        <v>6742</v>
      </c>
      <c r="W62" s="37">
        <f t="shared" si="38"/>
        <v>6743</v>
      </c>
      <c r="X62" s="37">
        <f t="shared" si="39"/>
        <v>6744</v>
      </c>
      <c r="Y62" s="37">
        <f t="shared" si="40"/>
        <v>6745</v>
      </c>
      <c r="Z62" s="37">
        <f t="shared" si="41"/>
        <v>6746</v>
      </c>
      <c r="AA62" s="37">
        <f t="shared" si="42"/>
        <v>6747</v>
      </c>
      <c r="AB62" s="37">
        <f t="shared" si="43"/>
        <v>6748</v>
      </c>
      <c r="AC62" s="37">
        <f t="shared" si="44"/>
        <v>6749</v>
      </c>
      <c r="AD62" s="38">
        <f t="shared" si="45"/>
        <v>6750</v>
      </c>
      <c r="AE62" s="36">
        <f t="shared" si="46"/>
        <v>6751</v>
      </c>
      <c r="AF62" s="37">
        <f t="shared" si="47"/>
        <v>6752</v>
      </c>
      <c r="AG62" s="37">
        <f t="shared" si="48"/>
        <v>6753</v>
      </c>
      <c r="AH62" s="37">
        <f t="shared" si="49"/>
        <v>6754</v>
      </c>
      <c r="AI62" s="37">
        <f t="shared" si="50"/>
        <v>6755</v>
      </c>
      <c r="AJ62" s="37">
        <f t="shared" si="51"/>
        <v>6756</v>
      </c>
      <c r="AK62" s="37">
        <f t="shared" si="52"/>
        <v>6757</v>
      </c>
      <c r="AL62" s="37">
        <f t="shared" si="53"/>
        <v>6758</v>
      </c>
      <c r="AM62" s="37">
        <f t="shared" si="54"/>
        <v>6759</v>
      </c>
      <c r="AN62" s="38">
        <f t="shared" si="55"/>
        <v>6760</v>
      </c>
      <c r="AO62" s="36">
        <f t="shared" si="56"/>
        <v>6761</v>
      </c>
      <c r="AP62" s="37">
        <f t="shared" si="57"/>
        <v>6762</v>
      </c>
      <c r="AQ62" s="37">
        <f t="shared" si="58"/>
        <v>6763</v>
      </c>
      <c r="AR62" s="37">
        <f t="shared" si="59"/>
        <v>6764</v>
      </c>
      <c r="AS62" s="37">
        <f t="shared" si="60"/>
        <v>6765</v>
      </c>
      <c r="AT62" s="37">
        <f t="shared" si="61"/>
        <v>6766</v>
      </c>
      <c r="AU62" s="37">
        <f t="shared" si="62"/>
        <v>6767</v>
      </c>
      <c r="AV62" s="37">
        <f t="shared" si="63"/>
        <v>6768</v>
      </c>
      <c r="AW62" s="37">
        <f t="shared" si="64"/>
        <v>6769</v>
      </c>
      <c r="AX62" s="38">
        <f t="shared" si="65"/>
        <v>6770</v>
      </c>
      <c r="AY62" s="36">
        <f t="shared" si="66"/>
        <v>6771</v>
      </c>
      <c r="AZ62" s="37">
        <f t="shared" si="67"/>
        <v>6772</v>
      </c>
      <c r="BA62" s="37">
        <f t="shared" si="68"/>
        <v>6773</v>
      </c>
      <c r="BB62" s="37">
        <f t="shared" si="69"/>
        <v>6774</v>
      </c>
      <c r="BC62" s="37">
        <f t="shared" si="70"/>
        <v>6775</v>
      </c>
      <c r="BD62" s="37">
        <f t="shared" si="71"/>
        <v>6776</v>
      </c>
      <c r="BE62" s="37">
        <f t="shared" si="72"/>
        <v>6777</v>
      </c>
      <c r="BF62" s="37">
        <f t="shared" si="73"/>
        <v>6778</v>
      </c>
      <c r="BG62" s="37">
        <f t="shared" si="74"/>
        <v>6779</v>
      </c>
      <c r="BH62" s="38">
        <f t="shared" si="75"/>
        <v>6780</v>
      </c>
      <c r="BI62" s="36">
        <f t="shared" si="76"/>
        <v>6781</v>
      </c>
      <c r="BJ62" s="37">
        <f t="shared" si="77"/>
        <v>6782</v>
      </c>
      <c r="BK62" s="37">
        <f t="shared" si="78"/>
        <v>6783</v>
      </c>
      <c r="BL62" s="37">
        <f t="shared" si="79"/>
        <v>6784</v>
      </c>
      <c r="BM62" s="37">
        <f t="shared" si="80"/>
        <v>6785</v>
      </c>
      <c r="BN62" s="37">
        <f t="shared" si="81"/>
        <v>6786</v>
      </c>
      <c r="BO62" s="37">
        <f t="shared" si="82"/>
        <v>6787</v>
      </c>
      <c r="BP62" s="37">
        <f t="shared" si="83"/>
        <v>6788</v>
      </c>
      <c r="BQ62" s="37">
        <f t="shared" si="84"/>
        <v>6789</v>
      </c>
      <c r="BR62" s="39">
        <f t="shared" si="85"/>
        <v>6790</v>
      </c>
      <c r="BS62" s="36">
        <f t="shared" si="86"/>
        <v>6791</v>
      </c>
      <c r="BT62" s="37">
        <f t="shared" si="87"/>
        <v>6792</v>
      </c>
      <c r="BU62" s="37">
        <f t="shared" si="88"/>
        <v>6793</v>
      </c>
      <c r="BV62" s="37">
        <f t="shared" si="89"/>
        <v>6794</v>
      </c>
      <c r="BW62" s="37">
        <f t="shared" si="90"/>
        <v>6795</v>
      </c>
      <c r="BX62" s="37">
        <f t="shared" si="91"/>
        <v>6796</v>
      </c>
      <c r="BY62" s="37">
        <f t="shared" si="92"/>
        <v>6797</v>
      </c>
      <c r="BZ62" s="37">
        <f t="shared" si="93"/>
        <v>6798</v>
      </c>
      <c r="CA62" s="37">
        <f t="shared" si="94"/>
        <v>6799</v>
      </c>
      <c r="CB62" s="38">
        <f t="shared" si="95"/>
        <v>6800</v>
      </c>
      <c r="CC62" s="40">
        <f t="shared" si="96"/>
        <v>6801</v>
      </c>
      <c r="CD62" s="37">
        <f t="shared" si="97"/>
        <v>6802</v>
      </c>
      <c r="CE62" s="37">
        <f t="shared" si="98"/>
        <v>6803</v>
      </c>
      <c r="CF62" s="37">
        <f t="shared" si="99"/>
        <v>6804</v>
      </c>
      <c r="CG62" s="37">
        <f t="shared" si="100"/>
        <v>6805</v>
      </c>
      <c r="CH62" s="37">
        <f t="shared" si="101"/>
        <v>6806</v>
      </c>
      <c r="CI62" s="37">
        <f t="shared" si="102"/>
        <v>6807</v>
      </c>
      <c r="CJ62" s="37">
        <f t="shared" si="103"/>
        <v>6808</v>
      </c>
      <c r="CK62" s="37">
        <f t="shared" si="104"/>
        <v>6809</v>
      </c>
      <c r="CL62" s="39">
        <f t="shared" si="105"/>
        <v>6810</v>
      </c>
      <c r="CM62" s="36">
        <f t="shared" si="106"/>
        <v>6811</v>
      </c>
      <c r="CN62" s="37">
        <f t="shared" si="107"/>
        <v>6812</v>
      </c>
      <c r="CO62" s="37">
        <f t="shared" si="108"/>
        <v>6813</v>
      </c>
      <c r="CP62" s="37">
        <f t="shared" si="109"/>
        <v>6814</v>
      </c>
      <c r="CQ62" s="37">
        <f t="shared" si="110"/>
        <v>6815</v>
      </c>
      <c r="CR62" s="37">
        <f t="shared" si="111"/>
        <v>6816</v>
      </c>
      <c r="CS62" s="37">
        <f t="shared" si="112"/>
        <v>6817</v>
      </c>
      <c r="CT62" s="37">
        <f t="shared" si="113"/>
        <v>6818</v>
      </c>
      <c r="CU62" s="37">
        <f t="shared" si="114"/>
        <v>6819</v>
      </c>
      <c r="CV62" s="38">
        <f t="shared" si="115"/>
        <v>6820</v>
      </c>
      <c r="CW62" s="40">
        <f t="shared" si="116"/>
        <v>6821</v>
      </c>
      <c r="CX62" s="37">
        <f t="shared" si="117"/>
        <v>6822</v>
      </c>
      <c r="CY62" s="37">
        <f t="shared" si="118"/>
        <v>6823</v>
      </c>
      <c r="CZ62" s="37">
        <f t="shared" si="119"/>
        <v>6824</v>
      </c>
      <c r="DA62" s="37">
        <f t="shared" si="120"/>
        <v>6825</v>
      </c>
      <c r="DB62" s="37">
        <f t="shared" si="121"/>
        <v>6826</v>
      </c>
      <c r="DC62" s="37">
        <f t="shared" si="122"/>
        <v>6827</v>
      </c>
      <c r="DD62" s="37">
        <f t="shared" si="123"/>
        <v>6828</v>
      </c>
      <c r="DE62" s="37">
        <f t="shared" si="124"/>
        <v>6829</v>
      </c>
      <c r="DF62" s="39">
        <f t="shared" si="125"/>
        <v>6830</v>
      </c>
      <c r="DG62" s="36">
        <f t="shared" si="126"/>
        <v>6831</v>
      </c>
      <c r="DH62" s="37">
        <f t="shared" si="127"/>
        <v>6832</v>
      </c>
      <c r="DI62" s="37">
        <f t="shared" si="128"/>
        <v>6833</v>
      </c>
      <c r="DJ62" s="37">
        <f t="shared" si="129"/>
        <v>6834</v>
      </c>
      <c r="DK62" s="37">
        <f t="shared" si="130"/>
        <v>6835</v>
      </c>
      <c r="DL62" s="37">
        <f t="shared" si="131"/>
        <v>6836</v>
      </c>
      <c r="DM62" s="37">
        <f t="shared" si="132"/>
        <v>6837</v>
      </c>
      <c r="DN62" s="37">
        <f t="shared" si="133"/>
        <v>6838</v>
      </c>
      <c r="DO62" s="37">
        <f t="shared" si="134"/>
        <v>6839</v>
      </c>
      <c r="DP62" s="38">
        <f t="shared" si="135"/>
        <v>6840</v>
      </c>
      <c r="DR62" s="975"/>
      <c r="DS62" s="976"/>
      <c r="DT62" s="976"/>
      <c r="DU62" s="977"/>
    </row>
    <row r="63" spans="1:125" ht="5.75" customHeight="1">
      <c r="A63" s="36">
        <f t="shared" si="136"/>
        <v>6841</v>
      </c>
      <c r="B63" s="37">
        <f t="shared" si="17"/>
        <v>6842</v>
      </c>
      <c r="C63" s="37">
        <f t="shared" si="18"/>
        <v>6843</v>
      </c>
      <c r="D63" s="37">
        <f t="shared" si="19"/>
        <v>6844</v>
      </c>
      <c r="E63" s="37">
        <f t="shared" si="20"/>
        <v>6845</v>
      </c>
      <c r="F63" s="37">
        <f t="shared" si="21"/>
        <v>6846</v>
      </c>
      <c r="G63" s="37">
        <f t="shared" si="22"/>
        <v>6847</v>
      </c>
      <c r="H63" s="37">
        <f t="shared" si="23"/>
        <v>6848</v>
      </c>
      <c r="I63" s="37">
        <f t="shared" si="24"/>
        <v>6849</v>
      </c>
      <c r="J63" s="38">
        <f t="shared" si="25"/>
        <v>6850</v>
      </c>
      <c r="K63" s="36">
        <f t="shared" si="26"/>
        <v>6851</v>
      </c>
      <c r="L63" s="37">
        <f t="shared" si="27"/>
        <v>6852</v>
      </c>
      <c r="M63" s="37">
        <f t="shared" si="28"/>
        <v>6853</v>
      </c>
      <c r="N63" s="37">
        <f t="shared" si="29"/>
        <v>6854</v>
      </c>
      <c r="O63" s="37">
        <f t="shared" si="30"/>
        <v>6855</v>
      </c>
      <c r="P63" s="37">
        <f t="shared" si="31"/>
        <v>6856</v>
      </c>
      <c r="Q63" s="37">
        <f t="shared" si="32"/>
        <v>6857</v>
      </c>
      <c r="R63" s="37">
        <f t="shared" si="33"/>
        <v>6858</v>
      </c>
      <c r="S63" s="37">
        <f t="shared" si="34"/>
        <v>6859</v>
      </c>
      <c r="T63" s="38">
        <f t="shared" si="35"/>
        <v>6860</v>
      </c>
      <c r="U63" s="36">
        <f t="shared" si="36"/>
        <v>6861</v>
      </c>
      <c r="V63" s="37">
        <f t="shared" si="37"/>
        <v>6862</v>
      </c>
      <c r="W63" s="37">
        <f t="shared" si="38"/>
        <v>6863</v>
      </c>
      <c r="X63" s="37">
        <f t="shared" si="39"/>
        <v>6864</v>
      </c>
      <c r="Y63" s="37">
        <f t="shared" si="40"/>
        <v>6865</v>
      </c>
      <c r="Z63" s="37">
        <f t="shared" si="41"/>
        <v>6866</v>
      </c>
      <c r="AA63" s="37">
        <f t="shared" si="42"/>
        <v>6867</v>
      </c>
      <c r="AB63" s="37">
        <f t="shared" si="43"/>
        <v>6868</v>
      </c>
      <c r="AC63" s="37">
        <f t="shared" si="44"/>
        <v>6869</v>
      </c>
      <c r="AD63" s="38">
        <f t="shared" si="45"/>
        <v>6870</v>
      </c>
      <c r="AE63" s="36">
        <f t="shared" si="46"/>
        <v>6871</v>
      </c>
      <c r="AF63" s="37">
        <f t="shared" si="47"/>
        <v>6872</v>
      </c>
      <c r="AG63" s="37">
        <f t="shared" si="48"/>
        <v>6873</v>
      </c>
      <c r="AH63" s="37">
        <f t="shared" si="49"/>
        <v>6874</v>
      </c>
      <c r="AI63" s="37">
        <f t="shared" si="50"/>
        <v>6875</v>
      </c>
      <c r="AJ63" s="37">
        <f t="shared" si="51"/>
        <v>6876</v>
      </c>
      <c r="AK63" s="37">
        <f t="shared" si="52"/>
        <v>6877</v>
      </c>
      <c r="AL63" s="37">
        <f t="shared" si="53"/>
        <v>6878</v>
      </c>
      <c r="AM63" s="37">
        <f t="shared" si="54"/>
        <v>6879</v>
      </c>
      <c r="AN63" s="38">
        <f t="shared" si="55"/>
        <v>6880</v>
      </c>
      <c r="AO63" s="36">
        <f t="shared" si="56"/>
        <v>6881</v>
      </c>
      <c r="AP63" s="37">
        <f t="shared" si="57"/>
        <v>6882</v>
      </c>
      <c r="AQ63" s="37">
        <f t="shared" si="58"/>
        <v>6883</v>
      </c>
      <c r="AR63" s="37">
        <f t="shared" si="59"/>
        <v>6884</v>
      </c>
      <c r="AS63" s="37">
        <f t="shared" si="60"/>
        <v>6885</v>
      </c>
      <c r="AT63" s="37">
        <f t="shared" si="61"/>
        <v>6886</v>
      </c>
      <c r="AU63" s="37">
        <f t="shared" si="62"/>
        <v>6887</v>
      </c>
      <c r="AV63" s="37">
        <f t="shared" si="63"/>
        <v>6888</v>
      </c>
      <c r="AW63" s="37">
        <f t="shared" si="64"/>
        <v>6889</v>
      </c>
      <c r="AX63" s="38">
        <f t="shared" si="65"/>
        <v>6890</v>
      </c>
      <c r="AY63" s="36">
        <f t="shared" si="66"/>
        <v>6891</v>
      </c>
      <c r="AZ63" s="37">
        <f t="shared" si="67"/>
        <v>6892</v>
      </c>
      <c r="BA63" s="37">
        <f t="shared" si="68"/>
        <v>6893</v>
      </c>
      <c r="BB63" s="37">
        <f t="shared" si="69"/>
        <v>6894</v>
      </c>
      <c r="BC63" s="37">
        <f t="shared" si="70"/>
        <v>6895</v>
      </c>
      <c r="BD63" s="37">
        <f t="shared" si="71"/>
        <v>6896</v>
      </c>
      <c r="BE63" s="37">
        <f t="shared" si="72"/>
        <v>6897</v>
      </c>
      <c r="BF63" s="37">
        <f t="shared" si="73"/>
        <v>6898</v>
      </c>
      <c r="BG63" s="37">
        <f t="shared" si="74"/>
        <v>6899</v>
      </c>
      <c r="BH63" s="38">
        <f t="shared" si="75"/>
        <v>6900</v>
      </c>
      <c r="BI63" s="36">
        <f t="shared" si="76"/>
        <v>6901</v>
      </c>
      <c r="BJ63" s="37">
        <f t="shared" si="77"/>
        <v>6902</v>
      </c>
      <c r="BK63" s="37">
        <f t="shared" si="78"/>
        <v>6903</v>
      </c>
      <c r="BL63" s="37">
        <f t="shared" si="79"/>
        <v>6904</v>
      </c>
      <c r="BM63" s="37">
        <f t="shared" si="80"/>
        <v>6905</v>
      </c>
      <c r="BN63" s="37">
        <f t="shared" si="81"/>
        <v>6906</v>
      </c>
      <c r="BO63" s="37">
        <f t="shared" si="82"/>
        <v>6907</v>
      </c>
      <c r="BP63" s="37">
        <f t="shared" si="83"/>
        <v>6908</v>
      </c>
      <c r="BQ63" s="37">
        <f t="shared" si="84"/>
        <v>6909</v>
      </c>
      <c r="BR63" s="39">
        <f t="shared" si="85"/>
        <v>6910</v>
      </c>
      <c r="BS63" s="36">
        <f t="shared" si="86"/>
        <v>6911</v>
      </c>
      <c r="BT63" s="37">
        <f t="shared" si="87"/>
        <v>6912</v>
      </c>
      <c r="BU63" s="37">
        <f t="shared" si="88"/>
        <v>6913</v>
      </c>
      <c r="BV63" s="37">
        <f t="shared" si="89"/>
        <v>6914</v>
      </c>
      <c r="BW63" s="37">
        <f t="shared" si="90"/>
        <v>6915</v>
      </c>
      <c r="BX63" s="37">
        <f t="shared" si="91"/>
        <v>6916</v>
      </c>
      <c r="BY63" s="37">
        <f t="shared" si="92"/>
        <v>6917</v>
      </c>
      <c r="BZ63" s="37">
        <f t="shared" si="93"/>
        <v>6918</v>
      </c>
      <c r="CA63" s="37">
        <f t="shared" si="94"/>
        <v>6919</v>
      </c>
      <c r="CB63" s="38">
        <f t="shared" si="95"/>
        <v>6920</v>
      </c>
      <c r="CC63" s="40">
        <f t="shared" si="96"/>
        <v>6921</v>
      </c>
      <c r="CD63" s="37">
        <f t="shared" si="97"/>
        <v>6922</v>
      </c>
      <c r="CE63" s="37">
        <f t="shared" si="98"/>
        <v>6923</v>
      </c>
      <c r="CF63" s="37">
        <f t="shared" si="99"/>
        <v>6924</v>
      </c>
      <c r="CG63" s="37">
        <f t="shared" si="100"/>
        <v>6925</v>
      </c>
      <c r="CH63" s="37">
        <f t="shared" si="101"/>
        <v>6926</v>
      </c>
      <c r="CI63" s="37">
        <f t="shared" si="102"/>
        <v>6927</v>
      </c>
      <c r="CJ63" s="37">
        <f t="shared" si="103"/>
        <v>6928</v>
      </c>
      <c r="CK63" s="37">
        <f t="shared" si="104"/>
        <v>6929</v>
      </c>
      <c r="CL63" s="39">
        <f t="shared" si="105"/>
        <v>6930</v>
      </c>
      <c r="CM63" s="36">
        <f t="shared" si="106"/>
        <v>6931</v>
      </c>
      <c r="CN63" s="37">
        <f t="shared" si="107"/>
        <v>6932</v>
      </c>
      <c r="CO63" s="37">
        <f t="shared" si="108"/>
        <v>6933</v>
      </c>
      <c r="CP63" s="37">
        <f t="shared" si="109"/>
        <v>6934</v>
      </c>
      <c r="CQ63" s="37">
        <f t="shared" si="110"/>
        <v>6935</v>
      </c>
      <c r="CR63" s="37">
        <f t="shared" si="111"/>
        <v>6936</v>
      </c>
      <c r="CS63" s="37">
        <f t="shared" si="112"/>
        <v>6937</v>
      </c>
      <c r="CT63" s="37">
        <f t="shared" si="113"/>
        <v>6938</v>
      </c>
      <c r="CU63" s="37">
        <f t="shared" si="114"/>
        <v>6939</v>
      </c>
      <c r="CV63" s="38">
        <f t="shared" si="115"/>
        <v>6940</v>
      </c>
      <c r="CW63" s="40">
        <f t="shared" si="116"/>
        <v>6941</v>
      </c>
      <c r="CX63" s="37">
        <f t="shared" si="117"/>
        <v>6942</v>
      </c>
      <c r="CY63" s="37">
        <f t="shared" si="118"/>
        <v>6943</v>
      </c>
      <c r="CZ63" s="37">
        <f t="shared" si="119"/>
        <v>6944</v>
      </c>
      <c r="DA63" s="37">
        <f t="shared" si="120"/>
        <v>6945</v>
      </c>
      <c r="DB63" s="37">
        <f t="shared" si="121"/>
        <v>6946</v>
      </c>
      <c r="DC63" s="37">
        <f t="shared" si="122"/>
        <v>6947</v>
      </c>
      <c r="DD63" s="37">
        <f t="shared" si="123"/>
        <v>6948</v>
      </c>
      <c r="DE63" s="37">
        <f t="shared" si="124"/>
        <v>6949</v>
      </c>
      <c r="DF63" s="39">
        <f t="shared" si="125"/>
        <v>6950</v>
      </c>
      <c r="DG63" s="36">
        <f t="shared" si="126"/>
        <v>6951</v>
      </c>
      <c r="DH63" s="37">
        <f t="shared" si="127"/>
        <v>6952</v>
      </c>
      <c r="DI63" s="37">
        <f t="shared" si="128"/>
        <v>6953</v>
      </c>
      <c r="DJ63" s="37">
        <f t="shared" si="129"/>
        <v>6954</v>
      </c>
      <c r="DK63" s="37">
        <f t="shared" si="130"/>
        <v>6955</v>
      </c>
      <c r="DL63" s="37">
        <f t="shared" si="131"/>
        <v>6956</v>
      </c>
      <c r="DM63" s="37">
        <f t="shared" si="132"/>
        <v>6957</v>
      </c>
      <c r="DN63" s="37">
        <f t="shared" si="133"/>
        <v>6958</v>
      </c>
      <c r="DO63" s="37">
        <f t="shared" si="134"/>
        <v>6959</v>
      </c>
      <c r="DP63" s="38">
        <f t="shared" si="135"/>
        <v>6960</v>
      </c>
      <c r="DR63" s="966">
        <v>90</v>
      </c>
      <c r="DS63" s="967"/>
      <c r="DT63" s="967"/>
      <c r="DU63" s="968"/>
    </row>
    <row r="64" spans="1:125" ht="5.75" customHeight="1">
      <c r="A64" s="36">
        <f t="shared" si="136"/>
        <v>6961</v>
      </c>
      <c r="B64" s="37">
        <f t="shared" si="17"/>
        <v>6962</v>
      </c>
      <c r="C64" s="37">
        <f t="shared" si="18"/>
        <v>6963</v>
      </c>
      <c r="D64" s="37">
        <f t="shared" si="19"/>
        <v>6964</v>
      </c>
      <c r="E64" s="37">
        <f t="shared" si="20"/>
        <v>6965</v>
      </c>
      <c r="F64" s="37">
        <f t="shared" si="21"/>
        <v>6966</v>
      </c>
      <c r="G64" s="37">
        <f t="shared" si="22"/>
        <v>6967</v>
      </c>
      <c r="H64" s="37">
        <f t="shared" si="23"/>
        <v>6968</v>
      </c>
      <c r="I64" s="37">
        <f t="shared" si="24"/>
        <v>6969</v>
      </c>
      <c r="J64" s="38">
        <f t="shared" si="25"/>
        <v>6970</v>
      </c>
      <c r="K64" s="36">
        <f t="shared" si="26"/>
        <v>6971</v>
      </c>
      <c r="L64" s="37">
        <f t="shared" si="27"/>
        <v>6972</v>
      </c>
      <c r="M64" s="37">
        <f t="shared" si="28"/>
        <v>6973</v>
      </c>
      <c r="N64" s="37">
        <f t="shared" si="29"/>
        <v>6974</v>
      </c>
      <c r="O64" s="37">
        <f t="shared" si="30"/>
        <v>6975</v>
      </c>
      <c r="P64" s="37">
        <f t="shared" si="31"/>
        <v>6976</v>
      </c>
      <c r="Q64" s="37">
        <f t="shared" si="32"/>
        <v>6977</v>
      </c>
      <c r="R64" s="37">
        <f t="shared" si="33"/>
        <v>6978</v>
      </c>
      <c r="S64" s="37">
        <f t="shared" si="34"/>
        <v>6979</v>
      </c>
      <c r="T64" s="38">
        <f t="shared" si="35"/>
        <v>6980</v>
      </c>
      <c r="U64" s="36">
        <f t="shared" si="36"/>
        <v>6981</v>
      </c>
      <c r="V64" s="37">
        <f t="shared" si="37"/>
        <v>6982</v>
      </c>
      <c r="W64" s="37">
        <f t="shared" si="38"/>
        <v>6983</v>
      </c>
      <c r="X64" s="37">
        <f t="shared" si="39"/>
        <v>6984</v>
      </c>
      <c r="Y64" s="37">
        <f t="shared" si="40"/>
        <v>6985</v>
      </c>
      <c r="Z64" s="37">
        <f t="shared" si="41"/>
        <v>6986</v>
      </c>
      <c r="AA64" s="37">
        <f t="shared" si="42"/>
        <v>6987</v>
      </c>
      <c r="AB64" s="37">
        <f t="shared" si="43"/>
        <v>6988</v>
      </c>
      <c r="AC64" s="37">
        <f t="shared" si="44"/>
        <v>6989</v>
      </c>
      <c r="AD64" s="38">
        <f t="shared" si="45"/>
        <v>6990</v>
      </c>
      <c r="AE64" s="36">
        <f t="shared" si="46"/>
        <v>6991</v>
      </c>
      <c r="AF64" s="37">
        <f t="shared" si="47"/>
        <v>6992</v>
      </c>
      <c r="AG64" s="37">
        <f t="shared" si="48"/>
        <v>6993</v>
      </c>
      <c r="AH64" s="37">
        <f t="shared" si="49"/>
        <v>6994</v>
      </c>
      <c r="AI64" s="37">
        <f t="shared" si="50"/>
        <v>6995</v>
      </c>
      <c r="AJ64" s="37">
        <f t="shared" si="51"/>
        <v>6996</v>
      </c>
      <c r="AK64" s="37">
        <f t="shared" si="52"/>
        <v>6997</v>
      </c>
      <c r="AL64" s="37">
        <f t="shared" si="53"/>
        <v>6998</v>
      </c>
      <c r="AM64" s="37">
        <f t="shared" si="54"/>
        <v>6999</v>
      </c>
      <c r="AN64" s="38">
        <f t="shared" si="55"/>
        <v>7000</v>
      </c>
      <c r="AO64" s="36">
        <f t="shared" si="56"/>
        <v>7001</v>
      </c>
      <c r="AP64" s="37">
        <f t="shared" si="57"/>
        <v>7002</v>
      </c>
      <c r="AQ64" s="37">
        <f t="shared" si="58"/>
        <v>7003</v>
      </c>
      <c r="AR64" s="37">
        <f t="shared" si="59"/>
        <v>7004</v>
      </c>
      <c r="AS64" s="37">
        <f t="shared" si="60"/>
        <v>7005</v>
      </c>
      <c r="AT64" s="37">
        <f t="shared" si="61"/>
        <v>7006</v>
      </c>
      <c r="AU64" s="37">
        <f t="shared" si="62"/>
        <v>7007</v>
      </c>
      <c r="AV64" s="37">
        <f t="shared" si="63"/>
        <v>7008</v>
      </c>
      <c r="AW64" s="37">
        <f t="shared" si="64"/>
        <v>7009</v>
      </c>
      <c r="AX64" s="38">
        <f t="shared" si="65"/>
        <v>7010</v>
      </c>
      <c r="AY64" s="36">
        <f t="shared" si="66"/>
        <v>7011</v>
      </c>
      <c r="AZ64" s="37">
        <f t="shared" si="67"/>
        <v>7012</v>
      </c>
      <c r="BA64" s="37">
        <f t="shared" si="68"/>
        <v>7013</v>
      </c>
      <c r="BB64" s="37">
        <f t="shared" si="69"/>
        <v>7014</v>
      </c>
      <c r="BC64" s="37">
        <f t="shared" si="70"/>
        <v>7015</v>
      </c>
      <c r="BD64" s="37">
        <f t="shared" si="71"/>
        <v>7016</v>
      </c>
      <c r="BE64" s="37">
        <f t="shared" si="72"/>
        <v>7017</v>
      </c>
      <c r="BF64" s="37">
        <f t="shared" si="73"/>
        <v>7018</v>
      </c>
      <c r="BG64" s="37">
        <f t="shared" si="74"/>
        <v>7019</v>
      </c>
      <c r="BH64" s="38">
        <f t="shared" si="75"/>
        <v>7020</v>
      </c>
      <c r="BI64" s="36">
        <f t="shared" si="76"/>
        <v>7021</v>
      </c>
      <c r="BJ64" s="37">
        <f t="shared" si="77"/>
        <v>7022</v>
      </c>
      <c r="BK64" s="37">
        <f t="shared" si="78"/>
        <v>7023</v>
      </c>
      <c r="BL64" s="37">
        <f t="shared" si="79"/>
        <v>7024</v>
      </c>
      <c r="BM64" s="37">
        <f t="shared" si="80"/>
        <v>7025</v>
      </c>
      <c r="BN64" s="37">
        <f t="shared" si="81"/>
        <v>7026</v>
      </c>
      <c r="BO64" s="37">
        <f t="shared" si="82"/>
        <v>7027</v>
      </c>
      <c r="BP64" s="37">
        <f t="shared" si="83"/>
        <v>7028</v>
      </c>
      <c r="BQ64" s="37">
        <f t="shared" si="84"/>
        <v>7029</v>
      </c>
      <c r="BR64" s="39">
        <f t="shared" si="85"/>
        <v>7030</v>
      </c>
      <c r="BS64" s="36">
        <f t="shared" si="86"/>
        <v>7031</v>
      </c>
      <c r="BT64" s="37">
        <f t="shared" si="87"/>
        <v>7032</v>
      </c>
      <c r="BU64" s="37">
        <f t="shared" si="88"/>
        <v>7033</v>
      </c>
      <c r="BV64" s="37">
        <f t="shared" si="89"/>
        <v>7034</v>
      </c>
      <c r="BW64" s="37">
        <f t="shared" si="90"/>
        <v>7035</v>
      </c>
      <c r="BX64" s="37">
        <f t="shared" si="91"/>
        <v>7036</v>
      </c>
      <c r="BY64" s="37">
        <f t="shared" si="92"/>
        <v>7037</v>
      </c>
      <c r="BZ64" s="37">
        <f t="shared" si="93"/>
        <v>7038</v>
      </c>
      <c r="CA64" s="37">
        <f t="shared" si="94"/>
        <v>7039</v>
      </c>
      <c r="CB64" s="38">
        <f t="shared" si="95"/>
        <v>7040</v>
      </c>
      <c r="CC64" s="40">
        <f t="shared" si="96"/>
        <v>7041</v>
      </c>
      <c r="CD64" s="37">
        <f t="shared" si="97"/>
        <v>7042</v>
      </c>
      <c r="CE64" s="37">
        <f t="shared" si="98"/>
        <v>7043</v>
      </c>
      <c r="CF64" s="37">
        <f t="shared" si="99"/>
        <v>7044</v>
      </c>
      <c r="CG64" s="37">
        <f t="shared" si="100"/>
        <v>7045</v>
      </c>
      <c r="CH64" s="37">
        <f t="shared" si="101"/>
        <v>7046</v>
      </c>
      <c r="CI64" s="37">
        <f t="shared" si="102"/>
        <v>7047</v>
      </c>
      <c r="CJ64" s="37">
        <f t="shared" si="103"/>
        <v>7048</v>
      </c>
      <c r="CK64" s="37">
        <f t="shared" si="104"/>
        <v>7049</v>
      </c>
      <c r="CL64" s="39">
        <f t="shared" si="105"/>
        <v>7050</v>
      </c>
      <c r="CM64" s="36">
        <f t="shared" si="106"/>
        <v>7051</v>
      </c>
      <c r="CN64" s="37">
        <f t="shared" si="107"/>
        <v>7052</v>
      </c>
      <c r="CO64" s="37">
        <f t="shared" si="108"/>
        <v>7053</v>
      </c>
      <c r="CP64" s="37">
        <f t="shared" si="109"/>
        <v>7054</v>
      </c>
      <c r="CQ64" s="37">
        <f t="shared" si="110"/>
        <v>7055</v>
      </c>
      <c r="CR64" s="37">
        <f t="shared" si="111"/>
        <v>7056</v>
      </c>
      <c r="CS64" s="37">
        <f t="shared" si="112"/>
        <v>7057</v>
      </c>
      <c r="CT64" s="37">
        <f t="shared" si="113"/>
        <v>7058</v>
      </c>
      <c r="CU64" s="37">
        <f t="shared" si="114"/>
        <v>7059</v>
      </c>
      <c r="CV64" s="38">
        <f t="shared" si="115"/>
        <v>7060</v>
      </c>
      <c r="CW64" s="40">
        <f t="shared" si="116"/>
        <v>7061</v>
      </c>
      <c r="CX64" s="37">
        <f t="shared" si="117"/>
        <v>7062</v>
      </c>
      <c r="CY64" s="37">
        <f t="shared" si="118"/>
        <v>7063</v>
      </c>
      <c r="CZ64" s="37">
        <f t="shared" si="119"/>
        <v>7064</v>
      </c>
      <c r="DA64" s="37">
        <f t="shared" si="120"/>
        <v>7065</v>
      </c>
      <c r="DB64" s="37">
        <f t="shared" si="121"/>
        <v>7066</v>
      </c>
      <c r="DC64" s="37">
        <f t="shared" si="122"/>
        <v>7067</v>
      </c>
      <c r="DD64" s="37">
        <f t="shared" si="123"/>
        <v>7068</v>
      </c>
      <c r="DE64" s="37">
        <f t="shared" si="124"/>
        <v>7069</v>
      </c>
      <c r="DF64" s="39">
        <f t="shared" si="125"/>
        <v>7070</v>
      </c>
      <c r="DG64" s="36">
        <f t="shared" si="126"/>
        <v>7071</v>
      </c>
      <c r="DH64" s="37">
        <f t="shared" si="127"/>
        <v>7072</v>
      </c>
      <c r="DI64" s="37">
        <f t="shared" si="128"/>
        <v>7073</v>
      </c>
      <c r="DJ64" s="37">
        <f t="shared" si="129"/>
        <v>7074</v>
      </c>
      <c r="DK64" s="37">
        <f t="shared" si="130"/>
        <v>7075</v>
      </c>
      <c r="DL64" s="37">
        <f t="shared" si="131"/>
        <v>7076</v>
      </c>
      <c r="DM64" s="37">
        <f t="shared" si="132"/>
        <v>7077</v>
      </c>
      <c r="DN64" s="37">
        <f t="shared" si="133"/>
        <v>7078</v>
      </c>
      <c r="DO64" s="37">
        <f t="shared" si="134"/>
        <v>7079</v>
      </c>
      <c r="DP64" s="38">
        <f t="shared" si="135"/>
        <v>7080</v>
      </c>
      <c r="DR64" s="966"/>
      <c r="DS64" s="967"/>
      <c r="DT64" s="967"/>
      <c r="DU64" s="968"/>
    </row>
    <row r="65" spans="1:125" ht="5.75" customHeight="1" thickBot="1">
      <c r="A65" s="36">
        <f t="shared" si="136"/>
        <v>7081</v>
      </c>
      <c r="B65" s="37">
        <f t="shared" si="17"/>
        <v>7082</v>
      </c>
      <c r="C65" s="37">
        <f t="shared" si="18"/>
        <v>7083</v>
      </c>
      <c r="D65" s="37">
        <f t="shared" si="19"/>
        <v>7084</v>
      </c>
      <c r="E65" s="37">
        <f t="shared" si="20"/>
        <v>7085</v>
      </c>
      <c r="F65" s="37">
        <f t="shared" si="21"/>
        <v>7086</v>
      </c>
      <c r="G65" s="37">
        <f t="shared" si="22"/>
        <v>7087</v>
      </c>
      <c r="H65" s="37">
        <f t="shared" si="23"/>
        <v>7088</v>
      </c>
      <c r="I65" s="37">
        <f t="shared" si="24"/>
        <v>7089</v>
      </c>
      <c r="J65" s="38">
        <f t="shared" si="25"/>
        <v>7090</v>
      </c>
      <c r="K65" s="36">
        <f t="shared" si="26"/>
        <v>7091</v>
      </c>
      <c r="L65" s="37">
        <f t="shared" si="27"/>
        <v>7092</v>
      </c>
      <c r="M65" s="37">
        <f t="shared" si="28"/>
        <v>7093</v>
      </c>
      <c r="N65" s="37">
        <f t="shared" si="29"/>
        <v>7094</v>
      </c>
      <c r="O65" s="37">
        <f t="shared" si="30"/>
        <v>7095</v>
      </c>
      <c r="P65" s="37">
        <f t="shared" si="31"/>
        <v>7096</v>
      </c>
      <c r="Q65" s="37">
        <f t="shared" si="32"/>
        <v>7097</v>
      </c>
      <c r="R65" s="37">
        <f t="shared" si="33"/>
        <v>7098</v>
      </c>
      <c r="S65" s="37">
        <f t="shared" si="34"/>
        <v>7099</v>
      </c>
      <c r="T65" s="38">
        <f t="shared" si="35"/>
        <v>7100</v>
      </c>
      <c r="U65" s="36">
        <f t="shared" si="36"/>
        <v>7101</v>
      </c>
      <c r="V65" s="37">
        <f t="shared" si="37"/>
        <v>7102</v>
      </c>
      <c r="W65" s="37">
        <f t="shared" si="38"/>
        <v>7103</v>
      </c>
      <c r="X65" s="37">
        <f t="shared" si="39"/>
        <v>7104</v>
      </c>
      <c r="Y65" s="37">
        <f t="shared" si="40"/>
        <v>7105</v>
      </c>
      <c r="Z65" s="37">
        <f t="shared" si="41"/>
        <v>7106</v>
      </c>
      <c r="AA65" s="37">
        <f t="shared" si="42"/>
        <v>7107</v>
      </c>
      <c r="AB65" s="37">
        <f t="shared" si="43"/>
        <v>7108</v>
      </c>
      <c r="AC65" s="37">
        <f t="shared" si="44"/>
        <v>7109</v>
      </c>
      <c r="AD65" s="38">
        <f t="shared" si="45"/>
        <v>7110</v>
      </c>
      <c r="AE65" s="36">
        <f t="shared" si="46"/>
        <v>7111</v>
      </c>
      <c r="AF65" s="37">
        <f t="shared" si="47"/>
        <v>7112</v>
      </c>
      <c r="AG65" s="37">
        <f t="shared" si="48"/>
        <v>7113</v>
      </c>
      <c r="AH65" s="37">
        <f t="shared" si="49"/>
        <v>7114</v>
      </c>
      <c r="AI65" s="37">
        <f t="shared" si="50"/>
        <v>7115</v>
      </c>
      <c r="AJ65" s="37">
        <f t="shared" si="51"/>
        <v>7116</v>
      </c>
      <c r="AK65" s="37">
        <f t="shared" si="52"/>
        <v>7117</v>
      </c>
      <c r="AL65" s="37">
        <f t="shared" si="53"/>
        <v>7118</v>
      </c>
      <c r="AM65" s="37">
        <f t="shared" si="54"/>
        <v>7119</v>
      </c>
      <c r="AN65" s="38">
        <f t="shared" si="55"/>
        <v>7120</v>
      </c>
      <c r="AO65" s="36">
        <f t="shared" si="56"/>
        <v>7121</v>
      </c>
      <c r="AP65" s="37">
        <f t="shared" si="57"/>
        <v>7122</v>
      </c>
      <c r="AQ65" s="37">
        <f t="shared" si="58"/>
        <v>7123</v>
      </c>
      <c r="AR65" s="37">
        <f t="shared" si="59"/>
        <v>7124</v>
      </c>
      <c r="AS65" s="37">
        <f t="shared" si="60"/>
        <v>7125</v>
      </c>
      <c r="AT65" s="37">
        <f t="shared" si="61"/>
        <v>7126</v>
      </c>
      <c r="AU65" s="37">
        <f t="shared" si="62"/>
        <v>7127</v>
      </c>
      <c r="AV65" s="37">
        <f t="shared" si="63"/>
        <v>7128</v>
      </c>
      <c r="AW65" s="37">
        <f t="shared" si="64"/>
        <v>7129</v>
      </c>
      <c r="AX65" s="38">
        <f t="shared" si="65"/>
        <v>7130</v>
      </c>
      <c r="AY65" s="36">
        <f t="shared" si="66"/>
        <v>7131</v>
      </c>
      <c r="AZ65" s="37">
        <f t="shared" si="67"/>
        <v>7132</v>
      </c>
      <c r="BA65" s="37">
        <f t="shared" si="68"/>
        <v>7133</v>
      </c>
      <c r="BB65" s="37">
        <f t="shared" si="69"/>
        <v>7134</v>
      </c>
      <c r="BC65" s="37">
        <f t="shared" si="70"/>
        <v>7135</v>
      </c>
      <c r="BD65" s="37">
        <f t="shared" si="71"/>
        <v>7136</v>
      </c>
      <c r="BE65" s="37">
        <f t="shared" si="72"/>
        <v>7137</v>
      </c>
      <c r="BF65" s="37">
        <f t="shared" si="73"/>
        <v>7138</v>
      </c>
      <c r="BG65" s="37">
        <f t="shared" si="74"/>
        <v>7139</v>
      </c>
      <c r="BH65" s="38">
        <f t="shared" si="75"/>
        <v>7140</v>
      </c>
      <c r="BI65" s="36">
        <f t="shared" si="76"/>
        <v>7141</v>
      </c>
      <c r="BJ65" s="37">
        <f t="shared" si="77"/>
        <v>7142</v>
      </c>
      <c r="BK65" s="37">
        <f t="shared" si="78"/>
        <v>7143</v>
      </c>
      <c r="BL65" s="37">
        <f t="shared" si="79"/>
        <v>7144</v>
      </c>
      <c r="BM65" s="37">
        <f t="shared" si="80"/>
        <v>7145</v>
      </c>
      <c r="BN65" s="37">
        <f t="shared" si="81"/>
        <v>7146</v>
      </c>
      <c r="BO65" s="37">
        <f t="shared" si="82"/>
        <v>7147</v>
      </c>
      <c r="BP65" s="37">
        <f t="shared" si="83"/>
        <v>7148</v>
      </c>
      <c r="BQ65" s="37">
        <f t="shared" si="84"/>
        <v>7149</v>
      </c>
      <c r="BR65" s="39">
        <f t="shared" si="85"/>
        <v>7150</v>
      </c>
      <c r="BS65" s="36">
        <f t="shared" si="86"/>
        <v>7151</v>
      </c>
      <c r="BT65" s="37">
        <f t="shared" si="87"/>
        <v>7152</v>
      </c>
      <c r="BU65" s="37">
        <f t="shared" si="88"/>
        <v>7153</v>
      </c>
      <c r="BV65" s="37">
        <f t="shared" si="89"/>
        <v>7154</v>
      </c>
      <c r="BW65" s="37">
        <f t="shared" si="90"/>
        <v>7155</v>
      </c>
      <c r="BX65" s="37">
        <f t="shared" si="91"/>
        <v>7156</v>
      </c>
      <c r="BY65" s="37">
        <f t="shared" si="92"/>
        <v>7157</v>
      </c>
      <c r="BZ65" s="37">
        <f t="shared" si="93"/>
        <v>7158</v>
      </c>
      <c r="CA65" s="37">
        <f t="shared" si="94"/>
        <v>7159</v>
      </c>
      <c r="CB65" s="38">
        <f t="shared" si="95"/>
        <v>7160</v>
      </c>
      <c r="CC65" s="40">
        <f t="shared" si="96"/>
        <v>7161</v>
      </c>
      <c r="CD65" s="37">
        <f t="shared" si="97"/>
        <v>7162</v>
      </c>
      <c r="CE65" s="37">
        <f t="shared" si="98"/>
        <v>7163</v>
      </c>
      <c r="CF65" s="37">
        <f t="shared" si="99"/>
        <v>7164</v>
      </c>
      <c r="CG65" s="37">
        <f t="shared" si="100"/>
        <v>7165</v>
      </c>
      <c r="CH65" s="37">
        <f t="shared" si="101"/>
        <v>7166</v>
      </c>
      <c r="CI65" s="37">
        <f t="shared" si="102"/>
        <v>7167</v>
      </c>
      <c r="CJ65" s="37">
        <f t="shared" si="103"/>
        <v>7168</v>
      </c>
      <c r="CK65" s="37">
        <f t="shared" si="104"/>
        <v>7169</v>
      </c>
      <c r="CL65" s="39">
        <f t="shared" si="105"/>
        <v>7170</v>
      </c>
      <c r="CM65" s="36">
        <f t="shared" si="106"/>
        <v>7171</v>
      </c>
      <c r="CN65" s="37">
        <f t="shared" si="107"/>
        <v>7172</v>
      </c>
      <c r="CO65" s="37">
        <f t="shared" si="108"/>
        <v>7173</v>
      </c>
      <c r="CP65" s="37">
        <f t="shared" si="109"/>
        <v>7174</v>
      </c>
      <c r="CQ65" s="37">
        <f t="shared" si="110"/>
        <v>7175</v>
      </c>
      <c r="CR65" s="37">
        <f t="shared" si="111"/>
        <v>7176</v>
      </c>
      <c r="CS65" s="37">
        <f t="shared" si="112"/>
        <v>7177</v>
      </c>
      <c r="CT65" s="37">
        <f t="shared" si="113"/>
        <v>7178</v>
      </c>
      <c r="CU65" s="37">
        <f t="shared" si="114"/>
        <v>7179</v>
      </c>
      <c r="CV65" s="38">
        <f t="shared" si="115"/>
        <v>7180</v>
      </c>
      <c r="CW65" s="40">
        <f t="shared" si="116"/>
        <v>7181</v>
      </c>
      <c r="CX65" s="37">
        <f t="shared" si="117"/>
        <v>7182</v>
      </c>
      <c r="CY65" s="37">
        <f t="shared" si="118"/>
        <v>7183</v>
      </c>
      <c r="CZ65" s="37">
        <f t="shared" si="119"/>
        <v>7184</v>
      </c>
      <c r="DA65" s="37">
        <f t="shared" si="120"/>
        <v>7185</v>
      </c>
      <c r="DB65" s="37">
        <f t="shared" si="121"/>
        <v>7186</v>
      </c>
      <c r="DC65" s="37">
        <f t="shared" si="122"/>
        <v>7187</v>
      </c>
      <c r="DD65" s="37">
        <f t="shared" si="123"/>
        <v>7188</v>
      </c>
      <c r="DE65" s="37">
        <f t="shared" si="124"/>
        <v>7189</v>
      </c>
      <c r="DF65" s="39">
        <f t="shared" si="125"/>
        <v>7190</v>
      </c>
      <c r="DG65" s="36">
        <f t="shared" si="126"/>
        <v>7191</v>
      </c>
      <c r="DH65" s="37">
        <f t="shared" si="127"/>
        <v>7192</v>
      </c>
      <c r="DI65" s="37">
        <f t="shared" si="128"/>
        <v>7193</v>
      </c>
      <c r="DJ65" s="37">
        <f t="shared" si="129"/>
        <v>7194</v>
      </c>
      <c r="DK65" s="37">
        <f t="shared" si="130"/>
        <v>7195</v>
      </c>
      <c r="DL65" s="37">
        <f t="shared" si="131"/>
        <v>7196</v>
      </c>
      <c r="DM65" s="37">
        <f t="shared" si="132"/>
        <v>7197</v>
      </c>
      <c r="DN65" s="37">
        <f t="shared" si="133"/>
        <v>7198</v>
      </c>
      <c r="DO65" s="37">
        <f t="shared" si="134"/>
        <v>7199</v>
      </c>
      <c r="DP65" s="38">
        <f t="shared" si="135"/>
        <v>7200</v>
      </c>
      <c r="DR65" s="969"/>
      <c r="DS65" s="970"/>
      <c r="DT65" s="970"/>
      <c r="DU65" s="971"/>
    </row>
    <row r="66" spans="1:125" ht="5.75" customHeight="1" thickBot="1">
      <c r="A66" s="36">
        <f t="shared" si="136"/>
        <v>7201</v>
      </c>
      <c r="B66" s="37">
        <f t="shared" si="17"/>
        <v>7202</v>
      </c>
      <c r="C66" s="37">
        <f t="shared" si="18"/>
        <v>7203</v>
      </c>
      <c r="D66" s="37">
        <f t="shared" si="19"/>
        <v>7204</v>
      </c>
      <c r="E66" s="37">
        <f t="shared" si="20"/>
        <v>7205</v>
      </c>
      <c r="F66" s="37">
        <f t="shared" si="21"/>
        <v>7206</v>
      </c>
      <c r="G66" s="37">
        <f t="shared" si="22"/>
        <v>7207</v>
      </c>
      <c r="H66" s="37">
        <f t="shared" si="23"/>
        <v>7208</v>
      </c>
      <c r="I66" s="37">
        <f t="shared" si="24"/>
        <v>7209</v>
      </c>
      <c r="J66" s="38">
        <f t="shared" si="25"/>
        <v>7210</v>
      </c>
      <c r="K66" s="36">
        <f t="shared" si="26"/>
        <v>7211</v>
      </c>
      <c r="L66" s="37">
        <f t="shared" si="27"/>
        <v>7212</v>
      </c>
      <c r="M66" s="37">
        <f t="shared" si="28"/>
        <v>7213</v>
      </c>
      <c r="N66" s="37">
        <f t="shared" si="29"/>
        <v>7214</v>
      </c>
      <c r="O66" s="37">
        <f t="shared" si="30"/>
        <v>7215</v>
      </c>
      <c r="P66" s="37">
        <f t="shared" si="31"/>
        <v>7216</v>
      </c>
      <c r="Q66" s="37">
        <f t="shared" si="32"/>
        <v>7217</v>
      </c>
      <c r="R66" s="37">
        <f t="shared" si="33"/>
        <v>7218</v>
      </c>
      <c r="S66" s="37">
        <f t="shared" si="34"/>
        <v>7219</v>
      </c>
      <c r="T66" s="38">
        <f t="shared" si="35"/>
        <v>7220</v>
      </c>
      <c r="U66" s="36">
        <f t="shared" si="36"/>
        <v>7221</v>
      </c>
      <c r="V66" s="37">
        <f t="shared" si="37"/>
        <v>7222</v>
      </c>
      <c r="W66" s="37">
        <f t="shared" si="38"/>
        <v>7223</v>
      </c>
      <c r="X66" s="37">
        <f t="shared" si="39"/>
        <v>7224</v>
      </c>
      <c r="Y66" s="37">
        <f t="shared" si="40"/>
        <v>7225</v>
      </c>
      <c r="Z66" s="37">
        <f t="shared" si="41"/>
        <v>7226</v>
      </c>
      <c r="AA66" s="37">
        <f t="shared" si="42"/>
        <v>7227</v>
      </c>
      <c r="AB66" s="37">
        <f t="shared" si="43"/>
        <v>7228</v>
      </c>
      <c r="AC66" s="37">
        <f t="shared" si="44"/>
        <v>7229</v>
      </c>
      <c r="AD66" s="38">
        <f t="shared" si="45"/>
        <v>7230</v>
      </c>
      <c r="AE66" s="36">
        <f t="shared" si="46"/>
        <v>7231</v>
      </c>
      <c r="AF66" s="37">
        <f t="shared" si="47"/>
        <v>7232</v>
      </c>
      <c r="AG66" s="37">
        <f t="shared" si="48"/>
        <v>7233</v>
      </c>
      <c r="AH66" s="37">
        <f t="shared" si="49"/>
        <v>7234</v>
      </c>
      <c r="AI66" s="37">
        <f t="shared" si="50"/>
        <v>7235</v>
      </c>
      <c r="AJ66" s="37">
        <f t="shared" si="51"/>
        <v>7236</v>
      </c>
      <c r="AK66" s="37">
        <f t="shared" si="52"/>
        <v>7237</v>
      </c>
      <c r="AL66" s="37">
        <f t="shared" si="53"/>
        <v>7238</v>
      </c>
      <c r="AM66" s="37">
        <f t="shared" si="54"/>
        <v>7239</v>
      </c>
      <c r="AN66" s="38">
        <f t="shared" si="55"/>
        <v>7240</v>
      </c>
      <c r="AO66" s="36">
        <f t="shared" si="56"/>
        <v>7241</v>
      </c>
      <c r="AP66" s="37">
        <f t="shared" si="57"/>
        <v>7242</v>
      </c>
      <c r="AQ66" s="37">
        <f t="shared" si="58"/>
        <v>7243</v>
      </c>
      <c r="AR66" s="37">
        <f t="shared" si="59"/>
        <v>7244</v>
      </c>
      <c r="AS66" s="37">
        <f t="shared" si="60"/>
        <v>7245</v>
      </c>
      <c r="AT66" s="37">
        <f t="shared" si="61"/>
        <v>7246</v>
      </c>
      <c r="AU66" s="37">
        <f t="shared" si="62"/>
        <v>7247</v>
      </c>
      <c r="AV66" s="37">
        <f t="shared" si="63"/>
        <v>7248</v>
      </c>
      <c r="AW66" s="37">
        <f t="shared" si="64"/>
        <v>7249</v>
      </c>
      <c r="AX66" s="38">
        <f t="shared" si="65"/>
        <v>7250</v>
      </c>
      <c r="AY66" s="36">
        <f t="shared" si="66"/>
        <v>7251</v>
      </c>
      <c r="AZ66" s="37">
        <f t="shared" si="67"/>
        <v>7252</v>
      </c>
      <c r="BA66" s="37">
        <f t="shared" si="68"/>
        <v>7253</v>
      </c>
      <c r="BB66" s="37">
        <f t="shared" si="69"/>
        <v>7254</v>
      </c>
      <c r="BC66" s="37">
        <f t="shared" si="70"/>
        <v>7255</v>
      </c>
      <c r="BD66" s="37">
        <f t="shared" si="71"/>
        <v>7256</v>
      </c>
      <c r="BE66" s="37">
        <f t="shared" si="72"/>
        <v>7257</v>
      </c>
      <c r="BF66" s="37">
        <f t="shared" si="73"/>
        <v>7258</v>
      </c>
      <c r="BG66" s="37">
        <f t="shared" si="74"/>
        <v>7259</v>
      </c>
      <c r="BH66" s="38">
        <f t="shared" si="75"/>
        <v>7260</v>
      </c>
      <c r="BI66" s="36">
        <f t="shared" si="76"/>
        <v>7261</v>
      </c>
      <c r="BJ66" s="37">
        <f t="shared" si="77"/>
        <v>7262</v>
      </c>
      <c r="BK66" s="37">
        <f t="shared" si="78"/>
        <v>7263</v>
      </c>
      <c r="BL66" s="37">
        <f t="shared" si="79"/>
        <v>7264</v>
      </c>
      <c r="BM66" s="37">
        <f t="shared" si="80"/>
        <v>7265</v>
      </c>
      <c r="BN66" s="37">
        <f t="shared" si="81"/>
        <v>7266</v>
      </c>
      <c r="BO66" s="37">
        <f t="shared" si="82"/>
        <v>7267</v>
      </c>
      <c r="BP66" s="37">
        <f t="shared" si="83"/>
        <v>7268</v>
      </c>
      <c r="BQ66" s="37">
        <f t="shared" si="84"/>
        <v>7269</v>
      </c>
      <c r="BR66" s="39">
        <f t="shared" si="85"/>
        <v>7270</v>
      </c>
      <c r="BS66" s="36">
        <f t="shared" si="86"/>
        <v>7271</v>
      </c>
      <c r="BT66" s="37">
        <f t="shared" si="87"/>
        <v>7272</v>
      </c>
      <c r="BU66" s="37">
        <f t="shared" si="88"/>
        <v>7273</v>
      </c>
      <c r="BV66" s="37">
        <f t="shared" si="89"/>
        <v>7274</v>
      </c>
      <c r="BW66" s="37">
        <f t="shared" si="90"/>
        <v>7275</v>
      </c>
      <c r="BX66" s="37">
        <f t="shared" si="91"/>
        <v>7276</v>
      </c>
      <c r="BY66" s="37">
        <f t="shared" si="92"/>
        <v>7277</v>
      </c>
      <c r="BZ66" s="37">
        <f t="shared" si="93"/>
        <v>7278</v>
      </c>
      <c r="CA66" s="37">
        <f t="shared" si="94"/>
        <v>7279</v>
      </c>
      <c r="CB66" s="38">
        <f t="shared" si="95"/>
        <v>7280</v>
      </c>
      <c r="CC66" s="40">
        <f t="shared" si="96"/>
        <v>7281</v>
      </c>
      <c r="CD66" s="37">
        <f t="shared" si="97"/>
        <v>7282</v>
      </c>
      <c r="CE66" s="37">
        <f t="shared" si="98"/>
        <v>7283</v>
      </c>
      <c r="CF66" s="37">
        <f t="shared" si="99"/>
        <v>7284</v>
      </c>
      <c r="CG66" s="37">
        <f t="shared" si="100"/>
        <v>7285</v>
      </c>
      <c r="CH66" s="37">
        <f t="shared" si="101"/>
        <v>7286</v>
      </c>
      <c r="CI66" s="37">
        <f t="shared" si="102"/>
        <v>7287</v>
      </c>
      <c r="CJ66" s="37">
        <f t="shared" si="103"/>
        <v>7288</v>
      </c>
      <c r="CK66" s="37">
        <f t="shared" si="104"/>
        <v>7289</v>
      </c>
      <c r="CL66" s="39">
        <f t="shared" si="105"/>
        <v>7290</v>
      </c>
      <c r="CM66" s="36">
        <f t="shared" si="106"/>
        <v>7291</v>
      </c>
      <c r="CN66" s="37">
        <f t="shared" si="107"/>
        <v>7292</v>
      </c>
      <c r="CO66" s="37">
        <f t="shared" si="108"/>
        <v>7293</v>
      </c>
      <c r="CP66" s="37">
        <f t="shared" si="109"/>
        <v>7294</v>
      </c>
      <c r="CQ66" s="37">
        <f t="shared" si="110"/>
        <v>7295</v>
      </c>
      <c r="CR66" s="37">
        <f t="shared" si="111"/>
        <v>7296</v>
      </c>
      <c r="CS66" s="37">
        <f t="shared" si="112"/>
        <v>7297</v>
      </c>
      <c r="CT66" s="37">
        <f t="shared" si="113"/>
        <v>7298</v>
      </c>
      <c r="CU66" s="37">
        <f t="shared" si="114"/>
        <v>7299</v>
      </c>
      <c r="CV66" s="38">
        <f t="shared" si="115"/>
        <v>7300</v>
      </c>
      <c r="CW66" s="40">
        <f t="shared" si="116"/>
        <v>7301</v>
      </c>
      <c r="CX66" s="37">
        <f t="shared" si="117"/>
        <v>7302</v>
      </c>
      <c r="CY66" s="37">
        <f t="shared" si="118"/>
        <v>7303</v>
      </c>
      <c r="CZ66" s="37">
        <f t="shared" si="119"/>
        <v>7304</v>
      </c>
      <c r="DA66" s="37">
        <f t="shared" si="120"/>
        <v>7305</v>
      </c>
      <c r="DB66" s="37">
        <f t="shared" si="121"/>
        <v>7306</v>
      </c>
      <c r="DC66" s="37">
        <f t="shared" si="122"/>
        <v>7307</v>
      </c>
      <c r="DD66" s="37">
        <f t="shared" si="123"/>
        <v>7308</v>
      </c>
      <c r="DE66" s="37">
        <f t="shared" si="124"/>
        <v>7309</v>
      </c>
      <c r="DF66" s="39">
        <f t="shared" si="125"/>
        <v>7310</v>
      </c>
      <c r="DG66" s="36">
        <f t="shared" si="126"/>
        <v>7311</v>
      </c>
      <c r="DH66" s="37">
        <f t="shared" si="127"/>
        <v>7312</v>
      </c>
      <c r="DI66" s="37">
        <f t="shared" si="128"/>
        <v>7313</v>
      </c>
      <c r="DJ66" s="37">
        <f t="shared" si="129"/>
        <v>7314</v>
      </c>
      <c r="DK66" s="37">
        <f t="shared" si="130"/>
        <v>7315</v>
      </c>
      <c r="DL66" s="37">
        <f t="shared" si="131"/>
        <v>7316</v>
      </c>
      <c r="DM66" s="37">
        <f t="shared" si="132"/>
        <v>7317</v>
      </c>
      <c r="DN66" s="37">
        <f t="shared" si="133"/>
        <v>7318</v>
      </c>
      <c r="DO66" s="37">
        <f t="shared" si="134"/>
        <v>7319</v>
      </c>
      <c r="DP66" s="38">
        <f t="shared" si="135"/>
        <v>7320</v>
      </c>
    </row>
    <row r="67" spans="1:125" ht="5.75" customHeight="1">
      <c r="A67" s="36">
        <f t="shared" si="136"/>
        <v>7321</v>
      </c>
      <c r="B67" s="37">
        <f t="shared" si="17"/>
        <v>7322</v>
      </c>
      <c r="C67" s="37">
        <f t="shared" si="18"/>
        <v>7323</v>
      </c>
      <c r="D67" s="37">
        <f t="shared" si="19"/>
        <v>7324</v>
      </c>
      <c r="E67" s="37">
        <f t="shared" si="20"/>
        <v>7325</v>
      </c>
      <c r="F67" s="37">
        <f t="shared" si="21"/>
        <v>7326</v>
      </c>
      <c r="G67" s="37">
        <f t="shared" si="22"/>
        <v>7327</v>
      </c>
      <c r="H67" s="37">
        <f t="shared" si="23"/>
        <v>7328</v>
      </c>
      <c r="I67" s="37">
        <f t="shared" si="24"/>
        <v>7329</v>
      </c>
      <c r="J67" s="38">
        <f t="shared" si="25"/>
        <v>7330</v>
      </c>
      <c r="K67" s="36">
        <f t="shared" si="26"/>
        <v>7331</v>
      </c>
      <c r="L67" s="37">
        <f t="shared" si="27"/>
        <v>7332</v>
      </c>
      <c r="M67" s="37">
        <f t="shared" si="28"/>
        <v>7333</v>
      </c>
      <c r="N67" s="37">
        <f t="shared" si="29"/>
        <v>7334</v>
      </c>
      <c r="O67" s="37">
        <f t="shared" si="30"/>
        <v>7335</v>
      </c>
      <c r="P67" s="37">
        <f t="shared" si="31"/>
        <v>7336</v>
      </c>
      <c r="Q67" s="37">
        <f t="shared" si="32"/>
        <v>7337</v>
      </c>
      <c r="R67" s="37">
        <f t="shared" si="33"/>
        <v>7338</v>
      </c>
      <c r="S67" s="37">
        <f t="shared" si="34"/>
        <v>7339</v>
      </c>
      <c r="T67" s="38">
        <f t="shared" si="35"/>
        <v>7340</v>
      </c>
      <c r="U67" s="36">
        <f t="shared" si="36"/>
        <v>7341</v>
      </c>
      <c r="V67" s="37">
        <f t="shared" si="37"/>
        <v>7342</v>
      </c>
      <c r="W67" s="37">
        <f t="shared" si="38"/>
        <v>7343</v>
      </c>
      <c r="X67" s="37">
        <f t="shared" si="39"/>
        <v>7344</v>
      </c>
      <c r="Y67" s="37">
        <f t="shared" si="40"/>
        <v>7345</v>
      </c>
      <c r="Z67" s="37">
        <f t="shared" si="41"/>
        <v>7346</v>
      </c>
      <c r="AA67" s="37">
        <f t="shared" si="42"/>
        <v>7347</v>
      </c>
      <c r="AB67" s="37">
        <f t="shared" si="43"/>
        <v>7348</v>
      </c>
      <c r="AC67" s="37">
        <f t="shared" si="44"/>
        <v>7349</v>
      </c>
      <c r="AD67" s="38">
        <f t="shared" si="45"/>
        <v>7350</v>
      </c>
      <c r="AE67" s="36">
        <f t="shared" si="46"/>
        <v>7351</v>
      </c>
      <c r="AF67" s="37">
        <f t="shared" si="47"/>
        <v>7352</v>
      </c>
      <c r="AG67" s="37">
        <f t="shared" si="48"/>
        <v>7353</v>
      </c>
      <c r="AH67" s="37">
        <f t="shared" si="49"/>
        <v>7354</v>
      </c>
      <c r="AI67" s="37">
        <f t="shared" si="50"/>
        <v>7355</v>
      </c>
      <c r="AJ67" s="37">
        <f t="shared" si="51"/>
        <v>7356</v>
      </c>
      <c r="AK67" s="37">
        <f t="shared" si="52"/>
        <v>7357</v>
      </c>
      <c r="AL67" s="37">
        <f t="shared" si="53"/>
        <v>7358</v>
      </c>
      <c r="AM67" s="37">
        <f t="shared" si="54"/>
        <v>7359</v>
      </c>
      <c r="AN67" s="38">
        <f t="shared" si="55"/>
        <v>7360</v>
      </c>
      <c r="AO67" s="36">
        <f t="shared" si="56"/>
        <v>7361</v>
      </c>
      <c r="AP67" s="37">
        <f t="shared" si="57"/>
        <v>7362</v>
      </c>
      <c r="AQ67" s="37">
        <f t="shared" si="58"/>
        <v>7363</v>
      </c>
      <c r="AR67" s="37">
        <f t="shared" si="59"/>
        <v>7364</v>
      </c>
      <c r="AS67" s="37">
        <f t="shared" si="60"/>
        <v>7365</v>
      </c>
      <c r="AT67" s="37">
        <f t="shared" si="61"/>
        <v>7366</v>
      </c>
      <c r="AU67" s="37">
        <f t="shared" si="62"/>
        <v>7367</v>
      </c>
      <c r="AV67" s="37">
        <f t="shared" si="63"/>
        <v>7368</v>
      </c>
      <c r="AW67" s="37">
        <f t="shared" si="64"/>
        <v>7369</v>
      </c>
      <c r="AX67" s="38">
        <f t="shared" si="65"/>
        <v>7370</v>
      </c>
      <c r="AY67" s="36">
        <f t="shared" si="66"/>
        <v>7371</v>
      </c>
      <c r="AZ67" s="37">
        <f t="shared" si="67"/>
        <v>7372</v>
      </c>
      <c r="BA67" s="37">
        <f t="shared" si="68"/>
        <v>7373</v>
      </c>
      <c r="BB67" s="37">
        <f t="shared" si="69"/>
        <v>7374</v>
      </c>
      <c r="BC67" s="37">
        <f t="shared" si="70"/>
        <v>7375</v>
      </c>
      <c r="BD67" s="37">
        <f t="shared" si="71"/>
        <v>7376</v>
      </c>
      <c r="BE67" s="37">
        <f t="shared" si="72"/>
        <v>7377</v>
      </c>
      <c r="BF67" s="37">
        <f t="shared" si="73"/>
        <v>7378</v>
      </c>
      <c r="BG67" s="37">
        <f t="shared" si="74"/>
        <v>7379</v>
      </c>
      <c r="BH67" s="38">
        <f t="shared" si="75"/>
        <v>7380</v>
      </c>
      <c r="BI67" s="36">
        <f t="shared" si="76"/>
        <v>7381</v>
      </c>
      <c r="BJ67" s="37">
        <f t="shared" si="77"/>
        <v>7382</v>
      </c>
      <c r="BK67" s="37">
        <f t="shared" si="78"/>
        <v>7383</v>
      </c>
      <c r="BL67" s="37">
        <f t="shared" si="79"/>
        <v>7384</v>
      </c>
      <c r="BM67" s="37">
        <f t="shared" si="80"/>
        <v>7385</v>
      </c>
      <c r="BN67" s="37">
        <f t="shared" si="81"/>
        <v>7386</v>
      </c>
      <c r="BO67" s="37">
        <f t="shared" si="82"/>
        <v>7387</v>
      </c>
      <c r="BP67" s="37">
        <f t="shared" si="83"/>
        <v>7388</v>
      </c>
      <c r="BQ67" s="37">
        <f t="shared" si="84"/>
        <v>7389</v>
      </c>
      <c r="BR67" s="39">
        <f t="shared" si="85"/>
        <v>7390</v>
      </c>
      <c r="BS67" s="36">
        <f t="shared" si="86"/>
        <v>7391</v>
      </c>
      <c r="BT67" s="37">
        <f t="shared" si="87"/>
        <v>7392</v>
      </c>
      <c r="BU67" s="37">
        <f t="shared" si="88"/>
        <v>7393</v>
      </c>
      <c r="BV67" s="37">
        <f t="shared" si="89"/>
        <v>7394</v>
      </c>
      <c r="BW67" s="37">
        <f t="shared" si="90"/>
        <v>7395</v>
      </c>
      <c r="BX67" s="37">
        <f t="shared" si="91"/>
        <v>7396</v>
      </c>
      <c r="BY67" s="37">
        <f t="shared" si="92"/>
        <v>7397</v>
      </c>
      <c r="BZ67" s="37">
        <f t="shared" si="93"/>
        <v>7398</v>
      </c>
      <c r="CA67" s="37">
        <f t="shared" si="94"/>
        <v>7399</v>
      </c>
      <c r="CB67" s="38">
        <f t="shared" si="95"/>
        <v>7400</v>
      </c>
      <c r="CC67" s="40">
        <f t="shared" si="96"/>
        <v>7401</v>
      </c>
      <c r="CD67" s="37">
        <f t="shared" si="97"/>
        <v>7402</v>
      </c>
      <c r="CE67" s="37">
        <f t="shared" si="98"/>
        <v>7403</v>
      </c>
      <c r="CF67" s="37">
        <f t="shared" si="99"/>
        <v>7404</v>
      </c>
      <c r="CG67" s="37">
        <f t="shared" si="100"/>
        <v>7405</v>
      </c>
      <c r="CH67" s="37">
        <f t="shared" si="101"/>
        <v>7406</v>
      </c>
      <c r="CI67" s="37">
        <f t="shared" si="102"/>
        <v>7407</v>
      </c>
      <c r="CJ67" s="37">
        <f t="shared" si="103"/>
        <v>7408</v>
      </c>
      <c r="CK67" s="37">
        <f t="shared" si="104"/>
        <v>7409</v>
      </c>
      <c r="CL67" s="39">
        <f t="shared" si="105"/>
        <v>7410</v>
      </c>
      <c r="CM67" s="36">
        <f t="shared" si="106"/>
        <v>7411</v>
      </c>
      <c r="CN67" s="37">
        <f t="shared" si="107"/>
        <v>7412</v>
      </c>
      <c r="CO67" s="37">
        <f t="shared" si="108"/>
        <v>7413</v>
      </c>
      <c r="CP67" s="37">
        <f t="shared" si="109"/>
        <v>7414</v>
      </c>
      <c r="CQ67" s="37">
        <f t="shared" si="110"/>
        <v>7415</v>
      </c>
      <c r="CR67" s="37">
        <f t="shared" si="111"/>
        <v>7416</v>
      </c>
      <c r="CS67" s="37">
        <f t="shared" si="112"/>
        <v>7417</v>
      </c>
      <c r="CT67" s="37">
        <f t="shared" si="113"/>
        <v>7418</v>
      </c>
      <c r="CU67" s="37">
        <f t="shared" si="114"/>
        <v>7419</v>
      </c>
      <c r="CV67" s="38">
        <f t="shared" si="115"/>
        <v>7420</v>
      </c>
      <c r="CW67" s="40">
        <f t="shared" si="116"/>
        <v>7421</v>
      </c>
      <c r="CX67" s="37">
        <f t="shared" si="117"/>
        <v>7422</v>
      </c>
      <c r="CY67" s="37">
        <f t="shared" si="118"/>
        <v>7423</v>
      </c>
      <c r="CZ67" s="37">
        <f t="shared" si="119"/>
        <v>7424</v>
      </c>
      <c r="DA67" s="37">
        <f t="shared" si="120"/>
        <v>7425</v>
      </c>
      <c r="DB67" s="37">
        <f t="shared" si="121"/>
        <v>7426</v>
      </c>
      <c r="DC67" s="37">
        <f t="shared" si="122"/>
        <v>7427</v>
      </c>
      <c r="DD67" s="37">
        <f t="shared" si="123"/>
        <v>7428</v>
      </c>
      <c r="DE67" s="37">
        <f t="shared" si="124"/>
        <v>7429</v>
      </c>
      <c r="DF67" s="39">
        <f t="shared" si="125"/>
        <v>7430</v>
      </c>
      <c r="DG67" s="36">
        <f t="shared" si="126"/>
        <v>7431</v>
      </c>
      <c r="DH67" s="37">
        <f t="shared" si="127"/>
        <v>7432</v>
      </c>
      <c r="DI67" s="37">
        <f t="shared" si="128"/>
        <v>7433</v>
      </c>
      <c r="DJ67" s="37">
        <f t="shared" si="129"/>
        <v>7434</v>
      </c>
      <c r="DK67" s="37">
        <f t="shared" si="130"/>
        <v>7435</v>
      </c>
      <c r="DL67" s="37">
        <f t="shared" si="131"/>
        <v>7436</v>
      </c>
      <c r="DM67" s="37">
        <f t="shared" si="132"/>
        <v>7437</v>
      </c>
      <c r="DN67" s="37">
        <f t="shared" si="133"/>
        <v>7438</v>
      </c>
      <c r="DO67" s="37">
        <f t="shared" si="134"/>
        <v>7439</v>
      </c>
      <c r="DP67" s="38">
        <f t="shared" si="135"/>
        <v>7440</v>
      </c>
      <c r="DR67" s="955">
        <v>0</v>
      </c>
      <c r="DS67" s="956"/>
      <c r="DT67" s="956"/>
      <c r="DU67" s="957"/>
    </row>
    <row r="68" spans="1:125" ht="5.75" customHeight="1">
      <c r="A68" s="36">
        <f t="shared" si="136"/>
        <v>7441</v>
      </c>
      <c r="B68" s="37">
        <f t="shared" si="17"/>
        <v>7442</v>
      </c>
      <c r="C68" s="37">
        <f t="shared" si="18"/>
        <v>7443</v>
      </c>
      <c r="D68" s="37">
        <f t="shared" si="19"/>
        <v>7444</v>
      </c>
      <c r="E68" s="37">
        <f t="shared" si="20"/>
        <v>7445</v>
      </c>
      <c r="F68" s="37">
        <f t="shared" si="21"/>
        <v>7446</v>
      </c>
      <c r="G68" s="37">
        <f t="shared" si="22"/>
        <v>7447</v>
      </c>
      <c r="H68" s="37">
        <f t="shared" si="23"/>
        <v>7448</v>
      </c>
      <c r="I68" s="37">
        <f t="shared" si="24"/>
        <v>7449</v>
      </c>
      <c r="J68" s="38">
        <f t="shared" si="25"/>
        <v>7450</v>
      </c>
      <c r="K68" s="36">
        <f t="shared" si="26"/>
        <v>7451</v>
      </c>
      <c r="L68" s="37">
        <f t="shared" si="27"/>
        <v>7452</v>
      </c>
      <c r="M68" s="37">
        <f t="shared" si="28"/>
        <v>7453</v>
      </c>
      <c r="N68" s="37">
        <f t="shared" si="29"/>
        <v>7454</v>
      </c>
      <c r="O68" s="37">
        <f t="shared" si="30"/>
        <v>7455</v>
      </c>
      <c r="P68" s="37">
        <f t="shared" si="31"/>
        <v>7456</v>
      </c>
      <c r="Q68" s="37">
        <f t="shared" si="32"/>
        <v>7457</v>
      </c>
      <c r="R68" s="37">
        <f t="shared" si="33"/>
        <v>7458</v>
      </c>
      <c r="S68" s="37">
        <f t="shared" si="34"/>
        <v>7459</v>
      </c>
      <c r="T68" s="38">
        <f t="shared" si="35"/>
        <v>7460</v>
      </c>
      <c r="U68" s="36">
        <f t="shared" si="36"/>
        <v>7461</v>
      </c>
      <c r="V68" s="37">
        <f t="shared" si="37"/>
        <v>7462</v>
      </c>
      <c r="W68" s="37">
        <f t="shared" si="38"/>
        <v>7463</v>
      </c>
      <c r="X68" s="37">
        <f t="shared" si="39"/>
        <v>7464</v>
      </c>
      <c r="Y68" s="37">
        <f t="shared" si="40"/>
        <v>7465</v>
      </c>
      <c r="Z68" s="37">
        <f t="shared" si="41"/>
        <v>7466</v>
      </c>
      <c r="AA68" s="37">
        <f t="shared" si="42"/>
        <v>7467</v>
      </c>
      <c r="AB68" s="37">
        <f t="shared" si="43"/>
        <v>7468</v>
      </c>
      <c r="AC68" s="37">
        <f t="shared" si="44"/>
        <v>7469</v>
      </c>
      <c r="AD68" s="38">
        <f t="shared" si="45"/>
        <v>7470</v>
      </c>
      <c r="AE68" s="36">
        <f t="shared" si="46"/>
        <v>7471</v>
      </c>
      <c r="AF68" s="37">
        <f t="shared" si="47"/>
        <v>7472</v>
      </c>
      <c r="AG68" s="37">
        <f t="shared" si="48"/>
        <v>7473</v>
      </c>
      <c r="AH68" s="37">
        <f t="shared" si="49"/>
        <v>7474</v>
      </c>
      <c r="AI68" s="37">
        <f t="shared" si="50"/>
        <v>7475</v>
      </c>
      <c r="AJ68" s="37">
        <f t="shared" si="51"/>
        <v>7476</v>
      </c>
      <c r="AK68" s="37">
        <f t="shared" si="52"/>
        <v>7477</v>
      </c>
      <c r="AL68" s="37">
        <f t="shared" si="53"/>
        <v>7478</v>
      </c>
      <c r="AM68" s="37">
        <f t="shared" si="54"/>
        <v>7479</v>
      </c>
      <c r="AN68" s="38">
        <f t="shared" si="55"/>
        <v>7480</v>
      </c>
      <c r="AO68" s="36">
        <f t="shared" si="56"/>
        <v>7481</v>
      </c>
      <c r="AP68" s="37">
        <f t="shared" si="57"/>
        <v>7482</v>
      </c>
      <c r="AQ68" s="37">
        <f t="shared" si="58"/>
        <v>7483</v>
      </c>
      <c r="AR68" s="37">
        <f t="shared" si="59"/>
        <v>7484</v>
      </c>
      <c r="AS68" s="37">
        <f t="shared" si="60"/>
        <v>7485</v>
      </c>
      <c r="AT68" s="37">
        <f t="shared" si="61"/>
        <v>7486</v>
      </c>
      <c r="AU68" s="37">
        <f t="shared" si="62"/>
        <v>7487</v>
      </c>
      <c r="AV68" s="37">
        <f t="shared" si="63"/>
        <v>7488</v>
      </c>
      <c r="AW68" s="37">
        <f t="shared" si="64"/>
        <v>7489</v>
      </c>
      <c r="AX68" s="38">
        <f t="shared" si="65"/>
        <v>7490</v>
      </c>
      <c r="AY68" s="36">
        <f t="shared" si="66"/>
        <v>7491</v>
      </c>
      <c r="AZ68" s="37">
        <f t="shared" si="67"/>
        <v>7492</v>
      </c>
      <c r="BA68" s="37">
        <f t="shared" si="68"/>
        <v>7493</v>
      </c>
      <c r="BB68" s="37">
        <f t="shared" si="69"/>
        <v>7494</v>
      </c>
      <c r="BC68" s="37">
        <f t="shared" si="70"/>
        <v>7495</v>
      </c>
      <c r="BD68" s="37">
        <f t="shared" si="71"/>
        <v>7496</v>
      </c>
      <c r="BE68" s="37">
        <f t="shared" si="72"/>
        <v>7497</v>
      </c>
      <c r="BF68" s="37">
        <f t="shared" si="73"/>
        <v>7498</v>
      </c>
      <c r="BG68" s="37">
        <f t="shared" si="74"/>
        <v>7499</v>
      </c>
      <c r="BH68" s="38">
        <f t="shared" si="75"/>
        <v>7500</v>
      </c>
      <c r="BI68" s="36">
        <f t="shared" si="76"/>
        <v>7501</v>
      </c>
      <c r="BJ68" s="37">
        <f t="shared" si="77"/>
        <v>7502</v>
      </c>
      <c r="BK68" s="37">
        <f t="shared" si="78"/>
        <v>7503</v>
      </c>
      <c r="BL68" s="37">
        <f t="shared" si="79"/>
        <v>7504</v>
      </c>
      <c r="BM68" s="37">
        <f t="shared" si="80"/>
        <v>7505</v>
      </c>
      <c r="BN68" s="37">
        <f t="shared" si="81"/>
        <v>7506</v>
      </c>
      <c r="BO68" s="37">
        <f t="shared" si="82"/>
        <v>7507</v>
      </c>
      <c r="BP68" s="37">
        <f t="shared" si="83"/>
        <v>7508</v>
      </c>
      <c r="BQ68" s="37">
        <f t="shared" si="84"/>
        <v>7509</v>
      </c>
      <c r="BR68" s="39">
        <f t="shared" si="85"/>
        <v>7510</v>
      </c>
      <c r="BS68" s="36">
        <f t="shared" si="86"/>
        <v>7511</v>
      </c>
      <c r="BT68" s="37">
        <f t="shared" si="87"/>
        <v>7512</v>
      </c>
      <c r="BU68" s="37">
        <f t="shared" si="88"/>
        <v>7513</v>
      </c>
      <c r="BV68" s="37">
        <f t="shared" si="89"/>
        <v>7514</v>
      </c>
      <c r="BW68" s="37">
        <f t="shared" si="90"/>
        <v>7515</v>
      </c>
      <c r="BX68" s="37">
        <f t="shared" si="91"/>
        <v>7516</v>
      </c>
      <c r="BY68" s="37">
        <f t="shared" si="92"/>
        <v>7517</v>
      </c>
      <c r="BZ68" s="37">
        <f t="shared" si="93"/>
        <v>7518</v>
      </c>
      <c r="CA68" s="37">
        <f t="shared" si="94"/>
        <v>7519</v>
      </c>
      <c r="CB68" s="38">
        <f t="shared" si="95"/>
        <v>7520</v>
      </c>
      <c r="CC68" s="40">
        <f t="shared" si="96"/>
        <v>7521</v>
      </c>
      <c r="CD68" s="37">
        <f t="shared" si="97"/>
        <v>7522</v>
      </c>
      <c r="CE68" s="37">
        <f t="shared" si="98"/>
        <v>7523</v>
      </c>
      <c r="CF68" s="37">
        <f t="shared" si="99"/>
        <v>7524</v>
      </c>
      <c r="CG68" s="37">
        <f t="shared" si="100"/>
        <v>7525</v>
      </c>
      <c r="CH68" s="37">
        <f t="shared" si="101"/>
        <v>7526</v>
      </c>
      <c r="CI68" s="37">
        <f t="shared" si="102"/>
        <v>7527</v>
      </c>
      <c r="CJ68" s="37">
        <f t="shared" si="103"/>
        <v>7528</v>
      </c>
      <c r="CK68" s="37">
        <f t="shared" si="104"/>
        <v>7529</v>
      </c>
      <c r="CL68" s="39">
        <f t="shared" si="105"/>
        <v>7530</v>
      </c>
      <c r="CM68" s="36">
        <f t="shared" si="106"/>
        <v>7531</v>
      </c>
      <c r="CN68" s="37">
        <f t="shared" si="107"/>
        <v>7532</v>
      </c>
      <c r="CO68" s="37">
        <f t="shared" si="108"/>
        <v>7533</v>
      </c>
      <c r="CP68" s="37">
        <f t="shared" si="109"/>
        <v>7534</v>
      </c>
      <c r="CQ68" s="37">
        <f t="shared" si="110"/>
        <v>7535</v>
      </c>
      <c r="CR68" s="37">
        <f t="shared" si="111"/>
        <v>7536</v>
      </c>
      <c r="CS68" s="37">
        <f t="shared" si="112"/>
        <v>7537</v>
      </c>
      <c r="CT68" s="37">
        <f t="shared" si="113"/>
        <v>7538</v>
      </c>
      <c r="CU68" s="37">
        <f t="shared" si="114"/>
        <v>7539</v>
      </c>
      <c r="CV68" s="38">
        <f t="shared" si="115"/>
        <v>7540</v>
      </c>
      <c r="CW68" s="40">
        <f t="shared" si="116"/>
        <v>7541</v>
      </c>
      <c r="CX68" s="37">
        <f t="shared" si="117"/>
        <v>7542</v>
      </c>
      <c r="CY68" s="37">
        <f t="shared" si="118"/>
        <v>7543</v>
      </c>
      <c r="CZ68" s="37">
        <f t="shared" si="119"/>
        <v>7544</v>
      </c>
      <c r="DA68" s="37">
        <f t="shared" si="120"/>
        <v>7545</v>
      </c>
      <c r="DB68" s="37">
        <f t="shared" si="121"/>
        <v>7546</v>
      </c>
      <c r="DC68" s="37">
        <f t="shared" si="122"/>
        <v>7547</v>
      </c>
      <c r="DD68" s="37">
        <f t="shared" si="123"/>
        <v>7548</v>
      </c>
      <c r="DE68" s="37">
        <f t="shared" si="124"/>
        <v>7549</v>
      </c>
      <c r="DF68" s="39">
        <f t="shared" si="125"/>
        <v>7550</v>
      </c>
      <c r="DG68" s="36">
        <f t="shared" si="126"/>
        <v>7551</v>
      </c>
      <c r="DH68" s="37">
        <f t="shared" si="127"/>
        <v>7552</v>
      </c>
      <c r="DI68" s="37">
        <f t="shared" si="128"/>
        <v>7553</v>
      </c>
      <c r="DJ68" s="37">
        <f t="shared" si="129"/>
        <v>7554</v>
      </c>
      <c r="DK68" s="37">
        <f t="shared" si="130"/>
        <v>7555</v>
      </c>
      <c r="DL68" s="37">
        <f t="shared" si="131"/>
        <v>7556</v>
      </c>
      <c r="DM68" s="37">
        <f t="shared" si="132"/>
        <v>7557</v>
      </c>
      <c r="DN68" s="37">
        <f t="shared" si="133"/>
        <v>7558</v>
      </c>
      <c r="DO68" s="37">
        <f t="shared" si="134"/>
        <v>7559</v>
      </c>
      <c r="DP68" s="38">
        <f t="shared" si="135"/>
        <v>7560</v>
      </c>
      <c r="DR68" s="958"/>
      <c r="DS68" s="959"/>
      <c r="DT68" s="959"/>
      <c r="DU68" s="960"/>
    </row>
    <row r="69" spans="1:125" ht="5.75" customHeight="1">
      <c r="A69" s="36">
        <f t="shared" si="136"/>
        <v>7561</v>
      </c>
      <c r="B69" s="37">
        <f t="shared" si="17"/>
        <v>7562</v>
      </c>
      <c r="C69" s="37">
        <f t="shared" si="18"/>
        <v>7563</v>
      </c>
      <c r="D69" s="37">
        <f t="shared" si="19"/>
        <v>7564</v>
      </c>
      <c r="E69" s="37">
        <f t="shared" si="20"/>
        <v>7565</v>
      </c>
      <c r="F69" s="37">
        <f t="shared" si="21"/>
        <v>7566</v>
      </c>
      <c r="G69" s="37">
        <f t="shared" si="22"/>
        <v>7567</v>
      </c>
      <c r="H69" s="37">
        <f t="shared" si="23"/>
        <v>7568</v>
      </c>
      <c r="I69" s="37">
        <f t="shared" si="24"/>
        <v>7569</v>
      </c>
      <c r="J69" s="38">
        <f t="shared" si="25"/>
        <v>7570</v>
      </c>
      <c r="K69" s="36">
        <f t="shared" si="26"/>
        <v>7571</v>
      </c>
      <c r="L69" s="37">
        <f t="shared" si="27"/>
        <v>7572</v>
      </c>
      <c r="M69" s="37">
        <f t="shared" si="28"/>
        <v>7573</v>
      </c>
      <c r="N69" s="37">
        <f t="shared" si="29"/>
        <v>7574</v>
      </c>
      <c r="O69" s="37">
        <f t="shared" si="30"/>
        <v>7575</v>
      </c>
      <c r="P69" s="37">
        <f t="shared" si="31"/>
        <v>7576</v>
      </c>
      <c r="Q69" s="37">
        <f t="shared" si="32"/>
        <v>7577</v>
      </c>
      <c r="R69" s="37">
        <f t="shared" si="33"/>
        <v>7578</v>
      </c>
      <c r="S69" s="37">
        <f t="shared" si="34"/>
        <v>7579</v>
      </c>
      <c r="T69" s="38">
        <f t="shared" si="35"/>
        <v>7580</v>
      </c>
      <c r="U69" s="36">
        <f t="shared" si="36"/>
        <v>7581</v>
      </c>
      <c r="V69" s="37">
        <f t="shared" si="37"/>
        <v>7582</v>
      </c>
      <c r="W69" s="37">
        <f t="shared" si="38"/>
        <v>7583</v>
      </c>
      <c r="X69" s="37">
        <f t="shared" si="39"/>
        <v>7584</v>
      </c>
      <c r="Y69" s="37">
        <f t="shared" si="40"/>
        <v>7585</v>
      </c>
      <c r="Z69" s="37">
        <f t="shared" si="41"/>
        <v>7586</v>
      </c>
      <c r="AA69" s="37">
        <f t="shared" si="42"/>
        <v>7587</v>
      </c>
      <c r="AB69" s="37">
        <f t="shared" si="43"/>
        <v>7588</v>
      </c>
      <c r="AC69" s="37">
        <f t="shared" si="44"/>
        <v>7589</v>
      </c>
      <c r="AD69" s="38">
        <f t="shared" si="45"/>
        <v>7590</v>
      </c>
      <c r="AE69" s="36">
        <f t="shared" si="46"/>
        <v>7591</v>
      </c>
      <c r="AF69" s="37">
        <f t="shared" si="47"/>
        <v>7592</v>
      </c>
      <c r="AG69" s="37">
        <f t="shared" si="48"/>
        <v>7593</v>
      </c>
      <c r="AH69" s="37">
        <f t="shared" si="49"/>
        <v>7594</v>
      </c>
      <c r="AI69" s="37">
        <f t="shared" si="50"/>
        <v>7595</v>
      </c>
      <c r="AJ69" s="37">
        <f t="shared" si="51"/>
        <v>7596</v>
      </c>
      <c r="AK69" s="37">
        <f t="shared" si="52"/>
        <v>7597</v>
      </c>
      <c r="AL69" s="37">
        <f t="shared" si="53"/>
        <v>7598</v>
      </c>
      <c r="AM69" s="37">
        <f t="shared" si="54"/>
        <v>7599</v>
      </c>
      <c r="AN69" s="38">
        <f t="shared" si="55"/>
        <v>7600</v>
      </c>
      <c r="AO69" s="36">
        <f t="shared" si="56"/>
        <v>7601</v>
      </c>
      <c r="AP69" s="37">
        <f t="shared" si="57"/>
        <v>7602</v>
      </c>
      <c r="AQ69" s="37">
        <f t="shared" si="58"/>
        <v>7603</v>
      </c>
      <c r="AR69" s="37">
        <f t="shared" si="59"/>
        <v>7604</v>
      </c>
      <c r="AS69" s="37">
        <f t="shared" si="60"/>
        <v>7605</v>
      </c>
      <c r="AT69" s="37">
        <f t="shared" si="61"/>
        <v>7606</v>
      </c>
      <c r="AU69" s="37">
        <f t="shared" si="62"/>
        <v>7607</v>
      </c>
      <c r="AV69" s="37">
        <f t="shared" si="63"/>
        <v>7608</v>
      </c>
      <c r="AW69" s="37">
        <f t="shared" si="64"/>
        <v>7609</v>
      </c>
      <c r="AX69" s="38">
        <f t="shared" si="65"/>
        <v>7610</v>
      </c>
      <c r="AY69" s="36">
        <f t="shared" si="66"/>
        <v>7611</v>
      </c>
      <c r="AZ69" s="37">
        <f t="shared" si="67"/>
        <v>7612</v>
      </c>
      <c r="BA69" s="37">
        <f t="shared" si="68"/>
        <v>7613</v>
      </c>
      <c r="BB69" s="37">
        <f t="shared" si="69"/>
        <v>7614</v>
      </c>
      <c r="BC69" s="37">
        <f t="shared" si="70"/>
        <v>7615</v>
      </c>
      <c r="BD69" s="37">
        <f t="shared" si="71"/>
        <v>7616</v>
      </c>
      <c r="BE69" s="37">
        <f t="shared" si="72"/>
        <v>7617</v>
      </c>
      <c r="BF69" s="37">
        <f t="shared" si="73"/>
        <v>7618</v>
      </c>
      <c r="BG69" s="37">
        <f t="shared" si="74"/>
        <v>7619</v>
      </c>
      <c r="BH69" s="38">
        <f t="shared" si="75"/>
        <v>7620</v>
      </c>
      <c r="BI69" s="36">
        <f t="shared" si="76"/>
        <v>7621</v>
      </c>
      <c r="BJ69" s="37">
        <f t="shared" si="77"/>
        <v>7622</v>
      </c>
      <c r="BK69" s="37">
        <f t="shared" si="78"/>
        <v>7623</v>
      </c>
      <c r="BL69" s="37">
        <f t="shared" si="79"/>
        <v>7624</v>
      </c>
      <c r="BM69" s="37">
        <f t="shared" si="80"/>
        <v>7625</v>
      </c>
      <c r="BN69" s="37">
        <f t="shared" si="81"/>
        <v>7626</v>
      </c>
      <c r="BO69" s="37">
        <f t="shared" si="82"/>
        <v>7627</v>
      </c>
      <c r="BP69" s="37">
        <f t="shared" si="83"/>
        <v>7628</v>
      </c>
      <c r="BQ69" s="37">
        <f t="shared" si="84"/>
        <v>7629</v>
      </c>
      <c r="BR69" s="39">
        <f t="shared" si="85"/>
        <v>7630</v>
      </c>
      <c r="BS69" s="36">
        <f t="shared" si="86"/>
        <v>7631</v>
      </c>
      <c r="BT69" s="37">
        <f t="shared" si="87"/>
        <v>7632</v>
      </c>
      <c r="BU69" s="37">
        <f t="shared" si="88"/>
        <v>7633</v>
      </c>
      <c r="BV69" s="37">
        <f t="shared" si="89"/>
        <v>7634</v>
      </c>
      <c r="BW69" s="37">
        <f t="shared" si="90"/>
        <v>7635</v>
      </c>
      <c r="BX69" s="37">
        <f t="shared" si="91"/>
        <v>7636</v>
      </c>
      <c r="BY69" s="37">
        <f t="shared" si="92"/>
        <v>7637</v>
      </c>
      <c r="BZ69" s="37">
        <f t="shared" si="93"/>
        <v>7638</v>
      </c>
      <c r="CA69" s="37">
        <f t="shared" si="94"/>
        <v>7639</v>
      </c>
      <c r="CB69" s="38">
        <f t="shared" si="95"/>
        <v>7640</v>
      </c>
      <c r="CC69" s="40">
        <f t="shared" si="96"/>
        <v>7641</v>
      </c>
      <c r="CD69" s="37">
        <f t="shared" si="97"/>
        <v>7642</v>
      </c>
      <c r="CE69" s="37">
        <f t="shared" si="98"/>
        <v>7643</v>
      </c>
      <c r="CF69" s="37">
        <f t="shared" si="99"/>
        <v>7644</v>
      </c>
      <c r="CG69" s="37">
        <f t="shared" si="100"/>
        <v>7645</v>
      </c>
      <c r="CH69" s="37">
        <f t="shared" si="101"/>
        <v>7646</v>
      </c>
      <c r="CI69" s="37">
        <f t="shared" si="102"/>
        <v>7647</v>
      </c>
      <c r="CJ69" s="37">
        <f t="shared" si="103"/>
        <v>7648</v>
      </c>
      <c r="CK69" s="37">
        <f t="shared" si="104"/>
        <v>7649</v>
      </c>
      <c r="CL69" s="39">
        <f t="shared" si="105"/>
        <v>7650</v>
      </c>
      <c r="CM69" s="36">
        <f t="shared" si="106"/>
        <v>7651</v>
      </c>
      <c r="CN69" s="37">
        <f t="shared" si="107"/>
        <v>7652</v>
      </c>
      <c r="CO69" s="37">
        <f t="shared" si="108"/>
        <v>7653</v>
      </c>
      <c r="CP69" s="37">
        <f t="shared" si="109"/>
        <v>7654</v>
      </c>
      <c r="CQ69" s="37">
        <f t="shared" si="110"/>
        <v>7655</v>
      </c>
      <c r="CR69" s="37">
        <f t="shared" si="111"/>
        <v>7656</v>
      </c>
      <c r="CS69" s="37">
        <f t="shared" si="112"/>
        <v>7657</v>
      </c>
      <c r="CT69" s="37">
        <f t="shared" si="113"/>
        <v>7658</v>
      </c>
      <c r="CU69" s="37">
        <f t="shared" si="114"/>
        <v>7659</v>
      </c>
      <c r="CV69" s="38">
        <f t="shared" si="115"/>
        <v>7660</v>
      </c>
      <c r="CW69" s="40">
        <f t="shared" si="116"/>
        <v>7661</v>
      </c>
      <c r="CX69" s="37">
        <f t="shared" si="117"/>
        <v>7662</v>
      </c>
      <c r="CY69" s="37">
        <f t="shared" si="118"/>
        <v>7663</v>
      </c>
      <c r="CZ69" s="37">
        <f t="shared" si="119"/>
        <v>7664</v>
      </c>
      <c r="DA69" s="37">
        <f t="shared" si="120"/>
        <v>7665</v>
      </c>
      <c r="DB69" s="37">
        <f t="shared" si="121"/>
        <v>7666</v>
      </c>
      <c r="DC69" s="37">
        <f t="shared" si="122"/>
        <v>7667</v>
      </c>
      <c r="DD69" s="37">
        <f t="shared" si="123"/>
        <v>7668</v>
      </c>
      <c r="DE69" s="37">
        <f t="shared" si="124"/>
        <v>7669</v>
      </c>
      <c r="DF69" s="39">
        <f t="shared" si="125"/>
        <v>7670</v>
      </c>
      <c r="DG69" s="36">
        <f t="shared" si="126"/>
        <v>7671</v>
      </c>
      <c r="DH69" s="37">
        <f t="shared" si="127"/>
        <v>7672</v>
      </c>
      <c r="DI69" s="37">
        <f t="shared" si="128"/>
        <v>7673</v>
      </c>
      <c r="DJ69" s="37">
        <f t="shared" si="129"/>
        <v>7674</v>
      </c>
      <c r="DK69" s="37">
        <f t="shared" si="130"/>
        <v>7675</v>
      </c>
      <c r="DL69" s="37">
        <f t="shared" si="131"/>
        <v>7676</v>
      </c>
      <c r="DM69" s="37">
        <f t="shared" si="132"/>
        <v>7677</v>
      </c>
      <c r="DN69" s="37">
        <f t="shared" si="133"/>
        <v>7678</v>
      </c>
      <c r="DO69" s="37">
        <f t="shared" si="134"/>
        <v>7679</v>
      </c>
      <c r="DP69" s="38">
        <f t="shared" si="135"/>
        <v>7680</v>
      </c>
      <c r="DR69" s="958"/>
      <c r="DS69" s="959"/>
      <c r="DT69" s="959"/>
      <c r="DU69" s="960"/>
    </row>
    <row r="70" spans="1:125" ht="5.75" customHeight="1">
      <c r="A70" s="36">
        <f t="shared" si="136"/>
        <v>7681</v>
      </c>
      <c r="B70" s="37">
        <f t="shared" si="17"/>
        <v>7682</v>
      </c>
      <c r="C70" s="37">
        <f t="shared" si="18"/>
        <v>7683</v>
      </c>
      <c r="D70" s="37">
        <f t="shared" si="19"/>
        <v>7684</v>
      </c>
      <c r="E70" s="37">
        <f t="shared" si="20"/>
        <v>7685</v>
      </c>
      <c r="F70" s="37">
        <f t="shared" si="21"/>
        <v>7686</v>
      </c>
      <c r="G70" s="37">
        <f t="shared" si="22"/>
        <v>7687</v>
      </c>
      <c r="H70" s="37">
        <f t="shared" si="23"/>
        <v>7688</v>
      </c>
      <c r="I70" s="37">
        <f t="shared" si="24"/>
        <v>7689</v>
      </c>
      <c r="J70" s="38">
        <f t="shared" si="25"/>
        <v>7690</v>
      </c>
      <c r="K70" s="36">
        <f t="shared" si="26"/>
        <v>7691</v>
      </c>
      <c r="L70" s="37">
        <f t="shared" si="27"/>
        <v>7692</v>
      </c>
      <c r="M70" s="37">
        <f t="shared" si="28"/>
        <v>7693</v>
      </c>
      <c r="N70" s="37">
        <f t="shared" si="29"/>
        <v>7694</v>
      </c>
      <c r="O70" s="37">
        <f t="shared" si="30"/>
        <v>7695</v>
      </c>
      <c r="P70" s="37">
        <f t="shared" si="31"/>
        <v>7696</v>
      </c>
      <c r="Q70" s="37">
        <f t="shared" si="32"/>
        <v>7697</v>
      </c>
      <c r="R70" s="37">
        <f t="shared" si="33"/>
        <v>7698</v>
      </c>
      <c r="S70" s="37">
        <f t="shared" si="34"/>
        <v>7699</v>
      </c>
      <c r="T70" s="38">
        <f t="shared" si="35"/>
        <v>7700</v>
      </c>
      <c r="U70" s="36">
        <f t="shared" si="36"/>
        <v>7701</v>
      </c>
      <c r="V70" s="37">
        <f t="shared" si="37"/>
        <v>7702</v>
      </c>
      <c r="W70" s="37">
        <f t="shared" si="38"/>
        <v>7703</v>
      </c>
      <c r="X70" s="37">
        <f t="shared" si="39"/>
        <v>7704</v>
      </c>
      <c r="Y70" s="37">
        <f t="shared" si="40"/>
        <v>7705</v>
      </c>
      <c r="Z70" s="37">
        <f t="shared" si="41"/>
        <v>7706</v>
      </c>
      <c r="AA70" s="37">
        <f t="shared" si="42"/>
        <v>7707</v>
      </c>
      <c r="AB70" s="37">
        <f t="shared" si="43"/>
        <v>7708</v>
      </c>
      <c r="AC70" s="37">
        <f t="shared" si="44"/>
        <v>7709</v>
      </c>
      <c r="AD70" s="38">
        <f t="shared" si="45"/>
        <v>7710</v>
      </c>
      <c r="AE70" s="36">
        <f t="shared" si="46"/>
        <v>7711</v>
      </c>
      <c r="AF70" s="37">
        <f t="shared" si="47"/>
        <v>7712</v>
      </c>
      <c r="AG70" s="37">
        <f t="shared" si="48"/>
        <v>7713</v>
      </c>
      <c r="AH70" s="37">
        <f t="shared" si="49"/>
        <v>7714</v>
      </c>
      <c r="AI70" s="37">
        <f t="shared" si="50"/>
        <v>7715</v>
      </c>
      <c r="AJ70" s="37">
        <f t="shared" si="51"/>
        <v>7716</v>
      </c>
      <c r="AK70" s="37">
        <f t="shared" si="52"/>
        <v>7717</v>
      </c>
      <c r="AL70" s="37">
        <f t="shared" si="53"/>
        <v>7718</v>
      </c>
      <c r="AM70" s="37">
        <f t="shared" si="54"/>
        <v>7719</v>
      </c>
      <c r="AN70" s="38">
        <f t="shared" si="55"/>
        <v>7720</v>
      </c>
      <c r="AO70" s="36">
        <f t="shared" si="56"/>
        <v>7721</v>
      </c>
      <c r="AP70" s="37">
        <f t="shared" si="57"/>
        <v>7722</v>
      </c>
      <c r="AQ70" s="37">
        <f t="shared" si="58"/>
        <v>7723</v>
      </c>
      <c r="AR70" s="37">
        <f t="shared" si="59"/>
        <v>7724</v>
      </c>
      <c r="AS70" s="37">
        <f t="shared" si="60"/>
        <v>7725</v>
      </c>
      <c r="AT70" s="37">
        <f t="shared" si="61"/>
        <v>7726</v>
      </c>
      <c r="AU70" s="37">
        <f t="shared" si="62"/>
        <v>7727</v>
      </c>
      <c r="AV70" s="37">
        <f t="shared" si="63"/>
        <v>7728</v>
      </c>
      <c r="AW70" s="37">
        <f t="shared" si="64"/>
        <v>7729</v>
      </c>
      <c r="AX70" s="38">
        <f t="shared" si="65"/>
        <v>7730</v>
      </c>
      <c r="AY70" s="36">
        <f t="shared" si="66"/>
        <v>7731</v>
      </c>
      <c r="AZ70" s="37">
        <f t="shared" si="67"/>
        <v>7732</v>
      </c>
      <c r="BA70" s="37">
        <f t="shared" si="68"/>
        <v>7733</v>
      </c>
      <c r="BB70" s="37">
        <f t="shared" si="69"/>
        <v>7734</v>
      </c>
      <c r="BC70" s="37">
        <f t="shared" si="70"/>
        <v>7735</v>
      </c>
      <c r="BD70" s="37">
        <f t="shared" si="71"/>
        <v>7736</v>
      </c>
      <c r="BE70" s="37">
        <f t="shared" si="72"/>
        <v>7737</v>
      </c>
      <c r="BF70" s="37">
        <f t="shared" si="73"/>
        <v>7738</v>
      </c>
      <c r="BG70" s="37">
        <f t="shared" si="74"/>
        <v>7739</v>
      </c>
      <c r="BH70" s="38">
        <f t="shared" si="75"/>
        <v>7740</v>
      </c>
      <c r="BI70" s="36">
        <f t="shared" si="76"/>
        <v>7741</v>
      </c>
      <c r="BJ70" s="37">
        <f t="shared" si="77"/>
        <v>7742</v>
      </c>
      <c r="BK70" s="37">
        <f t="shared" si="78"/>
        <v>7743</v>
      </c>
      <c r="BL70" s="37">
        <f t="shared" si="79"/>
        <v>7744</v>
      </c>
      <c r="BM70" s="37">
        <f t="shared" si="80"/>
        <v>7745</v>
      </c>
      <c r="BN70" s="37">
        <f t="shared" si="81"/>
        <v>7746</v>
      </c>
      <c r="BO70" s="37">
        <f t="shared" si="82"/>
        <v>7747</v>
      </c>
      <c r="BP70" s="37">
        <f t="shared" si="83"/>
        <v>7748</v>
      </c>
      <c r="BQ70" s="37">
        <f t="shared" si="84"/>
        <v>7749</v>
      </c>
      <c r="BR70" s="39">
        <f t="shared" si="85"/>
        <v>7750</v>
      </c>
      <c r="BS70" s="36">
        <f t="shared" si="86"/>
        <v>7751</v>
      </c>
      <c r="BT70" s="37">
        <f t="shared" si="87"/>
        <v>7752</v>
      </c>
      <c r="BU70" s="37">
        <f t="shared" si="88"/>
        <v>7753</v>
      </c>
      <c r="BV70" s="37">
        <f t="shared" si="89"/>
        <v>7754</v>
      </c>
      <c r="BW70" s="37">
        <f t="shared" si="90"/>
        <v>7755</v>
      </c>
      <c r="BX70" s="37">
        <f t="shared" si="91"/>
        <v>7756</v>
      </c>
      <c r="BY70" s="37">
        <f t="shared" si="92"/>
        <v>7757</v>
      </c>
      <c r="BZ70" s="37">
        <f t="shared" si="93"/>
        <v>7758</v>
      </c>
      <c r="CA70" s="37">
        <f t="shared" si="94"/>
        <v>7759</v>
      </c>
      <c r="CB70" s="38">
        <f t="shared" si="95"/>
        <v>7760</v>
      </c>
      <c r="CC70" s="40">
        <f t="shared" si="96"/>
        <v>7761</v>
      </c>
      <c r="CD70" s="37">
        <f t="shared" si="97"/>
        <v>7762</v>
      </c>
      <c r="CE70" s="37">
        <f t="shared" si="98"/>
        <v>7763</v>
      </c>
      <c r="CF70" s="37">
        <f t="shared" si="99"/>
        <v>7764</v>
      </c>
      <c r="CG70" s="37">
        <f t="shared" si="100"/>
        <v>7765</v>
      </c>
      <c r="CH70" s="37">
        <f t="shared" si="101"/>
        <v>7766</v>
      </c>
      <c r="CI70" s="37">
        <f t="shared" si="102"/>
        <v>7767</v>
      </c>
      <c r="CJ70" s="37">
        <f t="shared" si="103"/>
        <v>7768</v>
      </c>
      <c r="CK70" s="37">
        <f t="shared" si="104"/>
        <v>7769</v>
      </c>
      <c r="CL70" s="39">
        <f t="shared" si="105"/>
        <v>7770</v>
      </c>
      <c r="CM70" s="36">
        <f t="shared" si="106"/>
        <v>7771</v>
      </c>
      <c r="CN70" s="37">
        <f t="shared" si="107"/>
        <v>7772</v>
      </c>
      <c r="CO70" s="37">
        <f t="shared" si="108"/>
        <v>7773</v>
      </c>
      <c r="CP70" s="37">
        <f t="shared" si="109"/>
        <v>7774</v>
      </c>
      <c r="CQ70" s="37">
        <f t="shared" si="110"/>
        <v>7775</v>
      </c>
      <c r="CR70" s="37">
        <f t="shared" si="111"/>
        <v>7776</v>
      </c>
      <c r="CS70" s="37">
        <f t="shared" si="112"/>
        <v>7777</v>
      </c>
      <c r="CT70" s="37">
        <f t="shared" si="113"/>
        <v>7778</v>
      </c>
      <c r="CU70" s="37">
        <f t="shared" si="114"/>
        <v>7779</v>
      </c>
      <c r="CV70" s="38">
        <f t="shared" si="115"/>
        <v>7780</v>
      </c>
      <c r="CW70" s="40">
        <f t="shared" si="116"/>
        <v>7781</v>
      </c>
      <c r="CX70" s="37">
        <f t="shared" si="117"/>
        <v>7782</v>
      </c>
      <c r="CY70" s="37">
        <f t="shared" si="118"/>
        <v>7783</v>
      </c>
      <c r="CZ70" s="37">
        <f t="shared" si="119"/>
        <v>7784</v>
      </c>
      <c r="DA70" s="37">
        <f t="shared" si="120"/>
        <v>7785</v>
      </c>
      <c r="DB70" s="37">
        <f t="shared" si="121"/>
        <v>7786</v>
      </c>
      <c r="DC70" s="37">
        <f t="shared" si="122"/>
        <v>7787</v>
      </c>
      <c r="DD70" s="37">
        <f t="shared" si="123"/>
        <v>7788</v>
      </c>
      <c r="DE70" s="37">
        <f t="shared" si="124"/>
        <v>7789</v>
      </c>
      <c r="DF70" s="39">
        <f t="shared" si="125"/>
        <v>7790</v>
      </c>
      <c r="DG70" s="36">
        <f t="shared" si="126"/>
        <v>7791</v>
      </c>
      <c r="DH70" s="37">
        <f t="shared" si="127"/>
        <v>7792</v>
      </c>
      <c r="DI70" s="37">
        <f t="shared" si="128"/>
        <v>7793</v>
      </c>
      <c r="DJ70" s="37">
        <f t="shared" si="129"/>
        <v>7794</v>
      </c>
      <c r="DK70" s="37">
        <f t="shared" si="130"/>
        <v>7795</v>
      </c>
      <c r="DL70" s="37">
        <f t="shared" si="131"/>
        <v>7796</v>
      </c>
      <c r="DM70" s="37">
        <f t="shared" si="132"/>
        <v>7797</v>
      </c>
      <c r="DN70" s="37">
        <f t="shared" si="133"/>
        <v>7798</v>
      </c>
      <c r="DO70" s="37">
        <f t="shared" si="134"/>
        <v>7799</v>
      </c>
      <c r="DP70" s="38">
        <f t="shared" si="135"/>
        <v>7800</v>
      </c>
      <c r="DR70" s="958">
        <v>100</v>
      </c>
      <c r="DS70" s="959"/>
      <c r="DT70" s="959"/>
      <c r="DU70" s="960"/>
    </row>
    <row r="71" spans="1:125" ht="5.75" customHeight="1">
      <c r="A71" s="36">
        <f t="shared" si="136"/>
        <v>7801</v>
      </c>
      <c r="B71" s="37">
        <f t="shared" si="17"/>
        <v>7802</v>
      </c>
      <c r="C71" s="37">
        <f t="shared" si="18"/>
        <v>7803</v>
      </c>
      <c r="D71" s="37">
        <f t="shared" si="19"/>
        <v>7804</v>
      </c>
      <c r="E71" s="37">
        <f t="shared" si="20"/>
        <v>7805</v>
      </c>
      <c r="F71" s="37">
        <f t="shared" si="21"/>
        <v>7806</v>
      </c>
      <c r="G71" s="37">
        <f t="shared" si="22"/>
        <v>7807</v>
      </c>
      <c r="H71" s="37">
        <f t="shared" si="23"/>
        <v>7808</v>
      </c>
      <c r="I71" s="37">
        <f t="shared" si="24"/>
        <v>7809</v>
      </c>
      <c r="J71" s="38">
        <f t="shared" si="25"/>
        <v>7810</v>
      </c>
      <c r="K71" s="36">
        <f t="shared" si="26"/>
        <v>7811</v>
      </c>
      <c r="L71" s="37">
        <f t="shared" si="27"/>
        <v>7812</v>
      </c>
      <c r="M71" s="37">
        <f t="shared" si="28"/>
        <v>7813</v>
      </c>
      <c r="N71" s="37">
        <f t="shared" si="29"/>
        <v>7814</v>
      </c>
      <c r="O71" s="37">
        <f t="shared" si="30"/>
        <v>7815</v>
      </c>
      <c r="P71" s="37">
        <f t="shared" si="31"/>
        <v>7816</v>
      </c>
      <c r="Q71" s="37">
        <f t="shared" si="32"/>
        <v>7817</v>
      </c>
      <c r="R71" s="37">
        <f t="shared" si="33"/>
        <v>7818</v>
      </c>
      <c r="S71" s="37">
        <f t="shared" si="34"/>
        <v>7819</v>
      </c>
      <c r="T71" s="38">
        <f t="shared" si="35"/>
        <v>7820</v>
      </c>
      <c r="U71" s="36">
        <f t="shared" si="36"/>
        <v>7821</v>
      </c>
      <c r="V71" s="37">
        <f t="shared" si="37"/>
        <v>7822</v>
      </c>
      <c r="W71" s="37">
        <f t="shared" si="38"/>
        <v>7823</v>
      </c>
      <c r="X71" s="37">
        <f t="shared" si="39"/>
        <v>7824</v>
      </c>
      <c r="Y71" s="37">
        <f t="shared" si="40"/>
        <v>7825</v>
      </c>
      <c r="Z71" s="37">
        <f t="shared" si="41"/>
        <v>7826</v>
      </c>
      <c r="AA71" s="37">
        <f t="shared" si="42"/>
        <v>7827</v>
      </c>
      <c r="AB71" s="37">
        <f t="shared" si="43"/>
        <v>7828</v>
      </c>
      <c r="AC71" s="37">
        <f t="shared" si="44"/>
        <v>7829</v>
      </c>
      <c r="AD71" s="38">
        <f t="shared" si="45"/>
        <v>7830</v>
      </c>
      <c r="AE71" s="36">
        <f t="shared" si="46"/>
        <v>7831</v>
      </c>
      <c r="AF71" s="37">
        <f t="shared" si="47"/>
        <v>7832</v>
      </c>
      <c r="AG71" s="37">
        <f t="shared" si="48"/>
        <v>7833</v>
      </c>
      <c r="AH71" s="37">
        <f t="shared" si="49"/>
        <v>7834</v>
      </c>
      <c r="AI71" s="37">
        <f t="shared" si="50"/>
        <v>7835</v>
      </c>
      <c r="AJ71" s="37">
        <f t="shared" si="51"/>
        <v>7836</v>
      </c>
      <c r="AK71" s="37">
        <f t="shared" si="52"/>
        <v>7837</v>
      </c>
      <c r="AL71" s="37">
        <f t="shared" si="53"/>
        <v>7838</v>
      </c>
      <c r="AM71" s="37">
        <f t="shared" si="54"/>
        <v>7839</v>
      </c>
      <c r="AN71" s="38">
        <f t="shared" si="55"/>
        <v>7840</v>
      </c>
      <c r="AO71" s="36">
        <f t="shared" si="56"/>
        <v>7841</v>
      </c>
      <c r="AP71" s="37">
        <f t="shared" si="57"/>
        <v>7842</v>
      </c>
      <c r="AQ71" s="37">
        <f t="shared" si="58"/>
        <v>7843</v>
      </c>
      <c r="AR71" s="37">
        <f t="shared" si="59"/>
        <v>7844</v>
      </c>
      <c r="AS71" s="37">
        <f t="shared" si="60"/>
        <v>7845</v>
      </c>
      <c r="AT71" s="37">
        <f t="shared" si="61"/>
        <v>7846</v>
      </c>
      <c r="AU71" s="37">
        <f t="shared" si="62"/>
        <v>7847</v>
      </c>
      <c r="AV71" s="37">
        <f t="shared" si="63"/>
        <v>7848</v>
      </c>
      <c r="AW71" s="37">
        <f t="shared" si="64"/>
        <v>7849</v>
      </c>
      <c r="AX71" s="38">
        <f t="shared" si="65"/>
        <v>7850</v>
      </c>
      <c r="AY71" s="36">
        <f t="shared" si="66"/>
        <v>7851</v>
      </c>
      <c r="AZ71" s="37">
        <f t="shared" si="67"/>
        <v>7852</v>
      </c>
      <c r="BA71" s="37">
        <f t="shared" si="68"/>
        <v>7853</v>
      </c>
      <c r="BB71" s="37">
        <f t="shared" si="69"/>
        <v>7854</v>
      </c>
      <c r="BC71" s="37">
        <f t="shared" si="70"/>
        <v>7855</v>
      </c>
      <c r="BD71" s="37">
        <f t="shared" si="71"/>
        <v>7856</v>
      </c>
      <c r="BE71" s="37">
        <f t="shared" si="72"/>
        <v>7857</v>
      </c>
      <c r="BF71" s="37">
        <f t="shared" si="73"/>
        <v>7858</v>
      </c>
      <c r="BG71" s="37">
        <f t="shared" si="74"/>
        <v>7859</v>
      </c>
      <c r="BH71" s="38">
        <f t="shared" si="75"/>
        <v>7860</v>
      </c>
      <c r="BI71" s="36">
        <f t="shared" si="76"/>
        <v>7861</v>
      </c>
      <c r="BJ71" s="37">
        <f t="shared" si="77"/>
        <v>7862</v>
      </c>
      <c r="BK71" s="37">
        <f t="shared" si="78"/>
        <v>7863</v>
      </c>
      <c r="BL71" s="37">
        <f t="shared" si="79"/>
        <v>7864</v>
      </c>
      <c r="BM71" s="37">
        <f t="shared" si="80"/>
        <v>7865</v>
      </c>
      <c r="BN71" s="37">
        <f t="shared" si="81"/>
        <v>7866</v>
      </c>
      <c r="BO71" s="37">
        <f t="shared" si="82"/>
        <v>7867</v>
      </c>
      <c r="BP71" s="37">
        <f t="shared" si="83"/>
        <v>7868</v>
      </c>
      <c r="BQ71" s="37">
        <f t="shared" si="84"/>
        <v>7869</v>
      </c>
      <c r="BR71" s="39">
        <f t="shared" si="85"/>
        <v>7870</v>
      </c>
      <c r="BS71" s="36">
        <f t="shared" si="86"/>
        <v>7871</v>
      </c>
      <c r="BT71" s="37">
        <f t="shared" si="87"/>
        <v>7872</v>
      </c>
      <c r="BU71" s="37">
        <f t="shared" si="88"/>
        <v>7873</v>
      </c>
      <c r="BV71" s="37">
        <f t="shared" si="89"/>
        <v>7874</v>
      </c>
      <c r="BW71" s="37">
        <f t="shared" si="90"/>
        <v>7875</v>
      </c>
      <c r="BX71" s="37">
        <f t="shared" si="91"/>
        <v>7876</v>
      </c>
      <c r="BY71" s="37">
        <f t="shared" si="92"/>
        <v>7877</v>
      </c>
      <c r="BZ71" s="37">
        <f t="shared" si="93"/>
        <v>7878</v>
      </c>
      <c r="CA71" s="37">
        <f t="shared" si="94"/>
        <v>7879</v>
      </c>
      <c r="CB71" s="38">
        <f t="shared" si="95"/>
        <v>7880</v>
      </c>
      <c r="CC71" s="40">
        <f t="shared" si="96"/>
        <v>7881</v>
      </c>
      <c r="CD71" s="37">
        <f t="shared" si="97"/>
        <v>7882</v>
      </c>
      <c r="CE71" s="37">
        <f t="shared" si="98"/>
        <v>7883</v>
      </c>
      <c r="CF71" s="37">
        <f t="shared" si="99"/>
        <v>7884</v>
      </c>
      <c r="CG71" s="37">
        <f t="shared" si="100"/>
        <v>7885</v>
      </c>
      <c r="CH71" s="37">
        <f t="shared" si="101"/>
        <v>7886</v>
      </c>
      <c r="CI71" s="37">
        <f t="shared" si="102"/>
        <v>7887</v>
      </c>
      <c r="CJ71" s="37">
        <f t="shared" si="103"/>
        <v>7888</v>
      </c>
      <c r="CK71" s="37">
        <f t="shared" si="104"/>
        <v>7889</v>
      </c>
      <c r="CL71" s="39">
        <f t="shared" si="105"/>
        <v>7890</v>
      </c>
      <c r="CM71" s="36">
        <f t="shared" si="106"/>
        <v>7891</v>
      </c>
      <c r="CN71" s="37">
        <f t="shared" si="107"/>
        <v>7892</v>
      </c>
      <c r="CO71" s="37">
        <f t="shared" si="108"/>
        <v>7893</v>
      </c>
      <c r="CP71" s="37">
        <f t="shared" si="109"/>
        <v>7894</v>
      </c>
      <c r="CQ71" s="37">
        <f t="shared" si="110"/>
        <v>7895</v>
      </c>
      <c r="CR71" s="37">
        <f t="shared" si="111"/>
        <v>7896</v>
      </c>
      <c r="CS71" s="37">
        <f t="shared" si="112"/>
        <v>7897</v>
      </c>
      <c r="CT71" s="37">
        <f t="shared" si="113"/>
        <v>7898</v>
      </c>
      <c r="CU71" s="37">
        <f t="shared" si="114"/>
        <v>7899</v>
      </c>
      <c r="CV71" s="38">
        <f t="shared" si="115"/>
        <v>7900</v>
      </c>
      <c r="CW71" s="40">
        <f t="shared" si="116"/>
        <v>7901</v>
      </c>
      <c r="CX71" s="37">
        <f t="shared" si="117"/>
        <v>7902</v>
      </c>
      <c r="CY71" s="37">
        <f t="shared" si="118"/>
        <v>7903</v>
      </c>
      <c r="CZ71" s="37">
        <f t="shared" si="119"/>
        <v>7904</v>
      </c>
      <c r="DA71" s="37">
        <f t="shared" si="120"/>
        <v>7905</v>
      </c>
      <c r="DB71" s="37">
        <f t="shared" si="121"/>
        <v>7906</v>
      </c>
      <c r="DC71" s="37">
        <f t="shared" si="122"/>
        <v>7907</v>
      </c>
      <c r="DD71" s="37">
        <f t="shared" si="123"/>
        <v>7908</v>
      </c>
      <c r="DE71" s="37">
        <f t="shared" si="124"/>
        <v>7909</v>
      </c>
      <c r="DF71" s="39">
        <f t="shared" si="125"/>
        <v>7910</v>
      </c>
      <c r="DG71" s="36">
        <f t="shared" si="126"/>
        <v>7911</v>
      </c>
      <c r="DH71" s="37">
        <f t="shared" si="127"/>
        <v>7912</v>
      </c>
      <c r="DI71" s="37">
        <f t="shared" si="128"/>
        <v>7913</v>
      </c>
      <c r="DJ71" s="37">
        <f t="shared" si="129"/>
        <v>7914</v>
      </c>
      <c r="DK71" s="37">
        <f t="shared" si="130"/>
        <v>7915</v>
      </c>
      <c r="DL71" s="37">
        <f t="shared" si="131"/>
        <v>7916</v>
      </c>
      <c r="DM71" s="37">
        <f t="shared" si="132"/>
        <v>7917</v>
      </c>
      <c r="DN71" s="37">
        <f t="shared" si="133"/>
        <v>7918</v>
      </c>
      <c r="DO71" s="37">
        <f t="shared" si="134"/>
        <v>7919</v>
      </c>
      <c r="DP71" s="38">
        <f t="shared" si="135"/>
        <v>7920</v>
      </c>
      <c r="DR71" s="958"/>
      <c r="DS71" s="959"/>
      <c r="DT71" s="959"/>
      <c r="DU71" s="960"/>
    </row>
    <row r="72" spans="1:125" ht="5.75" customHeight="1">
      <c r="A72" s="36">
        <f t="shared" si="136"/>
        <v>7921</v>
      </c>
      <c r="B72" s="37">
        <f t="shared" si="17"/>
        <v>7922</v>
      </c>
      <c r="C72" s="37">
        <f t="shared" si="18"/>
        <v>7923</v>
      </c>
      <c r="D72" s="37">
        <f t="shared" si="19"/>
        <v>7924</v>
      </c>
      <c r="E72" s="37">
        <f t="shared" si="20"/>
        <v>7925</v>
      </c>
      <c r="F72" s="37">
        <f t="shared" si="21"/>
        <v>7926</v>
      </c>
      <c r="G72" s="37">
        <f t="shared" si="22"/>
        <v>7927</v>
      </c>
      <c r="H72" s="37">
        <f t="shared" si="23"/>
        <v>7928</v>
      </c>
      <c r="I72" s="37">
        <f t="shared" si="24"/>
        <v>7929</v>
      </c>
      <c r="J72" s="38">
        <f t="shared" si="25"/>
        <v>7930</v>
      </c>
      <c r="K72" s="36">
        <f t="shared" si="26"/>
        <v>7931</v>
      </c>
      <c r="L72" s="37">
        <f t="shared" si="27"/>
        <v>7932</v>
      </c>
      <c r="M72" s="37">
        <f t="shared" si="28"/>
        <v>7933</v>
      </c>
      <c r="N72" s="37">
        <f t="shared" si="29"/>
        <v>7934</v>
      </c>
      <c r="O72" s="37">
        <f t="shared" si="30"/>
        <v>7935</v>
      </c>
      <c r="P72" s="37">
        <f t="shared" si="31"/>
        <v>7936</v>
      </c>
      <c r="Q72" s="37">
        <f t="shared" si="32"/>
        <v>7937</v>
      </c>
      <c r="R72" s="37">
        <f t="shared" si="33"/>
        <v>7938</v>
      </c>
      <c r="S72" s="37">
        <f t="shared" si="34"/>
        <v>7939</v>
      </c>
      <c r="T72" s="38">
        <f t="shared" si="35"/>
        <v>7940</v>
      </c>
      <c r="U72" s="36">
        <f t="shared" si="36"/>
        <v>7941</v>
      </c>
      <c r="V72" s="37">
        <f t="shared" si="37"/>
        <v>7942</v>
      </c>
      <c r="W72" s="37">
        <f t="shared" si="38"/>
        <v>7943</v>
      </c>
      <c r="X72" s="37">
        <f t="shared" si="39"/>
        <v>7944</v>
      </c>
      <c r="Y72" s="37">
        <f t="shared" si="40"/>
        <v>7945</v>
      </c>
      <c r="Z72" s="37">
        <f t="shared" si="41"/>
        <v>7946</v>
      </c>
      <c r="AA72" s="37">
        <f t="shared" si="42"/>
        <v>7947</v>
      </c>
      <c r="AB72" s="37">
        <f t="shared" si="43"/>
        <v>7948</v>
      </c>
      <c r="AC72" s="37">
        <f t="shared" si="44"/>
        <v>7949</v>
      </c>
      <c r="AD72" s="38">
        <f t="shared" si="45"/>
        <v>7950</v>
      </c>
      <c r="AE72" s="36">
        <f t="shared" si="46"/>
        <v>7951</v>
      </c>
      <c r="AF72" s="37">
        <f t="shared" si="47"/>
        <v>7952</v>
      </c>
      <c r="AG72" s="37">
        <f t="shared" si="48"/>
        <v>7953</v>
      </c>
      <c r="AH72" s="37">
        <f t="shared" si="49"/>
        <v>7954</v>
      </c>
      <c r="AI72" s="37">
        <f t="shared" si="50"/>
        <v>7955</v>
      </c>
      <c r="AJ72" s="37">
        <f t="shared" si="51"/>
        <v>7956</v>
      </c>
      <c r="AK72" s="37">
        <f t="shared" si="52"/>
        <v>7957</v>
      </c>
      <c r="AL72" s="37">
        <f t="shared" si="53"/>
        <v>7958</v>
      </c>
      <c r="AM72" s="37">
        <f t="shared" si="54"/>
        <v>7959</v>
      </c>
      <c r="AN72" s="38">
        <f t="shared" si="55"/>
        <v>7960</v>
      </c>
      <c r="AO72" s="36">
        <f t="shared" si="56"/>
        <v>7961</v>
      </c>
      <c r="AP72" s="37">
        <f t="shared" si="57"/>
        <v>7962</v>
      </c>
      <c r="AQ72" s="37">
        <f t="shared" si="58"/>
        <v>7963</v>
      </c>
      <c r="AR72" s="37">
        <f t="shared" si="59"/>
        <v>7964</v>
      </c>
      <c r="AS72" s="37">
        <f t="shared" si="60"/>
        <v>7965</v>
      </c>
      <c r="AT72" s="37">
        <f t="shared" si="61"/>
        <v>7966</v>
      </c>
      <c r="AU72" s="37">
        <f t="shared" si="62"/>
        <v>7967</v>
      </c>
      <c r="AV72" s="37">
        <f t="shared" si="63"/>
        <v>7968</v>
      </c>
      <c r="AW72" s="37">
        <f t="shared" si="64"/>
        <v>7969</v>
      </c>
      <c r="AX72" s="38">
        <f t="shared" si="65"/>
        <v>7970</v>
      </c>
      <c r="AY72" s="36">
        <f t="shared" si="66"/>
        <v>7971</v>
      </c>
      <c r="AZ72" s="37">
        <f t="shared" si="67"/>
        <v>7972</v>
      </c>
      <c r="BA72" s="37">
        <f t="shared" si="68"/>
        <v>7973</v>
      </c>
      <c r="BB72" s="37">
        <f t="shared" si="69"/>
        <v>7974</v>
      </c>
      <c r="BC72" s="37">
        <f t="shared" si="70"/>
        <v>7975</v>
      </c>
      <c r="BD72" s="37">
        <f t="shared" si="71"/>
        <v>7976</v>
      </c>
      <c r="BE72" s="37">
        <f t="shared" si="72"/>
        <v>7977</v>
      </c>
      <c r="BF72" s="37">
        <f t="shared" si="73"/>
        <v>7978</v>
      </c>
      <c r="BG72" s="37">
        <f t="shared" si="74"/>
        <v>7979</v>
      </c>
      <c r="BH72" s="38">
        <f t="shared" si="75"/>
        <v>7980</v>
      </c>
      <c r="BI72" s="36">
        <f t="shared" si="76"/>
        <v>7981</v>
      </c>
      <c r="BJ72" s="37">
        <f t="shared" si="77"/>
        <v>7982</v>
      </c>
      <c r="BK72" s="37">
        <f t="shared" si="78"/>
        <v>7983</v>
      </c>
      <c r="BL72" s="37">
        <f t="shared" si="79"/>
        <v>7984</v>
      </c>
      <c r="BM72" s="37">
        <f t="shared" si="80"/>
        <v>7985</v>
      </c>
      <c r="BN72" s="37">
        <f t="shared" si="81"/>
        <v>7986</v>
      </c>
      <c r="BO72" s="37">
        <f t="shared" si="82"/>
        <v>7987</v>
      </c>
      <c r="BP72" s="37">
        <f t="shared" si="83"/>
        <v>7988</v>
      </c>
      <c r="BQ72" s="37">
        <f t="shared" si="84"/>
        <v>7989</v>
      </c>
      <c r="BR72" s="39">
        <f t="shared" si="85"/>
        <v>7990</v>
      </c>
      <c r="BS72" s="36">
        <f t="shared" si="86"/>
        <v>7991</v>
      </c>
      <c r="BT72" s="37">
        <f t="shared" si="87"/>
        <v>7992</v>
      </c>
      <c r="BU72" s="37">
        <f t="shared" si="88"/>
        <v>7993</v>
      </c>
      <c r="BV72" s="37">
        <f t="shared" si="89"/>
        <v>7994</v>
      </c>
      <c r="BW72" s="37">
        <f t="shared" si="90"/>
        <v>7995</v>
      </c>
      <c r="BX72" s="37">
        <f t="shared" si="91"/>
        <v>7996</v>
      </c>
      <c r="BY72" s="37">
        <f t="shared" si="92"/>
        <v>7997</v>
      </c>
      <c r="BZ72" s="37">
        <f t="shared" si="93"/>
        <v>7998</v>
      </c>
      <c r="CA72" s="37">
        <f t="shared" si="94"/>
        <v>7999</v>
      </c>
      <c r="CB72" s="38">
        <f t="shared" si="95"/>
        <v>8000</v>
      </c>
      <c r="CC72" s="40">
        <f t="shared" si="96"/>
        <v>8001</v>
      </c>
      <c r="CD72" s="37">
        <f t="shared" si="97"/>
        <v>8002</v>
      </c>
      <c r="CE72" s="37">
        <f t="shared" si="98"/>
        <v>8003</v>
      </c>
      <c r="CF72" s="37">
        <f t="shared" si="99"/>
        <v>8004</v>
      </c>
      <c r="CG72" s="37">
        <f t="shared" si="100"/>
        <v>8005</v>
      </c>
      <c r="CH72" s="37">
        <f t="shared" si="101"/>
        <v>8006</v>
      </c>
      <c r="CI72" s="37">
        <f t="shared" si="102"/>
        <v>8007</v>
      </c>
      <c r="CJ72" s="37">
        <f t="shared" si="103"/>
        <v>8008</v>
      </c>
      <c r="CK72" s="37">
        <f t="shared" si="104"/>
        <v>8009</v>
      </c>
      <c r="CL72" s="39">
        <f t="shared" si="105"/>
        <v>8010</v>
      </c>
      <c r="CM72" s="36">
        <f t="shared" si="106"/>
        <v>8011</v>
      </c>
      <c r="CN72" s="37">
        <f t="shared" si="107"/>
        <v>8012</v>
      </c>
      <c r="CO72" s="37">
        <f t="shared" si="108"/>
        <v>8013</v>
      </c>
      <c r="CP72" s="37">
        <f t="shared" si="109"/>
        <v>8014</v>
      </c>
      <c r="CQ72" s="37">
        <f t="shared" si="110"/>
        <v>8015</v>
      </c>
      <c r="CR72" s="37">
        <f t="shared" si="111"/>
        <v>8016</v>
      </c>
      <c r="CS72" s="37">
        <f t="shared" si="112"/>
        <v>8017</v>
      </c>
      <c r="CT72" s="37">
        <f t="shared" si="113"/>
        <v>8018</v>
      </c>
      <c r="CU72" s="37">
        <f t="shared" si="114"/>
        <v>8019</v>
      </c>
      <c r="CV72" s="38">
        <f t="shared" si="115"/>
        <v>8020</v>
      </c>
      <c r="CW72" s="40">
        <f t="shared" si="116"/>
        <v>8021</v>
      </c>
      <c r="CX72" s="37">
        <f t="shared" si="117"/>
        <v>8022</v>
      </c>
      <c r="CY72" s="37">
        <f t="shared" si="118"/>
        <v>8023</v>
      </c>
      <c r="CZ72" s="37">
        <f t="shared" si="119"/>
        <v>8024</v>
      </c>
      <c r="DA72" s="37">
        <f t="shared" si="120"/>
        <v>8025</v>
      </c>
      <c r="DB72" s="37">
        <f t="shared" si="121"/>
        <v>8026</v>
      </c>
      <c r="DC72" s="37">
        <f t="shared" si="122"/>
        <v>8027</v>
      </c>
      <c r="DD72" s="37">
        <f t="shared" si="123"/>
        <v>8028</v>
      </c>
      <c r="DE72" s="37">
        <f t="shared" si="124"/>
        <v>8029</v>
      </c>
      <c r="DF72" s="39">
        <f t="shared" si="125"/>
        <v>8030</v>
      </c>
      <c r="DG72" s="36">
        <f t="shared" si="126"/>
        <v>8031</v>
      </c>
      <c r="DH72" s="37">
        <f t="shared" si="127"/>
        <v>8032</v>
      </c>
      <c r="DI72" s="37">
        <f t="shared" si="128"/>
        <v>8033</v>
      </c>
      <c r="DJ72" s="37">
        <f t="shared" si="129"/>
        <v>8034</v>
      </c>
      <c r="DK72" s="37">
        <f t="shared" si="130"/>
        <v>8035</v>
      </c>
      <c r="DL72" s="37">
        <f t="shared" si="131"/>
        <v>8036</v>
      </c>
      <c r="DM72" s="37">
        <f t="shared" si="132"/>
        <v>8037</v>
      </c>
      <c r="DN72" s="37">
        <f t="shared" si="133"/>
        <v>8038</v>
      </c>
      <c r="DO72" s="37">
        <f t="shared" si="134"/>
        <v>8039</v>
      </c>
      <c r="DP72" s="38">
        <f t="shared" si="135"/>
        <v>8040</v>
      </c>
      <c r="DR72" s="958"/>
      <c r="DS72" s="959"/>
      <c r="DT72" s="959"/>
      <c r="DU72" s="960"/>
    </row>
    <row r="73" spans="1:125" ht="5.75" customHeight="1">
      <c r="A73" s="36">
        <f t="shared" si="136"/>
        <v>8041</v>
      </c>
      <c r="B73" s="37">
        <f t="shared" si="17"/>
        <v>8042</v>
      </c>
      <c r="C73" s="37">
        <f t="shared" si="18"/>
        <v>8043</v>
      </c>
      <c r="D73" s="37">
        <f t="shared" si="19"/>
        <v>8044</v>
      </c>
      <c r="E73" s="37">
        <f t="shared" si="20"/>
        <v>8045</v>
      </c>
      <c r="F73" s="37">
        <f t="shared" si="21"/>
        <v>8046</v>
      </c>
      <c r="G73" s="37">
        <f t="shared" si="22"/>
        <v>8047</v>
      </c>
      <c r="H73" s="37">
        <f t="shared" si="23"/>
        <v>8048</v>
      </c>
      <c r="I73" s="37">
        <f t="shared" si="24"/>
        <v>8049</v>
      </c>
      <c r="J73" s="38">
        <f t="shared" si="25"/>
        <v>8050</v>
      </c>
      <c r="K73" s="36">
        <f t="shared" si="26"/>
        <v>8051</v>
      </c>
      <c r="L73" s="37">
        <f t="shared" si="27"/>
        <v>8052</v>
      </c>
      <c r="M73" s="37">
        <f t="shared" si="28"/>
        <v>8053</v>
      </c>
      <c r="N73" s="37">
        <f t="shared" si="29"/>
        <v>8054</v>
      </c>
      <c r="O73" s="37">
        <f t="shared" si="30"/>
        <v>8055</v>
      </c>
      <c r="P73" s="37">
        <f t="shared" si="31"/>
        <v>8056</v>
      </c>
      <c r="Q73" s="37">
        <f t="shared" si="32"/>
        <v>8057</v>
      </c>
      <c r="R73" s="37">
        <f t="shared" si="33"/>
        <v>8058</v>
      </c>
      <c r="S73" s="37">
        <f t="shared" si="34"/>
        <v>8059</v>
      </c>
      <c r="T73" s="38">
        <f t="shared" si="35"/>
        <v>8060</v>
      </c>
      <c r="U73" s="36">
        <f t="shared" si="36"/>
        <v>8061</v>
      </c>
      <c r="V73" s="37">
        <f t="shared" si="37"/>
        <v>8062</v>
      </c>
      <c r="W73" s="37">
        <f t="shared" si="38"/>
        <v>8063</v>
      </c>
      <c r="X73" s="37">
        <f t="shared" si="39"/>
        <v>8064</v>
      </c>
      <c r="Y73" s="37">
        <f t="shared" si="40"/>
        <v>8065</v>
      </c>
      <c r="Z73" s="37">
        <f t="shared" si="41"/>
        <v>8066</v>
      </c>
      <c r="AA73" s="37">
        <f t="shared" si="42"/>
        <v>8067</v>
      </c>
      <c r="AB73" s="37">
        <f t="shared" si="43"/>
        <v>8068</v>
      </c>
      <c r="AC73" s="37">
        <f t="shared" si="44"/>
        <v>8069</v>
      </c>
      <c r="AD73" s="38">
        <f t="shared" si="45"/>
        <v>8070</v>
      </c>
      <c r="AE73" s="36">
        <f t="shared" si="46"/>
        <v>8071</v>
      </c>
      <c r="AF73" s="37">
        <f t="shared" si="47"/>
        <v>8072</v>
      </c>
      <c r="AG73" s="37">
        <f t="shared" si="48"/>
        <v>8073</v>
      </c>
      <c r="AH73" s="37">
        <f t="shared" si="49"/>
        <v>8074</v>
      </c>
      <c r="AI73" s="37">
        <f t="shared" si="50"/>
        <v>8075</v>
      </c>
      <c r="AJ73" s="37">
        <f t="shared" si="51"/>
        <v>8076</v>
      </c>
      <c r="AK73" s="37">
        <f t="shared" si="52"/>
        <v>8077</v>
      </c>
      <c r="AL73" s="37">
        <f t="shared" si="53"/>
        <v>8078</v>
      </c>
      <c r="AM73" s="37">
        <f t="shared" si="54"/>
        <v>8079</v>
      </c>
      <c r="AN73" s="38">
        <f t="shared" si="55"/>
        <v>8080</v>
      </c>
      <c r="AO73" s="36">
        <f t="shared" si="56"/>
        <v>8081</v>
      </c>
      <c r="AP73" s="37">
        <f t="shared" si="57"/>
        <v>8082</v>
      </c>
      <c r="AQ73" s="37">
        <f t="shared" si="58"/>
        <v>8083</v>
      </c>
      <c r="AR73" s="37">
        <f t="shared" si="59"/>
        <v>8084</v>
      </c>
      <c r="AS73" s="37">
        <f t="shared" si="60"/>
        <v>8085</v>
      </c>
      <c r="AT73" s="37">
        <f t="shared" si="61"/>
        <v>8086</v>
      </c>
      <c r="AU73" s="37">
        <f t="shared" si="62"/>
        <v>8087</v>
      </c>
      <c r="AV73" s="37">
        <f t="shared" si="63"/>
        <v>8088</v>
      </c>
      <c r="AW73" s="37">
        <f t="shared" si="64"/>
        <v>8089</v>
      </c>
      <c r="AX73" s="38">
        <f t="shared" si="65"/>
        <v>8090</v>
      </c>
      <c r="AY73" s="36">
        <f t="shared" si="66"/>
        <v>8091</v>
      </c>
      <c r="AZ73" s="37">
        <f t="shared" si="67"/>
        <v>8092</v>
      </c>
      <c r="BA73" s="37">
        <f t="shared" si="68"/>
        <v>8093</v>
      </c>
      <c r="BB73" s="37">
        <f t="shared" si="69"/>
        <v>8094</v>
      </c>
      <c r="BC73" s="37">
        <f t="shared" si="70"/>
        <v>8095</v>
      </c>
      <c r="BD73" s="37">
        <f t="shared" si="71"/>
        <v>8096</v>
      </c>
      <c r="BE73" s="37">
        <f t="shared" si="72"/>
        <v>8097</v>
      </c>
      <c r="BF73" s="37">
        <f t="shared" si="73"/>
        <v>8098</v>
      </c>
      <c r="BG73" s="37">
        <f t="shared" si="74"/>
        <v>8099</v>
      </c>
      <c r="BH73" s="38">
        <f t="shared" si="75"/>
        <v>8100</v>
      </c>
      <c r="BI73" s="36">
        <f t="shared" si="76"/>
        <v>8101</v>
      </c>
      <c r="BJ73" s="37">
        <f t="shared" si="77"/>
        <v>8102</v>
      </c>
      <c r="BK73" s="37">
        <f t="shared" si="78"/>
        <v>8103</v>
      </c>
      <c r="BL73" s="37">
        <f t="shared" si="79"/>
        <v>8104</v>
      </c>
      <c r="BM73" s="37">
        <f t="shared" si="80"/>
        <v>8105</v>
      </c>
      <c r="BN73" s="37">
        <f t="shared" si="81"/>
        <v>8106</v>
      </c>
      <c r="BO73" s="37">
        <f t="shared" si="82"/>
        <v>8107</v>
      </c>
      <c r="BP73" s="37">
        <f t="shared" si="83"/>
        <v>8108</v>
      </c>
      <c r="BQ73" s="37">
        <f t="shared" si="84"/>
        <v>8109</v>
      </c>
      <c r="BR73" s="39">
        <f t="shared" si="85"/>
        <v>8110</v>
      </c>
      <c r="BS73" s="36">
        <f t="shared" si="86"/>
        <v>8111</v>
      </c>
      <c r="BT73" s="37">
        <f t="shared" si="87"/>
        <v>8112</v>
      </c>
      <c r="BU73" s="37">
        <f t="shared" si="88"/>
        <v>8113</v>
      </c>
      <c r="BV73" s="37">
        <f t="shared" si="89"/>
        <v>8114</v>
      </c>
      <c r="BW73" s="37">
        <f t="shared" si="90"/>
        <v>8115</v>
      </c>
      <c r="BX73" s="37">
        <f t="shared" si="91"/>
        <v>8116</v>
      </c>
      <c r="BY73" s="37">
        <f t="shared" si="92"/>
        <v>8117</v>
      </c>
      <c r="BZ73" s="37">
        <f t="shared" si="93"/>
        <v>8118</v>
      </c>
      <c r="CA73" s="37">
        <f t="shared" si="94"/>
        <v>8119</v>
      </c>
      <c r="CB73" s="38">
        <f t="shared" si="95"/>
        <v>8120</v>
      </c>
      <c r="CC73" s="40">
        <f t="shared" si="96"/>
        <v>8121</v>
      </c>
      <c r="CD73" s="37">
        <f t="shared" si="97"/>
        <v>8122</v>
      </c>
      <c r="CE73" s="37">
        <f t="shared" si="98"/>
        <v>8123</v>
      </c>
      <c r="CF73" s="37">
        <f t="shared" si="99"/>
        <v>8124</v>
      </c>
      <c r="CG73" s="37">
        <f t="shared" si="100"/>
        <v>8125</v>
      </c>
      <c r="CH73" s="37">
        <f t="shared" si="101"/>
        <v>8126</v>
      </c>
      <c r="CI73" s="37">
        <f t="shared" si="102"/>
        <v>8127</v>
      </c>
      <c r="CJ73" s="37">
        <f t="shared" si="103"/>
        <v>8128</v>
      </c>
      <c r="CK73" s="37">
        <f t="shared" si="104"/>
        <v>8129</v>
      </c>
      <c r="CL73" s="39">
        <f t="shared" si="105"/>
        <v>8130</v>
      </c>
      <c r="CM73" s="36">
        <f t="shared" si="106"/>
        <v>8131</v>
      </c>
      <c r="CN73" s="37">
        <f t="shared" si="107"/>
        <v>8132</v>
      </c>
      <c r="CO73" s="37">
        <f t="shared" si="108"/>
        <v>8133</v>
      </c>
      <c r="CP73" s="37">
        <f t="shared" si="109"/>
        <v>8134</v>
      </c>
      <c r="CQ73" s="37">
        <f t="shared" si="110"/>
        <v>8135</v>
      </c>
      <c r="CR73" s="37">
        <f t="shared" si="111"/>
        <v>8136</v>
      </c>
      <c r="CS73" s="37">
        <f t="shared" si="112"/>
        <v>8137</v>
      </c>
      <c r="CT73" s="37">
        <f t="shared" si="113"/>
        <v>8138</v>
      </c>
      <c r="CU73" s="37">
        <f t="shared" si="114"/>
        <v>8139</v>
      </c>
      <c r="CV73" s="38">
        <f t="shared" si="115"/>
        <v>8140</v>
      </c>
      <c r="CW73" s="40">
        <f t="shared" si="116"/>
        <v>8141</v>
      </c>
      <c r="CX73" s="37">
        <f t="shared" si="117"/>
        <v>8142</v>
      </c>
      <c r="CY73" s="37">
        <f t="shared" si="118"/>
        <v>8143</v>
      </c>
      <c r="CZ73" s="37">
        <f t="shared" si="119"/>
        <v>8144</v>
      </c>
      <c r="DA73" s="37">
        <f t="shared" si="120"/>
        <v>8145</v>
      </c>
      <c r="DB73" s="37">
        <f t="shared" si="121"/>
        <v>8146</v>
      </c>
      <c r="DC73" s="37">
        <f t="shared" si="122"/>
        <v>8147</v>
      </c>
      <c r="DD73" s="37">
        <f t="shared" si="123"/>
        <v>8148</v>
      </c>
      <c r="DE73" s="37">
        <f t="shared" si="124"/>
        <v>8149</v>
      </c>
      <c r="DF73" s="39">
        <f t="shared" si="125"/>
        <v>8150</v>
      </c>
      <c r="DG73" s="36">
        <f t="shared" si="126"/>
        <v>8151</v>
      </c>
      <c r="DH73" s="37">
        <f t="shared" si="127"/>
        <v>8152</v>
      </c>
      <c r="DI73" s="37">
        <f t="shared" si="128"/>
        <v>8153</v>
      </c>
      <c r="DJ73" s="37">
        <f t="shared" si="129"/>
        <v>8154</v>
      </c>
      <c r="DK73" s="37">
        <f t="shared" si="130"/>
        <v>8155</v>
      </c>
      <c r="DL73" s="37">
        <f t="shared" si="131"/>
        <v>8156</v>
      </c>
      <c r="DM73" s="37">
        <f t="shared" si="132"/>
        <v>8157</v>
      </c>
      <c r="DN73" s="37">
        <f t="shared" si="133"/>
        <v>8158</v>
      </c>
      <c r="DO73" s="37">
        <f t="shared" si="134"/>
        <v>8159</v>
      </c>
      <c r="DP73" s="38">
        <f t="shared" si="135"/>
        <v>8160</v>
      </c>
      <c r="DR73" s="958">
        <v>200</v>
      </c>
      <c r="DS73" s="959"/>
      <c r="DT73" s="959"/>
      <c r="DU73" s="960"/>
    </row>
    <row r="74" spans="1:125" ht="5.75" customHeight="1">
      <c r="A74" s="36">
        <f t="shared" si="136"/>
        <v>8161</v>
      </c>
      <c r="B74" s="37">
        <f t="shared" si="17"/>
        <v>8162</v>
      </c>
      <c r="C74" s="37">
        <f t="shared" si="18"/>
        <v>8163</v>
      </c>
      <c r="D74" s="37">
        <f t="shared" si="19"/>
        <v>8164</v>
      </c>
      <c r="E74" s="37">
        <f t="shared" si="20"/>
        <v>8165</v>
      </c>
      <c r="F74" s="37">
        <f t="shared" si="21"/>
        <v>8166</v>
      </c>
      <c r="G74" s="37">
        <f t="shared" si="22"/>
        <v>8167</v>
      </c>
      <c r="H74" s="37">
        <f t="shared" si="23"/>
        <v>8168</v>
      </c>
      <c r="I74" s="37">
        <f t="shared" si="24"/>
        <v>8169</v>
      </c>
      <c r="J74" s="38">
        <f t="shared" si="25"/>
        <v>8170</v>
      </c>
      <c r="K74" s="36">
        <f t="shared" si="26"/>
        <v>8171</v>
      </c>
      <c r="L74" s="37">
        <f t="shared" si="27"/>
        <v>8172</v>
      </c>
      <c r="M74" s="37">
        <f t="shared" si="28"/>
        <v>8173</v>
      </c>
      <c r="N74" s="37">
        <f t="shared" si="29"/>
        <v>8174</v>
      </c>
      <c r="O74" s="37">
        <f t="shared" si="30"/>
        <v>8175</v>
      </c>
      <c r="P74" s="37">
        <f t="shared" si="31"/>
        <v>8176</v>
      </c>
      <c r="Q74" s="37">
        <f t="shared" si="32"/>
        <v>8177</v>
      </c>
      <c r="R74" s="37">
        <f t="shared" si="33"/>
        <v>8178</v>
      </c>
      <c r="S74" s="37">
        <f t="shared" si="34"/>
        <v>8179</v>
      </c>
      <c r="T74" s="38">
        <f t="shared" si="35"/>
        <v>8180</v>
      </c>
      <c r="U74" s="36">
        <f t="shared" si="36"/>
        <v>8181</v>
      </c>
      <c r="V74" s="37">
        <f t="shared" si="37"/>
        <v>8182</v>
      </c>
      <c r="W74" s="37">
        <f t="shared" si="38"/>
        <v>8183</v>
      </c>
      <c r="X74" s="37">
        <f t="shared" si="39"/>
        <v>8184</v>
      </c>
      <c r="Y74" s="37">
        <f t="shared" si="40"/>
        <v>8185</v>
      </c>
      <c r="Z74" s="37">
        <f t="shared" si="41"/>
        <v>8186</v>
      </c>
      <c r="AA74" s="37">
        <f t="shared" si="42"/>
        <v>8187</v>
      </c>
      <c r="AB74" s="37">
        <f t="shared" si="43"/>
        <v>8188</v>
      </c>
      <c r="AC74" s="37">
        <f t="shared" si="44"/>
        <v>8189</v>
      </c>
      <c r="AD74" s="38">
        <f t="shared" si="45"/>
        <v>8190</v>
      </c>
      <c r="AE74" s="36">
        <f t="shared" si="46"/>
        <v>8191</v>
      </c>
      <c r="AF74" s="37">
        <f t="shared" si="47"/>
        <v>8192</v>
      </c>
      <c r="AG74" s="37">
        <f t="shared" si="48"/>
        <v>8193</v>
      </c>
      <c r="AH74" s="37">
        <f t="shared" si="49"/>
        <v>8194</v>
      </c>
      <c r="AI74" s="37">
        <f t="shared" si="50"/>
        <v>8195</v>
      </c>
      <c r="AJ74" s="37">
        <f t="shared" si="51"/>
        <v>8196</v>
      </c>
      <c r="AK74" s="37">
        <f t="shared" si="52"/>
        <v>8197</v>
      </c>
      <c r="AL74" s="37">
        <f t="shared" si="53"/>
        <v>8198</v>
      </c>
      <c r="AM74" s="37">
        <f t="shared" si="54"/>
        <v>8199</v>
      </c>
      <c r="AN74" s="38">
        <f t="shared" si="55"/>
        <v>8200</v>
      </c>
      <c r="AO74" s="36">
        <f t="shared" si="56"/>
        <v>8201</v>
      </c>
      <c r="AP74" s="37">
        <f t="shared" si="57"/>
        <v>8202</v>
      </c>
      <c r="AQ74" s="37">
        <f t="shared" si="58"/>
        <v>8203</v>
      </c>
      <c r="AR74" s="37">
        <f t="shared" si="59"/>
        <v>8204</v>
      </c>
      <c r="AS74" s="37">
        <f t="shared" si="60"/>
        <v>8205</v>
      </c>
      <c r="AT74" s="37">
        <f t="shared" si="61"/>
        <v>8206</v>
      </c>
      <c r="AU74" s="37">
        <f t="shared" si="62"/>
        <v>8207</v>
      </c>
      <c r="AV74" s="37">
        <f t="shared" si="63"/>
        <v>8208</v>
      </c>
      <c r="AW74" s="37">
        <f t="shared" si="64"/>
        <v>8209</v>
      </c>
      <c r="AX74" s="38">
        <f t="shared" si="65"/>
        <v>8210</v>
      </c>
      <c r="AY74" s="36">
        <f t="shared" si="66"/>
        <v>8211</v>
      </c>
      <c r="AZ74" s="37">
        <f t="shared" si="67"/>
        <v>8212</v>
      </c>
      <c r="BA74" s="37">
        <f t="shared" si="68"/>
        <v>8213</v>
      </c>
      <c r="BB74" s="37">
        <f t="shared" si="69"/>
        <v>8214</v>
      </c>
      <c r="BC74" s="37">
        <f t="shared" si="70"/>
        <v>8215</v>
      </c>
      <c r="BD74" s="37">
        <f t="shared" si="71"/>
        <v>8216</v>
      </c>
      <c r="BE74" s="37">
        <f t="shared" si="72"/>
        <v>8217</v>
      </c>
      <c r="BF74" s="37">
        <f t="shared" si="73"/>
        <v>8218</v>
      </c>
      <c r="BG74" s="37">
        <f t="shared" si="74"/>
        <v>8219</v>
      </c>
      <c r="BH74" s="38">
        <f t="shared" si="75"/>
        <v>8220</v>
      </c>
      <c r="BI74" s="36">
        <f t="shared" si="76"/>
        <v>8221</v>
      </c>
      <c r="BJ74" s="37">
        <f t="shared" si="77"/>
        <v>8222</v>
      </c>
      <c r="BK74" s="37">
        <f t="shared" si="78"/>
        <v>8223</v>
      </c>
      <c r="BL74" s="37">
        <f t="shared" si="79"/>
        <v>8224</v>
      </c>
      <c r="BM74" s="37">
        <f t="shared" si="80"/>
        <v>8225</v>
      </c>
      <c r="BN74" s="37">
        <f t="shared" si="81"/>
        <v>8226</v>
      </c>
      <c r="BO74" s="37">
        <f t="shared" si="82"/>
        <v>8227</v>
      </c>
      <c r="BP74" s="37">
        <f t="shared" si="83"/>
        <v>8228</v>
      </c>
      <c r="BQ74" s="37">
        <f t="shared" si="84"/>
        <v>8229</v>
      </c>
      <c r="BR74" s="39">
        <f t="shared" si="85"/>
        <v>8230</v>
      </c>
      <c r="BS74" s="36">
        <f t="shared" si="86"/>
        <v>8231</v>
      </c>
      <c r="BT74" s="37">
        <f t="shared" si="87"/>
        <v>8232</v>
      </c>
      <c r="BU74" s="37">
        <f t="shared" si="88"/>
        <v>8233</v>
      </c>
      <c r="BV74" s="37">
        <f t="shared" si="89"/>
        <v>8234</v>
      </c>
      <c r="BW74" s="37">
        <f t="shared" si="90"/>
        <v>8235</v>
      </c>
      <c r="BX74" s="37">
        <f t="shared" si="91"/>
        <v>8236</v>
      </c>
      <c r="BY74" s="37">
        <f t="shared" si="92"/>
        <v>8237</v>
      </c>
      <c r="BZ74" s="37">
        <f t="shared" si="93"/>
        <v>8238</v>
      </c>
      <c r="CA74" s="37">
        <f t="shared" si="94"/>
        <v>8239</v>
      </c>
      <c r="CB74" s="38">
        <f t="shared" si="95"/>
        <v>8240</v>
      </c>
      <c r="CC74" s="40">
        <f t="shared" si="96"/>
        <v>8241</v>
      </c>
      <c r="CD74" s="37">
        <f t="shared" si="97"/>
        <v>8242</v>
      </c>
      <c r="CE74" s="37">
        <f t="shared" si="98"/>
        <v>8243</v>
      </c>
      <c r="CF74" s="37">
        <f t="shared" si="99"/>
        <v>8244</v>
      </c>
      <c r="CG74" s="37">
        <f t="shared" si="100"/>
        <v>8245</v>
      </c>
      <c r="CH74" s="37">
        <f t="shared" si="101"/>
        <v>8246</v>
      </c>
      <c r="CI74" s="37">
        <f t="shared" si="102"/>
        <v>8247</v>
      </c>
      <c r="CJ74" s="37">
        <f t="shared" si="103"/>
        <v>8248</v>
      </c>
      <c r="CK74" s="37">
        <f t="shared" si="104"/>
        <v>8249</v>
      </c>
      <c r="CL74" s="39">
        <f t="shared" si="105"/>
        <v>8250</v>
      </c>
      <c r="CM74" s="36">
        <f t="shared" si="106"/>
        <v>8251</v>
      </c>
      <c r="CN74" s="37">
        <f t="shared" si="107"/>
        <v>8252</v>
      </c>
      <c r="CO74" s="37">
        <f t="shared" si="108"/>
        <v>8253</v>
      </c>
      <c r="CP74" s="37">
        <f t="shared" si="109"/>
        <v>8254</v>
      </c>
      <c r="CQ74" s="37">
        <f t="shared" si="110"/>
        <v>8255</v>
      </c>
      <c r="CR74" s="37">
        <f t="shared" si="111"/>
        <v>8256</v>
      </c>
      <c r="CS74" s="37">
        <f t="shared" si="112"/>
        <v>8257</v>
      </c>
      <c r="CT74" s="37">
        <f t="shared" si="113"/>
        <v>8258</v>
      </c>
      <c r="CU74" s="37">
        <f t="shared" si="114"/>
        <v>8259</v>
      </c>
      <c r="CV74" s="38">
        <f t="shared" si="115"/>
        <v>8260</v>
      </c>
      <c r="CW74" s="40">
        <f t="shared" si="116"/>
        <v>8261</v>
      </c>
      <c r="CX74" s="37">
        <f t="shared" si="117"/>
        <v>8262</v>
      </c>
      <c r="CY74" s="37">
        <f t="shared" si="118"/>
        <v>8263</v>
      </c>
      <c r="CZ74" s="37">
        <f t="shared" si="119"/>
        <v>8264</v>
      </c>
      <c r="DA74" s="37">
        <f t="shared" si="120"/>
        <v>8265</v>
      </c>
      <c r="DB74" s="37">
        <f t="shared" si="121"/>
        <v>8266</v>
      </c>
      <c r="DC74" s="37">
        <f t="shared" si="122"/>
        <v>8267</v>
      </c>
      <c r="DD74" s="37">
        <f t="shared" si="123"/>
        <v>8268</v>
      </c>
      <c r="DE74" s="37">
        <f t="shared" si="124"/>
        <v>8269</v>
      </c>
      <c r="DF74" s="39">
        <f t="shared" si="125"/>
        <v>8270</v>
      </c>
      <c r="DG74" s="36">
        <f t="shared" si="126"/>
        <v>8271</v>
      </c>
      <c r="DH74" s="37">
        <f t="shared" si="127"/>
        <v>8272</v>
      </c>
      <c r="DI74" s="37">
        <f t="shared" si="128"/>
        <v>8273</v>
      </c>
      <c r="DJ74" s="37">
        <f t="shared" si="129"/>
        <v>8274</v>
      </c>
      <c r="DK74" s="37">
        <f t="shared" si="130"/>
        <v>8275</v>
      </c>
      <c r="DL74" s="37">
        <f t="shared" si="131"/>
        <v>8276</v>
      </c>
      <c r="DM74" s="37">
        <f t="shared" si="132"/>
        <v>8277</v>
      </c>
      <c r="DN74" s="37">
        <f t="shared" si="133"/>
        <v>8278</v>
      </c>
      <c r="DO74" s="37">
        <f t="shared" si="134"/>
        <v>8279</v>
      </c>
      <c r="DP74" s="38">
        <f t="shared" si="135"/>
        <v>8280</v>
      </c>
      <c r="DR74" s="958"/>
      <c r="DS74" s="959"/>
      <c r="DT74" s="959"/>
      <c r="DU74" s="960"/>
    </row>
    <row r="75" spans="1:125" ht="5.75" customHeight="1">
      <c r="A75" s="36">
        <f t="shared" si="136"/>
        <v>8281</v>
      </c>
      <c r="B75" s="37">
        <f t="shared" si="17"/>
        <v>8282</v>
      </c>
      <c r="C75" s="37">
        <f t="shared" si="18"/>
        <v>8283</v>
      </c>
      <c r="D75" s="37">
        <f t="shared" si="19"/>
        <v>8284</v>
      </c>
      <c r="E75" s="37">
        <f t="shared" si="20"/>
        <v>8285</v>
      </c>
      <c r="F75" s="37">
        <f t="shared" si="21"/>
        <v>8286</v>
      </c>
      <c r="G75" s="37">
        <f t="shared" si="22"/>
        <v>8287</v>
      </c>
      <c r="H75" s="37">
        <f t="shared" si="23"/>
        <v>8288</v>
      </c>
      <c r="I75" s="37">
        <f t="shared" si="24"/>
        <v>8289</v>
      </c>
      <c r="J75" s="38">
        <f t="shared" si="25"/>
        <v>8290</v>
      </c>
      <c r="K75" s="36">
        <f t="shared" si="26"/>
        <v>8291</v>
      </c>
      <c r="L75" s="37">
        <f t="shared" si="27"/>
        <v>8292</v>
      </c>
      <c r="M75" s="37">
        <f t="shared" si="28"/>
        <v>8293</v>
      </c>
      <c r="N75" s="37">
        <f t="shared" si="29"/>
        <v>8294</v>
      </c>
      <c r="O75" s="37">
        <f t="shared" si="30"/>
        <v>8295</v>
      </c>
      <c r="P75" s="37">
        <f t="shared" si="31"/>
        <v>8296</v>
      </c>
      <c r="Q75" s="37">
        <f t="shared" si="32"/>
        <v>8297</v>
      </c>
      <c r="R75" s="37">
        <f t="shared" si="33"/>
        <v>8298</v>
      </c>
      <c r="S75" s="37">
        <f t="shared" si="34"/>
        <v>8299</v>
      </c>
      <c r="T75" s="38">
        <f t="shared" si="35"/>
        <v>8300</v>
      </c>
      <c r="U75" s="36">
        <f t="shared" si="36"/>
        <v>8301</v>
      </c>
      <c r="V75" s="37">
        <f t="shared" si="37"/>
        <v>8302</v>
      </c>
      <c r="W75" s="37">
        <f t="shared" si="38"/>
        <v>8303</v>
      </c>
      <c r="X75" s="37">
        <f t="shared" si="39"/>
        <v>8304</v>
      </c>
      <c r="Y75" s="37">
        <f t="shared" si="40"/>
        <v>8305</v>
      </c>
      <c r="Z75" s="37">
        <f t="shared" si="41"/>
        <v>8306</v>
      </c>
      <c r="AA75" s="37">
        <f t="shared" si="42"/>
        <v>8307</v>
      </c>
      <c r="AB75" s="37">
        <f t="shared" si="43"/>
        <v>8308</v>
      </c>
      <c r="AC75" s="37">
        <f t="shared" si="44"/>
        <v>8309</v>
      </c>
      <c r="AD75" s="38">
        <f t="shared" si="45"/>
        <v>8310</v>
      </c>
      <c r="AE75" s="36">
        <f t="shared" si="46"/>
        <v>8311</v>
      </c>
      <c r="AF75" s="37">
        <f t="shared" si="47"/>
        <v>8312</v>
      </c>
      <c r="AG75" s="37">
        <f t="shared" si="48"/>
        <v>8313</v>
      </c>
      <c r="AH75" s="37">
        <f t="shared" si="49"/>
        <v>8314</v>
      </c>
      <c r="AI75" s="37">
        <f t="shared" si="50"/>
        <v>8315</v>
      </c>
      <c r="AJ75" s="37">
        <f t="shared" si="51"/>
        <v>8316</v>
      </c>
      <c r="AK75" s="37">
        <f t="shared" si="52"/>
        <v>8317</v>
      </c>
      <c r="AL75" s="37">
        <f t="shared" si="53"/>
        <v>8318</v>
      </c>
      <c r="AM75" s="37">
        <f t="shared" si="54"/>
        <v>8319</v>
      </c>
      <c r="AN75" s="38">
        <f t="shared" si="55"/>
        <v>8320</v>
      </c>
      <c r="AO75" s="36">
        <f t="shared" si="56"/>
        <v>8321</v>
      </c>
      <c r="AP75" s="37">
        <f t="shared" si="57"/>
        <v>8322</v>
      </c>
      <c r="AQ75" s="37">
        <f t="shared" si="58"/>
        <v>8323</v>
      </c>
      <c r="AR75" s="37">
        <f t="shared" si="59"/>
        <v>8324</v>
      </c>
      <c r="AS75" s="37">
        <f t="shared" si="60"/>
        <v>8325</v>
      </c>
      <c r="AT75" s="37">
        <f t="shared" si="61"/>
        <v>8326</v>
      </c>
      <c r="AU75" s="37">
        <f t="shared" si="62"/>
        <v>8327</v>
      </c>
      <c r="AV75" s="37">
        <f t="shared" si="63"/>
        <v>8328</v>
      </c>
      <c r="AW75" s="37">
        <f t="shared" si="64"/>
        <v>8329</v>
      </c>
      <c r="AX75" s="38">
        <f t="shared" si="65"/>
        <v>8330</v>
      </c>
      <c r="AY75" s="36">
        <f t="shared" si="66"/>
        <v>8331</v>
      </c>
      <c r="AZ75" s="37">
        <f t="shared" si="67"/>
        <v>8332</v>
      </c>
      <c r="BA75" s="37">
        <f t="shared" si="68"/>
        <v>8333</v>
      </c>
      <c r="BB75" s="37">
        <f t="shared" si="69"/>
        <v>8334</v>
      </c>
      <c r="BC75" s="37">
        <f t="shared" si="70"/>
        <v>8335</v>
      </c>
      <c r="BD75" s="37">
        <f t="shared" si="71"/>
        <v>8336</v>
      </c>
      <c r="BE75" s="37">
        <f t="shared" si="72"/>
        <v>8337</v>
      </c>
      <c r="BF75" s="37">
        <f t="shared" si="73"/>
        <v>8338</v>
      </c>
      <c r="BG75" s="37">
        <f t="shared" si="74"/>
        <v>8339</v>
      </c>
      <c r="BH75" s="38">
        <f t="shared" si="75"/>
        <v>8340</v>
      </c>
      <c r="BI75" s="36">
        <f t="shared" si="76"/>
        <v>8341</v>
      </c>
      <c r="BJ75" s="37">
        <f t="shared" si="77"/>
        <v>8342</v>
      </c>
      <c r="BK75" s="37">
        <f t="shared" si="78"/>
        <v>8343</v>
      </c>
      <c r="BL75" s="37">
        <f t="shared" si="79"/>
        <v>8344</v>
      </c>
      <c r="BM75" s="37">
        <f t="shared" si="80"/>
        <v>8345</v>
      </c>
      <c r="BN75" s="37">
        <f t="shared" si="81"/>
        <v>8346</v>
      </c>
      <c r="BO75" s="37">
        <f t="shared" si="82"/>
        <v>8347</v>
      </c>
      <c r="BP75" s="37">
        <f t="shared" si="83"/>
        <v>8348</v>
      </c>
      <c r="BQ75" s="37">
        <f t="shared" si="84"/>
        <v>8349</v>
      </c>
      <c r="BR75" s="39">
        <f t="shared" si="85"/>
        <v>8350</v>
      </c>
      <c r="BS75" s="36">
        <f t="shared" si="86"/>
        <v>8351</v>
      </c>
      <c r="BT75" s="37">
        <f t="shared" si="87"/>
        <v>8352</v>
      </c>
      <c r="BU75" s="37">
        <f t="shared" si="88"/>
        <v>8353</v>
      </c>
      <c r="BV75" s="37">
        <f t="shared" si="89"/>
        <v>8354</v>
      </c>
      <c r="BW75" s="37">
        <f t="shared" si="90"/>
        <v>8355</v>
      </c>
      <c r="BX75" s="37">
        <f t="shared" si="91"/>
        <v>8356</v>
      </c>
      <c r="BY75" s="37">
        <f t="shared" si="92"/>
        <v>8357</v>
      </c>
      <c r="BZ75" s="37">
        <f t="shared" si="93"/>
        <v>8358</v>
      </c>
      <c r="CA75" s="37">
        <f t="shared" si="94"/>
        <v>8359</v>
      </c>
      <c r="CB75" s="38">
        <f t="shared" si="95"/>
        <v>8360</v>
      </c>
      <c r="CC75" s="40">
        <f t="shared" si="96"/>
        <v>8361</v>
      </c>
      <c r="CD75" s="37">
        <f t="shared" si="97"/>
        <v>8362</v>
      </c>
      <c r="CE75" s="37">
        <f t="shared" si="98"/>
        <v>8363</v>
      </c>
      <c r="CF75" s="37">
        <f t="shared" si="99"/>
        <v>8364</v>
      </c>
      <c r="CG75" s="37">
        <f t="shared" si="100"/>
        <v>8365</v>
      </c>
      <c r="CH75" s="37">
        <f t="shared" si="101"/>
        <v>8366</v>
      </c>
      <c r="CI75" s="37">
        <f t="shared" si="102"/>
        <v>8367</v>
      </c>
      <c r="CJ75" s="37">
        <f t="shared" si="103"/>
        <v>8368</v>
      </c>
      <c r="CK75" s="37">
        <f t="shared" si="104"/>
        <v>8369</v>
      </c>
      <c r="CL75" s="39">
        <f t="shared" si="105"/>
        <v>8370</v>
      </c>
      <c r="CM75" s="36">
        <f t="shared" si="106"/>
        <v>8371</v>
      </c>
      <c r="CN75" s="37">
        <f t="shared" si="107"/>
        <v>8372</v>
      </c>
      <c r="CO75" s="37">
        <f t="shared" si="108"/>
        <v>8373</v>
      </c>
      <c r="CP75" s="37">
        <f t="shared" si="109"/>
        <v>8374</v>
      </c>
      <c r="CQ75" s="37">
        <f t="shared" si="110"/>
        <v>8375</v>
      </c>
      <c r="CR75" s="37">
        <f t="shared" si="111"/>
        <v>8376</v>
      </c>
      <c r="CS75" s="37">
        <f t="shared" si="112"/>
        <v>8377</v>
      </c>
      <c r="CT75" s="37">
        <f t="shared" si="113"/>
        <v>8378</v>
      </c>
      <c r="CU75" s="37">
        <f t="shared" si="114"/>
        <v>8379</v>
      </c>
      <c r="CV75" s="38">
        <f t="shared" si="115"/>
        <v>8380</v>
      </c>
      <c r="CW75" s="40">
        <f t="shared" si="116"/>
        <v>8381</v>
      </c>
      <c r="CX75" s="37">
        <f t="shared" si="117"/>
        <v>8382</v>
      </c>
      <c r="CY75" s="37">
        <f t="shared" si="118"/>
        <v>8383</v>
      </c>
      <c r="CZ75" s="37">
        <f t="shared" si="119"/>
        <v>8384</v>
      </c>
      <c r="DA75" s="37">
        <f t="shared" si="120"/>
        <v>8385</v>
      </c>
      <c r="DB75" s="37">
        <f t="shared" si="121"/>
        <v>8386</v>
      </c>
      <c r="DC75" s="37">
        <f t="shared" si="122"/>
        <v>8387</v>
      </c>
      <c r="DD75" s="37">
        <f t="shared" si="123"/>
        <v>8388</v>
      </c>
      <c r="DE75" s="37">
        <f t="shared" si="124"/>
        <v>8389</v>
      </c>
      <c r="DF75" s="39">
        <f t="shared" si="125"/>
        <v>8390</v>
      </c>
      <c r="DG75" s="36">
        <f t="shared" si="126"/>
        <v>8391</v>
      </c>
      <c r="DH75" s="37">
        <f t="shared" si="127"/>
        <v>8392</v>
      </c>
      <c r="DI75" s="37">
        <f t="shared" si="128"/>
        <v>8393</v>
      </c>
      <c r="DJ75" s="37">
        <f t="shared" si="129"/>
        <v>8394</v>
      </c>
      <c r="DK75" s="37">
        <f t="shared" si="130"/>
        <v>8395</v>
      </c>
      <c r="DL75" s="37">
        <f t="shared" si="131"/>
        <v>8396</v>
      </c>
      <c r="DM75" s="37">
        <f t="shared" si="132"/>
        <v>8397</v>
      </c>
      <c r="DN75" s="37">
        <f t="shared" si="133"/>
        <v>8398</v>
      </c>
      <c r="DO75" s="37">
        <f t="shared" si="134"/>
        <v>8399</v>
      </c>
      <c r="DP75" s="38">
        <f t="shared" si="135"/>
        <v>8400</v>
      </c>
      <c r="DR75" s="958"/>
      <c r="DS75" s="959"/>
      <c r="DT75" s="959"/>
      <c r="DU75" s="960"/>
    </row>
    <row r="76" spans="1:125" ht="5.75" customHeight="1">
      <c r="A76" s="36">
        <f t="shared" si="136"/>
        <v>8401</v>
      </c>
      <c r="B76" s="37">
        <f t="shared" si="17"/>
        <v>8402</v>
      </c>
      <c r="C76" s="37">
        <f t="shared" si="18"/>
        <v>8403</v>
      </c>
      <c r="D76" s="37">
        <f t="shared" si="19"/>
        <v>8404</v>
      </c>
      <c r="E76" s="37">
        <f t="shared" si="20"/>
        <v>8405</v>
      </c>
      <c r="F76" s="37">
        <f t="shared" si="21"/>
        <v>8406</v>
      </c>
      <c r="G76" s="37">
        <f t="shared" si="22"/>
        <v>8407</v>
      </c>
      <c r="H76" s="37">
        <f t="shared" si="23"/>
        <v>8408</v>
      </c>
      <c r="I76" s="37">
        <f t="shared" si="24"/>
        <v>8409</v>
      </c>
      <c r="J76" s="38">
        <f t="shared" si="25"/>
        <v>8410</v>
      </c>
      <c r="K76" s="36">
        <f t="shared" si="26"/>
        <v>8411</v>
      </c>
      <c r="L76" s="37">
        <f t="shared" si="27"/>
        <v>8412</v>
      </c>
      <c r="M76" s="37">
        <f t="shared" si="28"/>
        <v>8413</v>
      </c>
      <c r="N76" s="37">
        <f t="shared" si="29"/>
        <v>8414</v>
      </c>
      <c r="O76" s="37">
        <f t="shared" si="30"/>
        <v>8415</v>
      </c>
      <c r="P76" s="37">
        <f t="shared" si="31"/>
        <v>8416</v>
      </c>
      <c r="Q76" s="37">
        <f t="shared" si="32"/>
        <v>8417</v>
      </c>
      <c r="R76" s="37">
        <f t="shared" si="33"/>
        <v>8418</v>
      </c>
      <c r="S76" s="37">
        <f t="shared" si="34"/>
        <v>8419</v>
      </c>
      <c r="T76" s="38">
        <f t="shared" si="35"/>
        <v>8420</v>
      </c>
      <c r="U76" s="36">
        <f t="shared" si="36"/>
        <v>8421</v>
      </c>
      <c r="V76" s="37">
        <f t="shared" si="37"/>
        <v>8422</v>
      </c>
      <c r="W76" s="37">
        <f t="shared" si="38"/>
        <v>8423</v>
      </c>
      <c r="X76" s="37">
        <f t="shared" si="39"/>
        <v>8424</v>
      </c>
      <c r="Y76" s="37">
        <f t="shared" si="40"/>
        <v>8425</v>
      </c>
      <c r="Z76" s="37">
        <f t="shared" si="41"/>
        <v>8426</v>
      </c>
      <c r="AA76" s="37">
        <f t="shared" si="42"/>
        <v>8427</v>
      </c>
      <c r="AB76" s="37">
        <f t="shared" si="43"/>
        <v>8428</v>
      </c>
      <c r="AC76" s="37">
        <f t="shared" si="44"/>
        <v>8429</v>
      </c>
      <c r="AD76" s="38">
        <f t="shared" si="45"/>
        <v>8430</v>
      </c>
      <c r="AE76" s="36">
        <f t="shared" si="46"/>
        <v>8431</v>
      </c>
      <c r="AF76" s="37">
        <f t="shared" si="47"/>
        <v>8432</v>
      </c>
      <c r="AG76" s="37">
        <f t="shared" si="48"/>
        <v>8433</v>
      </c>
      <c r="AH76" s="37">
        <f t="shared" si="49"/>
        <v>8434</v>
      </c>
      <c r="AI76" s="37">
        <f t="shared" si="50"/>
        <v>8435</v>
      </c>
      <c r="AJ76" s="37">
        <f t="shared" si="51"/>
        <v>8436</v>
      </c>
      <c r="AK76" s="37">
        <f t="shared" si="52"/>
        <v>8437</v>
      </c>
      <c r="AL76" s="37">
        <f t="shared" si="53"/>
        <v>8438</v>
      </c>
      <c r="AM76" s="37">
        <f t="shared" si="54"/>
        <v>8439</v>
      </c>
      <c r="AN76" s="38">
        <f t="shared" si="55"/>
        <v>8440</v>
      </c>
      <c r="AO76" s="36">
        <f t="shared" si="56"/>
        <v>8441</v>
      </c>
      <c r="AP76" s="37">
        <f t="shared" si="57"/>
        <v>8442</v>
      </c>
      <c r="AQ76" s="37">
        <f t="shared" si="58"/>
        <v>8443</v>
      </c>
      <c r="AR76" s="37">
        <f t="shared" si="59"/>
        <v>8444</v>
      </c>
      <c r="AS76" s="37">
        <f t="shared" si="60"/>
        <v>8445</v>
      </c>
      <c r="AT76" s="37">
        <f t="shared" si="61"/>
        <v>8446</v>
      </c>
      <c r="AU76" s="37">
        <f t="shared" si="62"/>
        <v>8447</v>
      </c>
      <c r="AV76" s="37">
        <f t="shared" si="63"/>
        <v>8448</v>
      </c>
      <c r="AW76" s="37">
        <f t="shared" si="64"/>
        <v>8449</v>
      </c>
      <c r="AX76" s="38">
        <f t="shared" si="65"/>
        <v>8450</v>
      </c>
      <c r="AY76" s="36">
        <f t="shared" si="66"/>
        <v>8451</v>
      </c>
      <c r="AZ76" s="37">
        <f t="shared" si="67"/>
        <v>8452</v>
      </c>
      <c r="BA76" s="37">
        <f t="shared" si="68"/>
        <v>8453</v>
      </c>
      <c r="BB76" s="37">
        <f t="shared" si="69"/>
        <v>8454</v>
      </c>
      <c r="BC76" s="37">
        <f t="shared" si="70"/>
        <v>8455</v>
      </c>
      <c r="BD76" s="37">
        <f t="shared" si="71"/>
        <v>8456</v>
      </c>
      <c r="BE76" s="37">
        <f t="shared" si="72"/>
        <v>8457</v>
      </c>
      <c r="BF76" s="37">
        <f t="shared" si="73"/>
        <v>8458</v>
      </c>
      <c r="BG76" s="37">
        <f t="shared" si="74"/>
        <v>8459</v>
      </c>
      <c r="BH76" s="38">
        <f t="shared" si="75"/>
        <v>8460</v>
      </c>
      <c r="BI76" s="36">
        <f t="shared" si="76"/>
        <v>8461</v>
      </c>
      <c r="BJ76" s="37">
        <f t="shared" si="77"/>
        <v>8462</v>
      </c>
      <c r="BK76" s="37">
        <f t="shared" si="78"/>
        <v>8463</v>
      </c>
      <c r="BL76" s="37">
        <f t="shared" si="79"/>
        <v>8464</v>
      </c>
      <c r="BM76" s="37">
        <f t="shared" si="80"/>
        <v>8465</v>
      </c>
      <c r="BN76" s="37">
        <f t="shared" si="81"/>
        <v>8466</v>
      </c>
      <c r="BO76" s="37">
        <f t="shared" si="82"/>
        <v>8467</v>
      </c>
      <c r="BP76" s="37">
        <f t="shared" si="83"/>
        <v>8468</v>
      </c>
      <c r="BQ76" s="37">
        <f t="shared" si="84"/>
        <v>8469</v>
      </c>
      <c r="BR76" s="39">
        <f t="shared" si="85"/>
        <v>8470</v>
      </c>
      <c r="BS76" s="36">
        <f t="shared" si="86"/>
        <v>8471</v>
      </c>
      <c r="BT76" s="37">
        <f t="shared" si="87"/>
        <v>8472</v>
      </c>
      <c r="BU76" s="37">
        <f t="shared" si="88"/>
        <v>8473</v>
      </c>
      <c r="BV76" s="37">
        <f t="shared" si="89"/>
        <v>8474</v>
      </c>
      <c r="BW76" s="37">
        <f t="shared" si="90"/>
        <v>8475</v>
      </c>
      <c r="BX76" s="37">
        <f t="shared" si="91"/>
        <v>8476</v>
      </c>
      <c r="BY76" s="37">
        <f t="shared" si="92"/>
        <v>8477</v>
      </c>
      <c r="BZ76" s="37">
        <f t="shared" si="93"/>
        <v>8478</v>
      </c>
      <c r="CA76" s="37">
        <f t="shared" si="94"/>
        <v>8479</v>
      </c>
      <c r="CB76" s="38">
        <f t="shared" si="95"/>
        <v>8480</v>
      </c>
      <c r="CC76" s="40">
        <f t="shared" si="96"/>
        <v>8481</v>
      </c>
      <c r="CD76" s="37">
        <f t="shared" si="97"/>
        <v>8482</v>
      </c>
      <c r="CE76" s="37">
        <f t="shared" si="98"/>
        <v>8483</v>
      </c>
      <c r="CF76" s="37">
        <f t="shared" si="99"/>
        <v>8484</v>
      </c>
      <c r="CG76" s="37">
        <f t="shared" si="100"/>
        <v>8485</v>
      </c>
      <c r="CH76" s="37">
        <f t="shared" si="101"/>
        <v>8486</v>
      </c>
      <c r="CI76" s="37">
        <f t="shared" si="102"/>
        <v>8487</v>
      </c>
      <c r="CJ76" s="37">
        <f t="shared" si="103"/>
        <v>8488</v>
      </c>
      <c r="CK76" s="37">
        <f t="shared" si="104"/>
        <v>8489</v>
      </c>
      <c r="CL76" s="39">
        <f t="shared" si="105"/>
        <v>8490</v>
      </c>
      <c r="CM76" s="36">
        <f t="shared" si="106"/>
        <v>8491</v>
      </c>
      <c r="CN76" s="37">
        <f t="shared" si="107"/>
        <v>8492</v>
      </c>
      <c r="CO76" s="37">
        <f t="shared" si="108"/>
        <v>8493</v>
      </c>
      <c r="CP76" s="37">
        <f t="shared" si="109"/>
        <v>8494</v>
      </c>
      <c r="CQ76" s="37">
        <f t="shared" si="110"/>
        <v>8495</v>
      </c>
      <c r="CR76" s="37">
        <f t="shared" si="111"/>
        <v>8496</v>
      </c>
      <c r="CS76" s="37">
        <f t="shared" si="112"/>
        <v>8497</v>
      </c>
      <c r="CT76" s="37">
        <f t="shared" si="113"/>
        <v>8498</v>
      </c>
      <c r="CU76" s="37">
        <f t="shared" si="114"/>
        <v>8499</v>
      </c>
      <c r="CV76" s="38">
        <f t="shared" si="115"/>
        <v>8500</v>
      </c>
      <c r="CW76" s="40">
        <f t="shared" si="116"/>
        <v>8501</v>
      </c>
      <c r="CX76" s="37">
        <f t="shared" si="117"/>
        <v>8502</v>
      </c>
      <c r="CY76" s="37">
        <f t="shared" si="118"/>
        <v>8503</v>
      </c>
      <c r="CZ76" s="37">
        <f t="shared" si="119"/>
        <v>8504</v>
      </c>
      <c r="DA76" s="37">
        <f t="shared" si="120"/>
        <v>8505</v>
      </c>
      <c r="DB76" s="37">
        <f t="shared" si="121"/>
        <v>8506</v>
      </c>
      <c r="DC76" s="37">
        <f t="shared" si="122"/>
        <v>8507</v>
      </c>
      <c r="DD76" s="37">
        <f t="shared" si="123"/>
        <v>8508</v>
      </c>
      <c r="DE76" s="37">
        <f t="shared" si="124"/>
        <v>8509</v>
      </c>
      <c r="DF76" s="39">
        <f t="shared" si="125"/>
        <v>8510</v>
      </c>
      <c r="DG76" s="36">
        <f t="shared" si="126"/>
        <v>8511</v>
      </c>
      <c r="DH76" s="37">
        <f t="shared" si="127"/>
        <v>8512</v>
      </c>
      <c r="DI76" s="37">
        <f t="shared" si="128"/>
        <v>8513</v>
      </c>
      <c r="DJ76" s="37">
        <f t="shared" si="129"/>
        <v>8514</v>
      </c>
      <c r="DK76" s="37">
        <f t="shared" si="130"/>
        <v>8515</v>
      </c>
      <c r="DL76" s="37">
        <f t="shared" si="131"/>
        <v>8516</v>
      </c>
      <c r="DM76" s="37">
        <f t="shared" si="132"/>
        <v>8517</v>
      </c>
      <c r="DN76" s="37">
        <f t="shared" si="133"/>
        <v>8518</v>
      </c>
      <c r="DO76" s="37">
        <f t="shared" si="134"/>
        <v>8519</v>
      </c>
      <c r="DP76" s="38">
        <f t="shared" si="135"/>
        <v>8520</v>
      </c>
      <c r="DR76" s="958">
        <v>300</v>
      </c>
      <c r="DS76" s="959"/>
      <c r="DT76" s="959"/>
      <c r="DU76" s="960"/>
    </row>
    <row r="77" spans="1:125" ht="5.75" customHeight="1">
      <c r="A77" s="36">
        <f t="shared" si="136"/>
        <v>8521</v>
      </c>
      <c r="B77" s="37">
        <f t="shared" si="17"/>
        <v>8522</v>
      </c>
      <c r="C77" s="37">
        <f t="shared" si="18"/>
        <v>8523</v>
      </c>
      <c r="D77" s="37">
        <f t="shared" si="19"/>
        <v>8524</v>
      </c>
      <c r="E77" s="37">
        <f t="shared" si="20"/>
        <v>8525</v>
      </c>
      <c r="F77" s="37">
        <f t="shared" si="21"/>
        <v>8526</v>
      </c>
      <c r="G77" s="37">
        <f t="shared" si="22"/>
        <v>8527</v>
      </c>
      <c r="H77" s="37">
        <f t="shared" si="23"/>
        <v>8528</v>
      </c>
      <c r="I77" s="37">
        <f t="shared" si="24"/>
        <v>8529</v>
      </c>
      <c r="J77" s="38">
        <f t="shared" si="25"/>
        <v>8530</v>
      </c>
      <c r="K77" s="36">
        <f t="shared" si="26"/>
        <v>8531</v>
      </c>
      <c r="L77" s="37">
        <f t="shared" si="27"/>
        <v>8532</v>
      </c>
      <c r="M77" s="37">
        <f t="shared" si="28"/>
        <v>8533</v>
      </c>
      <c r="N77" s="37">
        <f t="shared" si="29"/>
        <v>8534</v>
      </c>
      <c r="O77" s="37">
        <f t="shared" si="30"/>
        <v>8535</v>
      </c>
      <c r="P77" s="37">
        <f t="shared" si="31"/>
        <v>8536</v>
      </c>
      <c r="Q77" s="37">
        <f t="shared" si="32"/>
        <v>8537</v>
      </c>
      <c r="R77" s="37">
        <f t="shared" si="33"/>
        <v>8538</v>
      </c>
      <c r="S77" s="37">
        <f t="shared" si="34"/>
        <v>8539</v>
      </c>
      <c r="T77" s="38">
        <f t="shared" si="35"/>
        <v>8540</v>
      </c>
      <c r="U77" s="36">
        <f t="shared" si="36"/>
        <v>8541</v>
      </c>
      <c r="V77" s="37">
        <f t="shared" si="37"/>
        <v>8542</v>
      </c>
      <c r="W77" s="37">
        <f t="shared" si="38"/>
        <v>8543</v>
      </c>
      <c r="X77" s="37">
        <f t="shared" si="39"/>
        <v>8544</v>
      </c>
      <c r="Y77" s="37">
        <f t="shared" si="40"/>
        <v>8545</v>
      </c>
      <c r="Z77" s="37">
        <f t="shared" si="41"/>
        <v>8546</v>
      </c>
      <c r="AA77" s="37">
        <f t="shared" si="42"/>
        <v>8547</v>
      </c>
      <c r="AB77" s="37">
        <f t="shared" si="43"/>
        <v>8548</v>
      </c>
      <c r="AC77" s="37">
        <f t="shared" si="44"/>
        <v>8549</v>
      </c>
      <c r="AD77" s="38">
        <f t="shared" si="45"/>
        <v>8550</v>
      </c>
      <c r="AE77" s="36">
        <f t="shared" si="46"/>
        <v>8551</v>
      </c>
      <c r="AF77" s="37">
        <f t="shared" si="47"/>
        <v>8552</v>
      </c>
      <c r="AG77" s="37">
        <f t="shared" si="48"/>
        <v>8553</v>
      </c>
      <c r="AH77" s="37">
        <f t="shared" si="49"/>
        <v>8554</v>
      </c>
      <c r="AI77" s="37">
        <f t="shared" si="50"/>
        <v>8555</v>
      </c>
      <c r="AJ77" s="37">
        <f t="shared" si="51"/>
        <v>8556</v>
      </c>
      <c r="AK77" s="37">
        <f t="shared" si="52"/>
        <v>8557</v>
      </c>
      <c r="AL77" s="37">
        <f t="shared" si="53"/>
        <v>8558</v>
      </c>
      <c r="AM77" s="37">
        <f t="shared" si="54"/>
        <v>8559</v>
      </c>
      <c r="AN77" s="38">
        <f t="shared" si="55"/>
        <v>8560</v>
      </c>
      <c r="AO77" s="36">
        <f t="shared" si="56"/>
        <v>8561</v>
      </c>
      <c r="AP77" s="37">
        <f t="shared" si="57"/>
        <v>8562</v>
      </c>
      <c r="AQ77" s="37">
        <f t="shared" si="58"/>
        <v>8563</v>
      </c>
      <c r="AR77" s="37">
        <f t="shared" si="59"/>
        <v>8564</v>
      </c>
      <c r="AS77" s="37">
        <f t="shared" si="60"/>
        <v>8565</v>
      </c>
      <c r="AT77" s="37">
        <f t="shared" si="61"/>
        <v>8566</v>
      </c>
      <c r="AU77" s="37">
        <f t="shared" si="62"/>
        <v>8567</v>
      </c>
      <c r="AV77" s="37">
        <f t="shared" si="63"/>
        <v>8568</v>
      </c>
      <c r="AW77" s="37">
        <f t="shared" si="64"/>
        <v>8569</v>
      </c>
      <c r="AX77" s="38">
        <f t="shared" si="65"/>
        <v>8570</v>
      </c>
      <c r="AY77" s="36">
        <f t="shared" si="66"/>
        <v>8571</v>
      </c>
      <c r="AZ77" s="37">
        <f t="shared" si="67"/>
        <v>8572</v>
      </c>
      <c r="BA77" s="37">
        <f t="shared" si="68"/>
        <v>8573</v>
      </c>
      <c r="BB77" s="37">
        <f t="shared" si="69"/>
        <v>8574</v>
      </c>
      <c r="BC77" s="37">
        <f t="shared" si="70"/>
        <v>8575</v>
      </c>
      <c r="BD77" s="37">
        <f t="shared" si="71"/>
        <v>8576</v>
      </c>
      <c r="BE77" s="37">
        <f t="shared" si="72"/>
        <v>8577</v>
      </c>
      <c r="BF77" s="37">
        <f t="shared" si="73"/>
        <v>8578</v>
      </c>
      <c r="BG77" s="37">
        <f t="shared" si="74"/>
        <v>8579</v>
      </c>
      <c r="BH77" s="38">
        <f t="shared" si="75"/>
        <v>8580</v>
      </c>
      <c r="BI77" s="36">
        <f t="shared" si="76"/>
        <v>8581</v>
      </c>
      <c r="BJ77" s="37">
        <f t="shared" si="77"/>
        <v>8582</v>
      </c>
      <c r="BK77" s="37">
        <f t="shared" si="78"/>
        <v>8583</v>
      </c>
      <c r="BL77" s="37">
        <f t="shared" si="79"/>
        <v>8584</v>
      </c>
      <c r="BM77" s="37">
        <f t="shared" si="80"/>
        <v>8585</v>
      </c>
      <c r="BN77" s="37">
        <f t="shared" si="81"/>
        <v>8586</v>
      </c>
      <c r="BO77" s="37">
        <f t="shared" si="82"/>
        <v>8587</v>
      </c>
      <c r="BP77" s="37">
        <f t="shared" si="83"/>
        <v>8588</v>
      </c>
      <c r="BQ77" s="37">
        <f t="shared" si="84"/>
        <v>8589</v>
      </c>
      <c r="BR77" s="39">
        <f t="shared" si="85"/>
        <v>8590</v>
      </c>
      <c r="BS77" s="36">
        <f t="shared" si="86"/>
        <v>8591</v>
      </c>
      <c r="BT77" s="37">
        <f t="shared" si="87"/>
        <v>8592</v>
      </c>
      <c r="BU77" s="37">
        <f t="shared" si="88"/>
        <v>8593</v>
      </c>
      <c r="BV77" s="37">
        <f t="shared" si="89"/>
        <v>8594</v>
      </c>
      <c r="BW77" s="37">
        <f t="shared" si="90"/>
        <v>8595</v>
      </c>
      <c r="BX77" s="37">
        <f t="shared" si="91"/>
        <v>8596</v>
      </c>
      <c r="BY77" s="37">
        <f t="shared" si="92"/>
        <v>8597</v>
      </c>
      <c r="BZ77" s="37">
        <f t="shared" si="93"/>
        <v>8598</v>
      </c>
      <c r="CA77" s="37">
        <f t="shared" si="94"/>
        <v>8599</v>
      </c>
      <c r="CB77" s="38">
        <f t="shared" si="95"/>
        <v>8600</v>
      </c>
      <c r="CC77" s="40">
        <f t="shared" si="96"/>
        <v>8601</v>
      </c>
      <c r="CD77" s="37">
        <f t="shared" si="97"/>
        <v>8602</v>
      </c>
      <c r="CE77" s="37">
        <f t="shared" si="98"/>
        <v>8603</v>
      </c>
      <c r="CF77" s="37">
        <f t="shared" si="99"/>
        <v>8604</v>
      </c>
      <c r="CG77" s="37">
        <f t="shared" si="100"/>
        <v>8605</v>
      </c>
      <c r="CH77" s="37">
        <f t="shared" si="101"/>
        <v>8606</v>
      </c>
      <c r="CI77" s="37">
        <f t="shared" si="102"/>
        <v>8607</v>
      </c>
      <c r="CJ77" s="37">
        <f t="shared" si="103"/>
        <v>8608</v>
      </c>
      <c r="CK77" s="37">
        <f t="shared" si="104"/>
        <v>8609</v>
      </c>
      <c r="CL77" s="39">
        <f t="shared" si="105"/>
        <v>8610</v>
      </c>
      <c r="CM77" s="36">
        <f t="shared" si="106"/>
        <v>8611</v>
      </c>
      <c r="CN77" s="37">
        <f t="shared" si="107"/>
        <v>8612</v>
      </c>
      <c r="CO77" s="37">
        <f t="shared" si="108"/>
        <v>8613</v>
      </c>
      <c r="CP77" s="37">
        <f t="shared" si="109"/>
        <v>8614</v>
      </c>
      <c r="CQ77" s="37">
        <f t="shared" si="110"/>
        <v>8615</v>
      </c>
      <c r="CR77" s="37">
        <f t="shared" si="111"/>
        <v>8616</v>
      </c>
      <c r="CS77" s="37">
        <f t="shared" si="112"/>
        <v>8617</v>
      </c>
      <c r="CT77" s="37">
        <f t="shared" si="113"/>
        <v>8618</v>
      </c>
      <c r="CU77" s="37">
        <f t="shared" si="114"/>
        <v>8619</v>
      </c>
      <c r="CV77" s="38">
        <f t="shared" si="115"/>
        <v>8620</v>
      </c>
      <c r="CW77" s="40">
        <f t="shared" si="116"/>
        <v>8621</v>
      </c>
      <c r="CX77" s="37">
        <f t="shared" si="117"/>
        <v>8622</v>
      </c>
      <c r="CY77" s="37">
        <f t="shared" si="118"/>
        <v>8623</v>
      </c>
      <c r="CZ77" s="37">
        <f t="shared" si="119"/>
        <v>8624</v>
      </c>
      <c r="DA77" s="37">
        <f t="shared" si="120"/>
        <v>8625</v>
      </c>
      <c r="DB77" s="37">
        <f t="shared" si="121"/>
        <v>8626</v>
      </c>
      <c r="DC77" s="37">
        <f t="shared" si="122"/>
        <v>8627</v>
      </c>
      <c r="DD77" s="37">
        <f t="shared" si="123"/>
        <v>8628</v>
      </c>
      <c r="DE77" s="37">
        <f t="shared" si="124"/>
        <v>8629</v>
      </c>
      <c r="DF77" s="39">
        <f t="shared" si="125"/>
        <v>8630</v>
      </c>
      <c r="DG77" s="36">
        <f t="shared" si="126"/>
        <v>8631</v>
      </c>
      <c r="DH77" s="37">
        <f t="shared" si="127"/>
        <v>8632</v>
      </c>
      <c r="DI77" s="37">
        <f t="shared" si="128"/>
        <v>8633</v>
      </c>
      <c r="DJ77" s="37">
        <f t="shared" si="129"/>
        <v>8634</v>
      </c>
      <c r="DK77" s="37">
        <f t="shared" si="130"/>
        <v>8635</v>
      </c>
      <c r="DL77" s="37">
        <f t="shared" si="131"/>
        <v>8636</v>
      </c>
      <c r="DM77" s="37">
        <f t="shared" si="132"/>
        <v>8637</v>
      </c>
      <c r="DN77" s="37">
        <f t="shared" si="133"/>
        <v>8638</v>
      </c>
      <c r="DO77" s="37">
        <f t="shared" si="134"/>
        <v>8639</v>
      </c>
      <c r="DP77" s="38">
        <f t="shared" si="135"/>
        <v>8640</v>
      </c>
      <c r="DR77" s="958"/>
      <c r="DS77" s="959"/>
      <c r="DT77" s="959"/>
      <c r="DU77" s="960"/>
    </row>
    <row r="78" spans="1:125" ht="5.75" customHeight="1">
      <c r="A78" s="36">
        <f t="shared" si="136"/>
        <v>8641</v>
      </c>
      <c r="B78" s="37">
        <f t="shared" si="17"/>
        <v>8642</v>
      </c>
      <c r="C78" s="37">
        <f t="shared" si="18"/>
        <v>8643</v>
      </c>
      <c r="D78" s="37">
        <f t="shared" si="19"/>
        <v>8644</v>
      </c>
      <c r="E78" s="37">
        <f t="shared" si="20"/>
        <v>8645</v>
      </c>
      <c r="F78" s="37">
        <f t="shared" si="21"/>
        <v>8646</v>
      </c>
      <c r="G78" s="37">
        <f t="shared" si="22"/>
        <v>8647</v>
      </c>
      <c r="H78" s="37">
        <f t="shared" si="23"/>
        <v>8648</v>
      </c>
      <c r="I78" s="37">
        <f t="shared" si="24"/>
        <v>8649</v>
      </c>
      <c r="J78" s="38">
        <f t="shared" si="25"/>
        <v>8650</v>
      </c>
      <c r="K78" s="36">
        <f t="shared" si="26"/>
        <v>8651</v>
      </c>
      <c r="L78" s="37">
        <f t="shared" si="27"/>
        <v>8652</v>
      </c>
      <c r="M78" s="37">
        <f t="shared" si="28"/>
        <v>8653</v>
      </c>
      <c r="N78" s="37">
        <f t="shared" si="29"/>
        <v>8654</v>
      </c>
      <c r="O78" s="37">
        <f t="shared" si="30"/>
        <v>8655</v>
      </c>
      <c r="P78" s="37">
        <f t="shared" si="31"/>
        <v>8656</v>
      </c>
      <c r="Q78" s="37">
        <f t="shared" si="32"/>
        <v>8657</v>
      </c>
      <c r="R78" s="37">
        <f t="shared" si="33"/>
        <v>8658</v>
      </c>
      <c r="S78" s="37">
        <f t="shared" si="34"/>
        <v>8659</v>
      </c>
      <c r="T78" s="38">
        <f t="shared" si="35"/>
        <v>8660</v>
      </c>
      <c r="U78" s="36">
        <f t="shared" si="36"/>
        <v>8661</v>
      </c>
      <c r="V78" s="37">
        <f t="shared" si="37"/>
        <v>8662</v>
      </c>
      <c r="W78" s="37">
        <f t="shared" si="38"/>
        <v>8663</v>
      </c>
      <c r="X78" s="37">
        <f t="shared" si="39"/>
        <v>8664</v>
      </c>
      <c r="Y78" s="37">
        <f t="shared" si="40"/>
        <v>8665</v>
      </c>
      <c r="Z78" s="37">
        <f t="shared" si="41"/>
        <v>8666</v>
      </c>
      <c r="AA78" s="37">
        <f t="shared" si="42"/>
        <v>8667</v>
      </c>
      <c r="AB78" s="37">
        <f t="shared" si="43"/>
        <v>8668</v>
      </c>
      <c r="AC78" s="37">
        <f t="shared" si="44"/>
        <v>8669</v>
      </c>
      <c r="AD78" s="38">
        <f t="shared" si="45"/>
        <v>8670</v>
      </c>
      <c r="AE78" s="36">
        <f t="shared" si="46"/>
        <v>8671</v>
      </c>
      <c r="AF78" s="37">
        <f t="shared" si="47"/>
        <v>8672</v>
      </c>
      <c r="AG78" s="37">
        <f t="shared" si="48"/>
        <v>8673</v>
      </c>
      <c r="AH78" s="37">
        <f t="shared" si="49"/>
        <v>8674</v>
      </c>
      <c r="AI78" s="37">
        <f t="shared" si="50"/>
        <v>8675</v>
      </c>
      <c r="AJ78" s="37">
        <f t="shared" si="51"/>
        <v>8676</v>
      </c>
      <c r="AK78" s="37">
        <f t="shared" si="52"/>
        <v>8677</v>
      </c>
      <c r="AL78" s="37">
        <f t="shared" si="53"/>
        <v>8678</v>
      </c>
      <c r="AM78" s="37">
        <f t="shared" si="54"/>
        <v>8679</v>
      </c>
      <c r="AN78" s="38">
        <f t="shared" si="55"/>
        <v>8680</v>
      </c>
      <c r="AO78" s="36">
        <f t="shared" si="56"/>
        <v>8681</v>
      </c>
      <c r="AP78" s="37">
        <f t="shared" si="57"/>
        <v>8682</v>
      </c>
      <c r="AQ78" s="37">
        <f t="shared" si="58"/>
        <v>8683</v>
      </c>
      <c r="AR78" s="37">
        <f t="shared" si="59"/>
        <v>8684</v>
      </c>
      <c r="AS78" s="37">
        <f t="shared" si="60"/>
        <v>8685</v>
      </c>
      <c r="AT78" s="37">
        <f t="shared" si="61"/>
        <v>8686</v>
      </c>
      <c r="AU78" s="37">
        <f t="shared" si="62"/>
        <v>8687</v>
      </c>
      <c r="AV78" s="37">
        <f t="shared" si="63"/>
        <v>8688</v>
      </c>
      <c r="AW78" s="37">
        <f t="shared" si="64"/>
        <v>8689</v>
      </c>
      <c r="AX78" s="38">
        <f t="shared" si="65"/>
        <v>8690</v>
      </c>
      <c r="AY78" s="36">
        <f t="shared" si="66"/>
        <v>8691</v>
      </c>
      <c r="AZ78" s="37">
        <f t="shared" si="67"/>
        <v>8692</v>
      </c>
      <c r="BA78" s="37">
        <f t="shared" si="68"/>
        <v>8693</v>
      </c>
      <c r="BB78" s="37">
        <f t="shared" si="69"/>
        <v>8694</v>
      </c>
      <c r="BC78" s="37">
        <f t="shared" si="70"/>
        <v>8695</v>
      </c>
      <c r="BD78" s="37">
        <f t="shared" si="71"/>
        <v>8696</v>
      </c>
      <c r="BE78" s="37">
        <f t="shared" si="72"/>
        <v>8697</v>
      </c>
      <c r="BF78" s="37">
        <f t="shared" si="73"/>
        <v>8698</v>
      </c>
      <c r="BG78" s="37">
        <f t="shared" si="74"/>
        <v>8699</v>
      </c>
      <c r="BH78" s="38">
        <f t="shared" si="75"/>
        <v>8700</v>
      </c>
      <c r="BI78" s="36">
        <f t="shared" si="76"/>
        <v>8701</v>
      </c>
      <c r="BJ78" s="37">
        <f t="shared" si="77"/>
        <v>8702</v>
      </c>
      <c r="BK78" s="37">
        <f t="shared" si="78"/>
        <v>8703</v>
      </c>
      <c r="BL78" s="37">
        <f t="shared" si="79"/>
        <v>8704</v>
      </c>
      <c r="BM78" s="37">
        <f t="shared" si="80"/>
        <v>8705</v>
      </c>
      <c r="BN78" s="37">
        <f t="shared" si="81"/>
        <v>8706</v>
      </c>
      <c r="BO78" s="37">
        <f t="shared" si="82"/>
        <v>8707</v>
      </c>
      <c r="BP78" s="37">
        <f t="shared" si="83"/>
        <v>8708</v>
      </c>
      <c r="BQ78" s="37">
        <f t="shared" si="84"/>
        <v>8709</v>
      </c>
      <c r="BR78" s="39">
        <f t="shared" si="85"/>
        <v>8710</v>
      </c>
      <c r="BS78" s="36">
        <f t="shared" si="86"/>
        <v>8711</v>
      </c>
      <c r="BT78" s="37">
        <f t="shared" si="87"/>
        <v>8712</v>
      </c>
      <c r="BU78" s="37">
        <f t="shared" si="88"/>
        <v>8713</v>
      </c>
      <c r="BV78" s="37">
        <f t="shared" si="89"/>
        <v>8714</v>
      </c>
      <c r="BW78" s="37">
        <f t="shared" si="90"/>
        <v>8715</v>
      </c>
      <c r="BX78" s="37">
        <f t="shared" si="91"/>
        <v>8716</v>
      </c>
      <c r="BY78" s="37">
        <f t="shared" si="92"/>
        <v>8717</v>
      </c>
      <c r="BZ78" s="37">
        <f t="shared" si="93"/>
        <v>8718</v>
      </c>
      <c r="CA78" s="37">
        <f t="shared" si="94"/>
        <v>8719</v>
      </c>
      <c r="CB78" s="38">
        <f t="shared" si="95"/>
        <v>8720</v>
      </c>
      <c r="CC78" s="40">
        <f t="shared" si="96"/>
        <v>8721</v>
      </c>
      <c r="CD78" s="37">
        <f t="shared" si="97"/>
        <v>8722</v>
      </c>
      <c r="CE78" s="37">
        <f t="shared" si="98"/>
        <v>8723</v>
      </c>
      <c r="CF78" s="37">
        <f t="shared" si="99"/>
        <v>8724</v>
      </c>
      <c r="CG78" s="37">
        <f t="shared" si="100"/>
        <v>8725</v>
      </c>
      <c r="CH78" s="37">
        <f t="shared" si="101"/>
        <v>8726</v>
      </c>
      <c r="CI78" s="37">
        <f t="shared" si="102"/>
        <v>8727</v>
      </c>
      <c r="CJ78" s="37">
        <f t="shared" si="103"/>
        <v>8728</v>
      </c>
      <c r="CK78" s="37">
        <f t="shared" si="104"/>
        <v>8729</v>
      </c>
      <c r="CL78" s="39">
        <f t="shared" si="105"/>
        <v>8730</v>
      </c>
      <c r="CM78" s="36">
        <f t="shared" si="106"/>
        <v>8731</v>
      </c>
      <c r="CN78" s="37">
        <f t="shared" si="107"/>
        <v>8732</v>
      </c>
      <c r="CO78" s="37">
        <f t="shared" si="108"/>
        <v>8733</v>
      </c>
      <c r="CP78" s="37">
        <f t="shared" si="109"/>
        <v>8734</v>
      </c>
      <c r="CQ78" s="37">
        <f t="shared" si="110"/>
        <v>8735</v>
      </c>
      <c r="CR78" s="37">
        <f t="shared" si="111"/>
        <v>8736</v>
      </c>
      <c r="CS78" s="37">
        <f t="shared" si="112"/>
        <v>8737</v>
      </c>
      <c r="CT78" s="37">
        <f t="shared" si="113"/>
        <v>8738</v>
      </c>
      <c r="CU78" s="37">
        <f t="shared" si="114"/>
        <v>8739</v>
      </c>
      <c r="CV78" s="38">
        <f t="shared" si="115"/>
        <v>8740</v>
      </c>
      <c r="CW78" s="40">
        <f t="shared" si="116"/>
        <v>8741</v>
      </c>
      <c r="CX78" s="37">
        <f t="shared" si="117"/>
        <v>8742</v>
      </c>
      <c r="CY78" s="37">
        <f t="shared" si="118"/>
        <v>8743</v>
      </c>
      <c r="CZ78" s="37">
        <f t="shared" si="119"/>
        <v>8744</v>
      </c>
      <c r="DA78" s="37">
        <f t="shared" si="120"/>
        <v>8745</v>
      </c>
      <c r="DB78" s="37">
        <f t="shared" si="121"/>
        <v>8746</v>
      </c>
      <c r="DC78" s="37">
        <f t="shared" si="122"/>
        <v>8747</v>
      </c>
      <c r="DD78" s="37">
        <f t="shared" si="123"/>
        <v>8748</v>
      </c>
      <c r="DE78" s="37">
        <f t="shared" si="124"/>
        <v>8749</v>
      </c>
      <c r="DF78" s="39">
        <f t="shared" si="125"/>
        <v>8750</v>
      </c>
      <c r="DG78" s="36">
        <f t="shared" si="126"/>
        <v>8751</v>
      </c>
      <c r="DH78" s="37">
        <f t="shared" si="127"/>
        <v>8752</v>
      </c>
      <c r="DI78" s="37">
        <f t="shared" si="128"/>
        <v>8753</v>
      </c>
      <c r="DJ78" s="37">
        <f t="shared" si="129"/>
        <v>8754</v>
      </c>
      <c r="DK78" s="37">
        <f t="shared" si="130"/>
        <v>8755</v>
      </c>
      <c r="DL78" s="37">
        <f t="shared" si="131"/>
        <v>8756</v>
      </c>
      <c r="DM78" s="37">
        <f t="shared" si="132"/>
        <v>8757</v>
      </c>
      <c r="DN78" s="37">
        <f t="shared" si="133"/>
        <v>8758</v>
      </c>
      <c r="DO78" s="37">
        <f t="shared" si="134"/>
        <v>8759</v>
      </c>
      <c r="DP78" s="38">
        <f t="shared" si="135"/>
        <v>8760</v>
      </c>
      <c r="DR78" s="958"/>
      <c r="DS78" s="959"/>
      <c r="DT78" s="959"/>
      <c r="DU78" s="960"/>
    </row>
    <row r="79" spans="1:125" ht="5.75" customHeight="1">
      <c r="A79" s="36">
        <f t="shared" si="136"/>
        <v>8761</v>
      </c>
      <c r="B79" s="37">
        <f t="shared" si="17"/>
        <v>8762</v>
      </c>
      <c r="C79" s="37">
        <f t="shared" si="18"/>
        <v>8763</v>
      </c>
      <c r="D79" s="37">
        <f t="shared" si="19"/>
        <v>8764</v>
      </c>
      <c r="E79" s="37">
        <f t="shared" si="20"/>
        <v>8765</v>
      </c>
      <c r="F79" s="37">
        <f t="shared" si="21"/>
        <v>8766</v>
      </c>
      <c r="G79" s="37">
        <f t="shared" si="22"/>
        <v>8767</v>
      </c>
      <c r="H79" s="37">
        <f t="shared" si="23"/>
        <v>8768</v>
      </c>
      <c r="I79" s="37">
        <f t="shared" si="24"/>
        <v>8769</v>
      </c>
      <c r="J79" s="38">
        <f t="shared" si="25"/>
        <v>8770</v>
      </c>
      <c r="K79" s="36">
        <f t="shared" si="26"/>
        <v>8771</v>
      </c>
      <c r="L79" s="37">
        <f t="shared" si="27"/>
        <v>8772</v>
      </c>
      <c r="M79" s="37">
        <f t="shared" si="28"/>
        <v>8773</v>
      </c>
      <c r="N79" s="37">
        <f t="shared" si="29"/>
        <v>8774</v>
      </c>
      <c r="O79" s="37">
        <f t="shared" si="30"/>
        <v>8775</v>
      </c>
      <c r="P79" s="37">
        <f t="shared" si="31"/>
        <v>8776</v>
      </c>
      <c r="Q79" s="37">
        <f t="shared" si="32"/>
        <v>8777</v>
      </c>
      <c r="R79" s="37">
        <f t="shared" si="33"/>
        <v>8778</v>
      </c>
      <c r="S79" s="37">
        <f t="shared" si="34"/>
        <v>8779</v>
      </c>
      <c r="T79" s="38">
        <f t="shared" si="35"/>
        <v>8780</v>
      </c>
      <c r="U79" s="36">
        <f t="shared" si="36"/>
        <v>8781</v>
      </c>
      <c r="V79" s="37">
        <f t="shared" si="37"/>
        <v>8782</v>
      </c>
      <c r="W79" s="37">
        <f t="shared" si="38"/>
        <v>8783</v>
      </c>
      <c r="X79" s="37">
        <f t="shared" si="39"/>
        <v>8784</v>
      </c>
      <c r="Y79" s="37">
        <f t="shared" si="40"/>
        <v>8785</v>
      </c>
      <c r="Z79" s="37">
        <f t="shared" si="41"/>
        <v>8786</v>
      </c>
      <c r="AA79" s="37">
        <f t="shared" si="42"/>
        <v>8787</v>
      </c>
      <c r="AB79" s="37">
        <f t="shared" si="43"/>
        <v>8788</v>
      </c>
      <c r="AC79" s="37">
        <f t="shared" si="44"/>
        <v>8789</v>
      </c>
      <c r="AD79" s="38">
        <f t="shared" si="45"/>
        <v>8790</v>
      </c>
      <c r="AE79" s="36">
        <f t="shared" si="46"/>
        <v>8791</v>
      </c>
      <c r="AF79" s="37">
        <f t="shared" si="47"/>
        <v>8792</v>
      </c>
      <c r="AG79" s="37">
        <f t="shared" si="48"/>
        <v>8793</v>
      </c>
      <c r="AH79" s="37">
        <f t="shared" si="49"/>
        <v>8794</v>
      </c>
      <c r="AI79" s="37">
        <f t="shared" si="50"/>
        <v>8795</v>
      </c>
      <c r="AJ79" s="37">
        <f t="shared" si="51"/>
        <v>8796</v>
      </c>
      <c r="AK79" s="37">
        <f t="shared" si="52"/>
        <v>8797</v>
      </c>
      <c r="AL79" s="37">
        <f t="shared" si="53"/>
        <v>8798</v>
      </c>
      <c r="AM79" s="37">
        <f t="shared" si="54"/>
        <v>8799</v>
      </c>
      <c r="AN79" s="38">
        <f t="shared" si="55"/>
        <v>8800</v>
      </c>
      <c r="AO79" s="36">
        <f t="shared" si="56"/>
        <v>8801</v>
      </c>
      <c r="AP79" s="37">
        <f t="shared" si="57"/>
        <v>8802</v>
      </c>
      <c r="AQ79" s="37">
        <f t="shared" si="58"/>
        <v>8803</v>
      </c>
      <c r="AR79" s="37">
        <f t="shared" si="59"/>
        <v>8804</v>
      </c>
      <c r="AS79" s="37">
        <f t="shared" si="60"/>
        <v>8805</v>
      </c>
      <c r="AT79" s="37">
        <f t="shared" si="61"/>
        <v>8806</v>
      </c>
      <c r="AU79" s="37">
        <f t="shared" si="62"/>
        <v>8807</v>
      </c>
      <c r="AV79" s="37">
        <f t="shared" si="63"/>
        <v>8808</v>
      </c>
      <c r="AW79" s="37">
        <f t="shared" si="64"/>
        <v>8809</v>
      </c>
      <c r="AX79" s="38">
        <f t="shared" si="65"/>
        <v>8810</v>
      </c>
      <c r="AY79" s="36">
        <f t="shared" si="66"/>
        <v>8811</v>
      </c>
      <c r="AZ79" s="37">
        <f t="shared" si="67"/>
        <v>8812</v>
      </c>
      <c r="BA79" s="37">
        <f t="shared" si="68"/>
        <v>8813</v>
      </c>
      <c r="BB79" s="37">
        <f t="shared" si="69"/>
        <v>8814</v>
      </c>
      <c r="BC79" s="37">
        <f t="shared" si="70"/>
        <v>8815</v>
      </c>
      <c r="BD79" s="37">
        <f t="shared" si="71"/>
        <v>8816</v>
      </c>
      <c r="BE79" s="37">
        <f t="shared" si="72"/>
        <v>8817</v>
      </c>
      <c r="BF79" s="37">
        <f t="shared" si="73"/>
        <v>8818</v>
      </c>
      <c r="BG79" s="37">
        <f t="shared" si="74"/>
        <v>8819</v>
      </c>
      <c r="BH79" s="38">
        <f t="shared" si="75"/>
        <v>8820</v>
      </c>
      <c r="BI79" s="36">
        <f t="shared" si="76"/>
        <v>8821</v>
      </c>
      <c r="BJ79" s="37">
        <f t="shared" si="77"/>
        <v>8822</v>
      </c>
      <c r="BK79" s="37">
        <f t="shared" si="78"/>
        <v>8823</v>
      </c>
      <c r="BL79" s="37">
        <f t="shared" si="79"/>
        <v>8824</v>
      </c>
      <c r="BM79" s="37">
        <f t="shared" si="80"/>
        <v>8825</v>
      </c>
      <c r="BN79" s="37">
        <f t="shared" si="81"/>
        <v>8826</v>
      </c>
      <c r="BO79" s="37">
        <f t="shared" si="82"/>
        <v>8827</v>
      </c>
      <c r="BP79" s="37">
        <f t="shared" si="83"/>
        <v>8828</v>
      </c>
      <c r="BQ79" s="37">
        <f t="shared" si="84"/>
        <v>8829</v>
      </c>
      <c r="BR79" s="39">
        <f t="shared" si="85"/>
        <v>8830</v>
      </c>
      <c r="BS79" s="36">
        <f t="shared" si="86"/>
        <v>8831</v>
      </c>
      <c r="BT79" s="37">
        <f t="shared" si="87"/>
        <v>8832</v>
      </c>
      <c r="BU79" s="37">
        <f t="shared" si="88"/>
        <v>8833</v>
      </c>
      <c r="BV79" s="37">
        <f t="shared" si="89"/>
        <v>8834</v>
      </c>
      <c r="BW79" s="37">
        <f t="shared" si="90"/>
        <v>8835</v>
      </c>
      <c r="BX79" s="37">
        <f t="shared" si="91"/>
        <v>8836</v>
      </c>
      <c r="BY79" s="37">
        <f t="shared" si="92"/>
        <v>8837</v>
      </c>
      <c r="BZ79" s="37">
        <f t="shared" si="93"/>
        <v>8838</v>
      </c>
      <c r="CA79" s="37">
        <f t="shared" si="94"/>
        <v>8839</v>
      </c>
      <c r="CB79" s="38">
        <f t="shared" si="95"/>
        <v>8840</v>
      </c>
      <c r="CC79" s="40">
        <f t="shared" si="96"/>
        <v>8841</v>
      </c>
      <c r="CD79" s="37">
        <f t="shared" si="97"/>
        <v>8842</v>
      </c>
      <c r="CE79" s="37">
        <f t="shared" si="98"/>
        <v>8843</v>
      </c>
      <c r="CF79" s="37">
        <f t="shared" si="99"/>
        <v>8844</v>
      </c>
      <c r="CG79" s="37">
        <f t="shared" si="100"/>
        <v>8845</v>
      </c>
      <c r="CH79" s="37">
        <f t="shared" si="101"/>
        <v>8846</v>
      </c>
      <c r="CI79" s="37">
        <f t="shared" si="102"/>
        <v>8847</v>
      </c>
      <c r="CJ79" s="37">
        <f t="shared" si="103"/>
        <v>8848</v>
      </c>
      <c r="CK79" s="37">
        <f t="shared" si="104"/>
        <v>8849</v>
      </c>
      <c r="CL79" s="39">
        <f t="shared" si="105"/>
        <v>8850</v>
      </c>
      <c r="CM79" s="36">
        <f t="shared" si="106"/>
        <v>8851</v>
      </c>
      <c r="CN79" s="37">
        <f t="shared" si="107"/>
        <v>8852</v>
      </c>
      <c r="CO79" s="37">
        <f t="shared" si="108"/>
        <v>8853</v>
      </c>
      <c r="CP79" s="37">
        <f t="shared" si="109"/>
        <v>8854</v>
      </c>
      <c r="CQ79" s="37">
        <f t="shared" si="110"/>
        <v>8855</v>
      </c>
      <c r="CR79" s="37">
        <f t="shared" si="111"/>
        <v>8856</v>
      </c>
      <c r="CS79" s="37">
        <f t="shared" si="112"/>
        <v>8857</v>
      </c>
      <c r="CT79" s="37">
        <f t="shared" si="113"/>
        <v>8858</v>
      </c>
      <c r="CU79" s="37">
        <f t="shared" si="114"/>
        <v>8859</v>
      </c>
      <c r="CV79" s="38">
        <f t="shared" si="115"/>
        <v>8860</v>
      </c>
      <c r="CW79" s="40">
        <f t="shared" si="116"/>
        <v>8861</v>
      </c>
      <c r="CX79" s="37">
        <f t="shared" si="117"/>
        <v>8862</v>
      </c>
      <c r="CY79" s="37">
        <f t="shared" si="118"/>
        <v>8863</v>
      </c>
      <c r="CZ79" s="37">
        <f t="shared" si="119"/>
        <v>8864</v>
      </c>
      <c r="DA79" s="37">
        <f t="shared" si="120"/>
        <v>8865</v>
      </c>
      <c r="DB79" s="37">
        <f t="shared" si="121"/>
        <v>8866</v>
      </c>
      <c r="DC79" s="37">
        <f t="shared" si="122"/>
        <v>8867</v>
      </c>
      <c r="DD79" s="37">
        <f t="shared" si="123"/>
        <v>8868</v>
      </c>
      <c r="DE79" s="37">
        <f t="shared" si="124"/>
        <v>8869</v>
      </c>
      <c r="DF79" s="39">
        <f t="shared" si="125"/>
        <v>8870</v>
      </c>
      <c r="DG79" s="36">
        <f t="shared" si="126"/>
        <v>8871</v>
      </c>
      <c r="DH79" s="37">
        <f t="shared" si="127"/>
        <v>8872</v>
      </c>
      <c r="DI79" s="37">
        <f t="shared" si="128"/>
        <v>8873</v>
      </c>
      <c r="DJ79" s="37">
        <f t="shared" si="129"/>
        <v>8874</v>
      </c>
      <c r="DK79" s="37">
        <f t="shared" si="130"/>
        <v>8875</v>
      </c>
      <c r="DL79" s="37">
        <f t="shared" si="131"/>
        <v>8876</v>
      </c>
      <c r="DM79" s="37">
        <f t="shared" si="132"/>
        <v>8877</v>
      </c>
      <c r="DN79" s="37">
        <f t="shared" si="133"/>
        <v>8878</v>
      </c>
      <c r="DO79" s="37">
        <f t="shared" si="134"/>
        <v>8879</v>
      </c>
      <c r="DP79" s="38">
        <f t="shared" si="135"/>
        <v>8880</v>
      </c>
      <c r="DR79" s="958">
        <v>400</v>
      </c>
      <c r="DS79" s="959"/>
      <c r="DT79" s="959"/>
      <c r="DU79" s="960"/>
    </row>
    <row r="80" spans="1:125" ht="5.75" customHeight="1">
      <c r="A80" s="36">
        <f t="shared" si="136"/>
        <v>8881</v>
      </c>
      <c r="B80" s="37">
        <f t="shared" si="17"/>
        <v>8882</v>
      </c>
      <c r="C80" s="37">
        <f t="shared" si="18"/>
        <v>8883</v>
      </c>
      <c r="D80" s="37">
        <f t="shared" si="19"/>
        <v>8884</v>
      </c>
      <c r="E80" s="37">
        <f t="shared" si="20"/>
        <v>8885</v>
      </c>
      <c r="F80" s="37">
        <f t="shared" si="21"/>
        <v>8886</v>
      </c>
      <c r="G80" s="37">
        <f t="shared" si="22"/>
        <v>8887</v>
      </c>
      <c r="H80" s="37">
        <f t="shared" si="23"/>
        <v>8888</v>
      </c>
      <c r="I80" s="37">
        <f t="shared" si="24"/>
        <v>8889</v>
      </c>
      <c r="J80" s="38">
        <f t="shared" si="25"/>
        <v>8890</v>
      </c>
      <c r="K80" s="36">
        <f t="shared" si="26"/>
        <v>8891</v>
      </c>
      <c r="L80" s="37">
        <f t="shared" si="27"/>
        <v>8892</v>
      </c>
      <c r="M80" s="37">
        <f t="shared" si="28"/>
        <v>8893</v>
      </c>
      <c r="N80" s="37">
        <f t="shared" si="29"/>
        <v>8894</v>
      </c>
      <c r="O80" s="37">
        <f t="shared" si="30"/>
        <v>8895</v>
      </c>
      <c r="P80" s="37">
        <f t="shared" si="31"/>
        <v>8896</v>
      </c>
      <c r="Q80" s="37">
        <f t="shared" si="32"/>
        <v>8897</v>
      </c>
      <c r="R80" s="37">
        <f t="shared" si="33"/>
        <v>8898</v>
      </c>
      <c r="S80" s="37">
        <f t="shared" si="34"/>
        <v>8899</v>
      </c>
      <c r="T80" s="38">
        <f t="shared" si="35"/>
        <v>8900</v>
      </c>
      <c r="U80" s="36">
        <f t="shared" si="36"/>
        <v>8901</v>
      </c>
      <c r="V80" s="37">
        <f t="shared" si="37"/>
        <v>8902</v>
      </c>
      <c r="W80" s="37">
        <f t="shared" si="38"/>
        <v>8903</v>
      </c>
      <c r="X80" s="37">
        <f t="shared" si="39"/>
        <v>8904</v>
      </c>
      <c r="Y80" s="37">
        <f t="shared" si="40"/>
        <v>8905</v>
      </c>
      <c r="Z80" s="37">
        <f t="shared" si="41"/>
        <v>8906</v>
      </c>
      <c r="AA80" s="37">
        <f t="shared" si="42"/>
        <v>8907</v>
      </c>
      <c r="AB80" s="37">
        <f t="shared" si="43"/>
        <v>8908</v>
      </c>
      <c r="AC80" s="37">
        <f t="shared" si="44"/>
        <v>8909</v>
      </c>
      <c r="AD80" s="38">
        <f t="shared" si="45"/>
        <v>8910</v>
      </c>
      <c r="AE80" s="36">
        <f t="shared" si="46"/>
        <v>8911</v>
      </c>
      <c r="AF80" s="37">
        <f t="shared" si="47"/>
        <v>8912</v>
      </c>
      <c r="AG80" s="37">
        <f t="shared" si="48"/>
        <v>8913</v>
      </c>
      <c r="AH80" s="37">
        <f t="shared" si="49"/>
        <v>8914</v>
      </c>
      <c r="AI80" s="37">
        <f t="shared" si="50"/>
        <v>8915</v>
      </c>
      <c r="AJ80" s="37">
        <f t="shared" si="51"/>
        <v>8916</v>
      </c>
      <c r="AK80" s="37">
        <f t="shared" si="52"/>
        <v>8917</v>
      </c>
      <c r="AL80" s="37">
        <f t="shared" si="53"/>
        <v>8918</v>
      </c>
      <c r="AM80" s="37">
        <f t="shared" si="54"/>
        <v>8919</v>
      </c>
      <c r="AN80" s="38">
        <f t="shared" si="55"/>
        <v>8920</v>
      </c>
      <c r="AO80" s="36">
        <f t="shared" si="56"/>
        <v>8921</v>
      </c>
      <c r="AP80" s="37">
        <f t="shared" si="57"/>
        <v>8922</v>
      </c>
      <c r="AQ80" s="37">
        <f t="shared" si="58"/>
        <v>8923</v>
      </c>
      <c r="AR80" s="37">
        <f t="shared" si="59"/>
        <v>8924</v>
      </c>
      <c r="AS80" s="37">
        <f t="shared" si="60"/>
        <v>8925</v>
      </c>
      <c r="AT80" s="37">
        <f t="shared" si="61"/>
        <v>8926</v>
      </c>
      <c r="AU80" s="37">
        <f t="shared" si="62"/>
        <v>8927</v>
      </c>
      <c r="AV80" s="37">
        <f t="shared" si="63"/>
        <v>8928</v>
      </c>
      <c r="AW80" s="37">
        <f t="shared" si="64"/>
        <v>8929</v>
      </c>
      <c r="AX80" s="38">
        <f t="shared" si="65"/>
        <v>8930</v>
      </c>
      <c r="AY80" s="36">
        <f t="shared" si="66"/>
        <v>8931</v>
      </c>
      <c r="AZ80" s="37">
        <f t="shared" si="67"/>
        <v>8932</v>
      </c>
      <c r="BA80" s="37">
        <f t="shared" si="68"/>
        <v>8933</v>
      </c>
      <c r="BB80" s="37">
        <f t="shared" si="69"/>
        <v>8934</v>
      </c>
      <c r="BC80" s="37">
        <f t="shared" si="70"/>
        <v>8935</v>
      </c>
      <c r="BD80" s="37">
        <f t="shared" si="71"/>
        <v>8936</v>
      </c>
      <c r="BE80" s="37">
        <f t="shared" si="72"/>
        <v>8937</v>
      </c>
      <c r="BF80" s="37">
        <f t="shared" si="73"/>
        <v>8938</v>
      </c>
      <c r="BG80" s="37">
        <f t="shared" si="74"/>
        <v>8939</v>
      </c>
      <c r="BH80" s="38">
        <f t="shared" si="75"/>
        <v>8940</v>
      </c>
      <c r="BI80" s="36">
        <f t="shared" si="76"/>
        <v>8941</v>
      </c>
      <c r="BJ80" s="37">
        <f t="shared" si="77"/>
        <v>8942</v>
      </c>
      <c r="BK80" s="37">
        <f t="shared" si="78"/>
        <v>8943</v>
      </c>
      <c r="BL80" s="37">
        <f t="shared" si="79"/>
        <v>8944</v>
      </c>
      <c r="BM80" s="37">
        <f t="shared" si="80"/>
        <v>8945</v>
      </c>
      <c r="BN80" s="37">
        <f t="shared" si="81"/>
        <v>8946</v>
      </c>
      <c r="BO80" s="37">
        <f t="shared" si="82"/>
        <v>8947</v>
      </c>
      <c r="BP80" s="37">
        <f t="shared" si="83"/>
        <v>8948</v>
      </c>
      <c r="BQ80" s="37">
        <f t="shared" si="84"/>
        <v>8949</v>
      </c>
      <c r="BR80" s="39">
        <f t="shared" si="85"/>
        <v>8950</v>
      </c>
      <c r="BS80" s="36">
        <f t="shared" si="86"/>
        <v>8951</v>
      </c>
      <c r="BT80" s="37">
        <f t="shared" si="87"/>
        <v>8952</v>
      </c>
      <c r="BU80" s="37">
        <f t="shared" si="88"/>
        <v>8953</v>
      </c>
      <c r="BV80" s="37">
        <f t="shared" si="89"/>
        <v>8954</v>
      </c>
      <c r="BW80" s="37">
        <f t="shared" si="90"/>
        <v>8955</v>
      </c>
      <c r="BX80" s="37">
        <f t="shared" si="91"/>
        <v>8956</v>
      </c>
      <c r="BY80" s="37">
        <f t="shared" si="92"/>
        <v>8957</v>
      </c>
      <c r="BZ80" s="37">
        <f t="shared" si="93"/>
        <v>8958</v>
      </c>
      <c r="CA80" s="37">
        <f t="shared" si="94"/>
        <v>8959</v>
      </c>
      <c r="CB80" s="38">
        <f t="shared" si="95"/>
        <v>8960</v>
      </c>
      <c r="CC80" s="40">
        <f t="shared" si="96"/>
        <v>8961</v>
      </c>
      <c r="CD80" s="37">
        <f t="shared" si="97"/>
        <v>8962</v>
      </c>
      <c r="CE80" s="37">
        <f t="shared" si="98"/>
        <v>8963</v>
      </c>
      <c r="CF80" s="37">
        <f t="shared" si="99"/>
        <v>8964</v>
      </c>
      <c r="CG80" s="37">
        <f t="shared" si="100"/>
        <v>8965</v>
      </c>
      <c r="CH80" s="37">
        <f t="shared" si="101"/>
        <v>8966</v>
      </c>
      <c r="CI80" s="37">
        <f t="shared" si="102"/>
        <v>8967</v>
      </c>
      <c r="CJ80" s="37">
        <f t="shared" si="103"/>
        <v>8968</v>
      </c>
      <c r="CK80" s="37">
        <f t="shared" si="104"/>
        <v>8969</v>
      </c>
      <c r="CL80" s="39">
        <f t="shared" si="105"/>
        <v>8970</v>
      </c>
      <c r="CM80" s="36">
        <f t="shared" si="106"/>
        <v>8971</v>
      </c>
      <c r="CN80" s="37">
        <f t="shared" si="107"/>
        <v>8972</v>
      </c>
      <c r="CO80" s="37">
        <f t="shared" si="108"/>
        <v>8973</v>
      </c>
      <c r="CP80" s="37">
        <f t="shared" si="109"/>
        <v>8974</v>
      </c>
      <c r="CQ80" s="37">
        <f t="shared" si="110"/>
        <v>8975</v>
      </c>
      <c r="CR80" s="37">
        <f t="shared" si="111"/>
        <v>8976</v>
      </c>
      <c r="CS80" s="37">
        <f t="shared" si="112"/>
        <v>8977</v>
      </c>
      <c r="CT80" s="37">
        <f t="shared" si="113"/>
        <v>8978</v>
      </c>
      <c r="CU80" s="37">
        <f t="shared" si="114"/>
        <v>8979</v>
      </c>
      <c r="CV80" s="38">
        <f t="shared" si="115"/>
        <v>8980</v>
      </c>
      <c r="CW80" s="40">
        <f t="shared" si="116"/>
        <v>8981</v>
      </c>
      <c r="CX80" s="37">
        <f t="shared" si="117"/>
        <v>8982</v>
      </c>
      <c r="CY80" s="37">
        <f t="shared" si="118"/>
        <v>8983</v>
      </c>
      <c r="CZ80" s="37">
        <f t="shared" si="119"/>
        <v>8984</v>
      </c>
      <c r="DA80" s="37">
        <f t="shared" si="120"/>
        <v>8985</v>
      </c>
      <c r="DB80" s="37">
        <f t="shared" si="121"/>
        <v>8986</v>
      </c>
      <c r="DC80" s="37">
        <f t="shared" si="122"/>
        <v>8987</v>
      </c>
      <c r="DD80" s="37">
        <f t="shared" si="123"/>
        <v>8988</v>
      </c>
      <c r="DE80" s="37">
        <f t="shared" si="124"/>
        <v>8989</v>
      </c>
      <c r="DF80" s="39">
        <f t="shared" si="125"/>
        <v>8990</v>
      </c>
      <c r="DG80" s="36">
        <f t="shared" si="126"/>
        <v>8991</v>
      </c>
      <c r="DH80" s="37">
        <f t="shared" si="127"/>
        <v>8992</v>
      </c>
      <c r="DI80" s="37">
        <f t="shared" si="128"/>
        <v>8993</v>
      </c>
      <c r="DJ80" s="37">
        <f t="shared" si="129"/>
        <v>8994</v>
      </c>
      <c r="DK80" s="37">
        <f t="shared" si="130"/>
        <v>8995</v>
      </c>
      <c r="DL80" s="37">
        <f t="shared" si="131"/>
        <v>8996</v>
      </c>
      <c r="DM80" s="37">
        <f t="shared" si="132"/>
        <v>8997</v>
      </c>
      <c r="DN80" s="37">
        <f t="shared" si="133"/>
        <v>8998</v>
      </c>
      <c r="DO80" s="37">
        <f t="shared" si="134"/>
        <v>8999</v>
      </c>
      <c r="DP80" s="38">
        <f t="shared" si="135"/>
        <v>9000</v>
      </c>
      <c r="DR80" s="958"/>
      <c r="DS80" s="959"/>
      <c r="DT80" s="959"/>
      <c r="DU80" s="960"/>
    </row>
    <row r="81" spans="1:125" ht="5.75" customHeight="1">
      <c r="A81" s="36">
        <f t="shared" si="136"/>
        <v>9001</v>
      </c>
      <c r="B81" s="37">
        <f t="shared" si="17"/>
        <v>9002</v>
      </c>
      <c r="C81" s="37">
        <f t="shared" si="18"/>
        <v>9003</v>
      </c>
      <c r="D81" s="37">
        <f t="shared" si="19"/>
        <v>9004</v>
      </c>
      <c r="E81" s="37">
        <f t="shared" si="20"/>
        <v>9005</v>
      </c>
      <c r="F81" s="37">
        <f t="shared" si="21"/>
        <v>9006</v>
      </c>
      <c r="G81" s="37">
        <f t="shared" si="22"/>
        <v>9007</v>
      </c>
      <c r="H81" s="37">
        <f t="shared" si="23"/>
        <v>9008</v>
      </c>
      <c r="I81" s="37">
        <f t="shared" si="24"/>
        <v>9009</v>
      </c>
      <c r="J81" s="38">
        <f t="shared" si="25"/>
        <v>9010</v>
      </c>
      <c r="K81" s="36">
        <f t="shared" si="26"/>
        <v>9011</v>
      </c>
      <c r="L81" s="37">
        <f t="shared" si="27"/>
        <v>9012</v>
      </c>
      <c r="M81" s="37">
        <f t="shared" si="28"/>
        <v>9013</v>
      </c>
      <c r="N81" s="37">
        <f t="shared" si="29"/>
        <v>9014</v>
      </c>
      <c r="O81" s="37">
        <f t="shared" si="30"/>
        <v>9015</v>
      </c>
      <c r="P81" s="37">
        <f t="shared" si="31"/>
        <v>9016</v>
      </c>
      <c r="Q81" s="37">
        <f t="shared" si="32"/>
        <v>9017</v>
      </c>
      <c r="R81" s="37">
        <f t="shared" si="33"/>
        <v>9018</v>
      </c>
      <c r="S81" s="37">
        <f t="shared" si="34"/>
        <v>9019</v>
      </c>
      <c r="T81" s="38">
        <f t="shared" si="35"/>
        <v>9020</v>
      </c>
      <c r="U81" s="36">
        <f t="shared" si="36"/>
        <v>9021</v>
      </c>
      <c r="V81" s="37">
        <f t="shared" si="37"/>
        <v>9022</v>
      </c>
      <c r="W81" s="37">
        <f t="shared" si="38"/>
        <v>9023</v>
      </c>
      <c r="X81" s="37">
        <f t="shared" si="39"/>
        <v>9024</v>
      </c>
      <c r="Y81" s="37">
        <f t="shared" si="40"/>
        <v>9025</v>
      </c>
      <c r="Z81" s="37">
        <f t="shared" si="41"/>
        <v>9026</v>
      </c>
      <c r="AA81" s="37">
        <f t="shared" si="42"/>
        <v>9027</v>
      </c>
      <c r="AB81" s="37">
        <f t="shared" si="43"/>
        <v>9028</v>
      </c>
      <c r="AC81" s="37">
        <f t="shared" si="44"/>
        <v>9029</v>
      </c>
      <c r="AD81" s="38">
        <f t="shared" si="45"/>
        <v>9030</v>
      </c>
      <c r="AE81" s="36">
        <f t="shared" si="46"/>
        <v>9031</v>
      </c>
      <c r="AF81" s="37">
        <f t="shared" si="47"/>
        <v>9032</v>
      </c>
      <c r="AG81" s="37">
        <f t="shared" si="48"/>
        <v>9033</v>
      </c>
      <c r="AH81" s="37">
        <f t="shared" si="49"/>
        <v>9034</v>
      </c>
      <c r="AI81" s="37">
        <f t="shared" si="50"/>
        <v>9035</v>
      </c>
      <c r="AJ81" s="37">
        <f t="shared" si="51"/>
        <v>9036</v>
      </c>
      <c r="AK81" s="37">
        <f t="shared" si="52"/>
        <v>9037</v>
      </c>
      <c r="AL81" s="37">
        <f t="shared" si="53"/>
        <v>9038</v>
      </c>
      <c r="AM81" s="37">
        <f t="shared" si="54"/>
        <v>9039</v>
      </c>
      <c r="AN81" s="38">
        <f t="shared" si="55"/>
        <v>9040</v>
      </c>
      <c r="AO81" s="36">
        <f t="shared" si="56"/>
        <v>9041</v>
      </c>
      <c r="AP81" s="37">
        <f t="shared" si="57"/>
        <v>9042</v>
      </c>
      <c r="AQ81" s="37">
        <f t="shared" si="58"/>
        <v>9043</v>
      </c>
      <c r="AR81" s="37">
        <f t="shared" si="59"/>
        <v>9044</v>
      </c>
      <c r="AS81" s="37">
        <f t="shared" si="60"/>
        <v>9045</v>
      </c>
      <c r="AT81" s="37">
        <f t="shared" si="61"/>
        <v>9046</v>
      </c>
      <c r="AU81" s="37">
        <f t="shared" si="62"/>
        <v>9047</v>
      </c>
      <c r="AV81" s="37">
        <f t="shared" si="63"/>
        <v>9048</v>
      </c>
      <c r="AW81" s="37">
        <f t="shared" si="64"/>
        <v>9049</v>
      </c>
      <c r="AX81" s="38">
        <f t="shared" si="65"/>
        <v>9050</v>
      </c>
      <c r="AY81" s="36">
        <f t="shared" si="66"/>
        <v>9051</v>
      </c>
      <c r="AZ81" s="37">
        <f t="shared" si="67"/>
        <v>9052</v>
      </c>
      <c r="BA81" s="37">
        <f t="shared" si="68"/>
        <v>9053</v>
      </c>
      <c r="BB81" s="37">
        <f t="shared" si="69"/>
        <v>9054</v>
      </c>
      <c r="BC81" s="37">
        <f t="shared" si="70"/>
        <v>9055</v>
      </c>
      <c r="BD81" s="37">
        <f t="shared" si="71"/>
        <v>9056</v>
      </c>
      <c r="BE81" s="37">
        <f t="shared" si="72"/>
        <v>9057</v>
      </c>
      <c r="BF81" s="37">
        <f t="shared" si="73"/>
        <v>9058</v>
      </c>
      <c r="BG81" s="37">
        <f t="shared" si="74"/>
        <v>9059</v>
      </c>
      <c r="BH81" s="38">
        <f t="shared" si="75"/>
        <v>9060</v>
      </c>
      <c r="BI81" s="36">
        <f t="shared" si="76"/>
        <v>9061</v>
      </c>
      <c r="BJ81" s="37">
        <f t="shared" si="77"/>
        <v>9062</v>
      </c>
      <c r="BK81" s="37">
        <f t="shared" si="78"/>
        <v>9063</v>
      </c>
      <c r="BL81" s="37">
        <f t="shared" si="79"/>
        <v>9064</v>
      </c>
      <c r="BM81" s="37">
        <f t="shared" si="80"/>
        <v>9065</v>
      </c>
      <c r="BN81" s="37">
        <f t="shared" si="81"/>
        <v>9066</v>
      </c>
      <c r="BO81" s="37">
        <f t="shared" si="82"/>
        <v>9067</v>
      </c>
      <c r="BP81" s="37">
        <f t="shared" si="83"/>
        <v>9068</v>
      </c>
      <c r="BQ81" s="37">
        <f t="shared" si="84"/>
        <v>9069</v>
      </c>
      <c r="BR81" s="39">
        <f t="shared" si="85"/>
        <v>9070</v>
      </c>
      <c r="BS81" s="36">
        <f t="shared" si="86"/>
        <v>9071</v>
      </c>
      <c r="BT81" s="37">
        <f t="shared" si="87"/>
        <v>9072</v>
      </c>
      <c r="BU81" s="37">
        <f t="shared" si="88"/>
        <v>9073</v>
      </c>
      <c r="BV81" s="37">
        <f t="shared" si="89"/>
        <v>9074</v>
      </c>
      <c r="BW81" s="37">
        <f t="shared" si="90"/>
        <v>9075</v>
      </c>
      <c r="BX81" s="37">
        <f t="shared" si="91"/>
        <v>9076</v>
      </c>
      <c r="BY81" s="37">
        <f t="shared" si="92"/>
        <v>9077</v>
      </c>
      <c r="BZ81" s="37">
        <f t="shared" si="93"/>
        <v>9078</v>
      </c>
      <c r="CA81" s="37">
        <f t="shared" si="94"/>
        <v>9079</v>
      </c>
      <c r="CB81" s="38">
        <f t="shared" si="95"/>
        <v>9080</v>
      </c>
      <c r="CC81" s="40">
        <f t="shared" si="96"/>
        <v>9081</v>
      </c>
      <c r="CD81" s="37">
        <f t="shared" si="97"/>
        <v>9082</v>
      </c>
      <c r="CE81" s="37">
        <f t="shared" si="98"/>
        <v>9083</v>
      </c>
      <c r="CF81" s="37">
        <f t="shared" si="99"/>
        <v>9084</v>
      </c>
      <c r="CG81" s="37">
        <f t="shared" si="100"/>
        <v>9085</v>
      </c>
      <c r="CH81" s="37">
        <f t="shared" si="101"/>
        <v>9086</v>
      </c>
      <c r="CI81" s="37">
        <f t="shared" si="102"/>
        <v>9087</v>
      </c>
      <c r="CJ81" s="37">
        <f t="shared" si="103"/>
        <v>9088</v>
      </c>
      <c r="CK81" s="37">
        <f t="shared" si="104"/>
        <v>9089</v>
      </c>
      <c r="CL81" s="39">
        <f t="shared" si="105"/>
        <v>9090</v>
      </c>
      <c r="CM81" s="36">
        <f t="shared" si="106"/>
        <v>9091</v>
      </c>
      <c r="CN81" s="37">
        <f t="shared" si="107"/>
        <v>9092</v>
      </c>
      <c r="CO81" s="37">
        <f t="shared" si="108"/>
        <v>9093</v>
      </c>
      <c r="CP81" s="37">
        <f t="shared" si="109"/>
        <v>9094</v>
      </c>
      <c r="CQ81" s="37">
        <f t="shared" si="110"/>
        <v>9095</v>
      </c>
      <c r="CR81" s="37">
        <f t="shared" si="111"/>
        <v>9096</v>
      </c>
      <c r="CS81" s="37">
        <f t="shared" si="112"/>
        <v>9097</v>
      </c>
      <c r="CT81" s="37">
        <f t="shared" si="113"/>
        <v>9098</v>
      </c>
      <c r="CU81" s="37">
        <f t="shared" si="114"/>
        <v>9099</v>
      </c>
      <c r="CV81" s="38">
        <f t="shared" si="115"/>
        <v>9100</v>
      </c>
      <c r="CW81" s="40">
        <f t="shared" si="116"/>
        <v>9101</v>
      </c>
      <c r="CX81" s="37">
        <f t="shared" si="117"/>
        <v>9102</v>
      </c>
      <c r="CY81" s="37">
        <f t="shared" si="118"/>
        <v>9103</v>
      </c>
      <c r="CZ81" s="37">
        <f t="shared" si="119"/>
        <v>9104</v>
      </c>
      <c r="DA81" s="37">
        <f t="shared" si="120"/>
        <v>9105</v>
      </c>
      <c r="DB81" s="37">
        <f t="shared" si="121"/>
        <v>9106</v>
      </c>
      <c r="DC81" s="37">
        <f t="shared" si="122"/>
        <v>9107</v>
      </c>
      <c r="DD81" s="37">
        <f t="shared" si="123"/>
        <v>9108</v>
      </c>
      <c r="DE81" s="37">
        <f t="shared" si="124"/>
        <v>9109</v>
      </c>
      <c r="DF81" s="39">
        <f t="shared" si="125"/>
        <v>9110</v>
      </c>
      <c r="DG81" s="36">
        <f t="shared" si="126"/>
        <v>9111</v>
      </c>
      <c r="DH81" s="37">
        <f t="shared" si="127"/>
        <v>9112</v>
      </c>
      <c r="DI81" s="37">
        <f t="shared" si="128"/>
        <v>9113</v>
      </c>
      <c r="DJ81" s="37">
        <f t="shared" si="129"/>
        <v>9114</v>
      </c>
      <c r="DK81" s="37">
        <f t="shared" si="130"/>
        <v>9115</v>
      </c>
      <c r="DL81" s="37">
        <f t="shared" si="131"/>
        <v>9116</v>
      </c>
      <c r="DM81" s="37">
        <f t="shared" si="132"/>
        <v>9117</v>
      </c>
      <c r="DN81" s="37">
        <f t="shared" si="133"/>
        <v>9118</v>
      </c>
      <c r="DO81" s="37">
        <f t="shared" si="134"/>
        <v>9119</v>
      </c>
      <c r="DP81" s="38">
        <f t="shared" si="135"/>
        <v>9120</v>
      </c>
      <c r="DR81" s="958"/>
      <c r="DS81" s="959"/>
      <c r="DT81" s="959"/>
      <c r="DU81" s="960"/>
    </row>
    <row r="82" spans="1:125" ht="5.75" customHeight="1">
      <c r="A82" s="36">
        <f t="shared" si="136"/>
        <v>9121</v>
      </c>
      <c r="B82" s="37">
        <f t="shared" si="17"/>
        <v>9122</v>
      </c>
      <c r="C82" s="37">
        <f t="shared" si="18"/>
        <v>9123</v>
      </c>
      <c r="D82" s="37">
        <f t="shared" si="19"/>
        <v>9124</v>
      </c>
      <c r="E82" s="37">
        <f t="shared" si="20"/>
        <v>9125</v>
      </c>
      <c r="F82" s="37">
        <f t="shared" si="21"/>
        <v>9126</v>
      </c>
      <c r="G82" s="37">
        <f t="shared" si="22"/>
        <v>9127</v>
      </c>
      <c r="H82" s="37">
        <f t="shared" si="23"/>
        <v>9128</v>
      </c>
      <c r="I82" s="37">
        <f t="shared" si="24"/>
        <v>9129</v>
      </c>
      <c r="J82" s="38">
        <f t="shared" si="25"/>
        <v>9130</v>
      </c>
      <c r="K82" s="36">
        <f t="shared" si="26"/>
        <v>9131</v>
      </c>
      <c r="L82" s="37">
        <f t="shared" si="27"/>
        <v>9132</v>
      </c>
      <c r="M82" s="37">
        <f t="shared" si="28"/>
        <v>9133</v>
      </c>
      <c r="N82" s="37">
        <f t="shared" si="29"/>
        <v>9134</v>
      </c>
      <c r="O82" s="37">
        <f t="shared" si="30"/>
        <v>9135</v>
      </c>
      <c r="P82" s="37">
        <f t="shared" si="31"/>
        <v>9136</v>
      </c>
      <c r="Q82" s="37">
        <f t="shared" si="32"/>
        <v>9137</v>
      </c>
      <c r="R82" s="37">
        <f t="shared" si="33"/>
        <v>9138</v>
      </c>
      <c r="S82" s="37">
        <f t="shared" si="34"/>
        <v>9139</v>
      </c>
      <c r="T82" s="38">
        <f t="shared" si="35"/>
        <v>9140</v>
      </c>
      <c r="U82" s="36">
        <f t="shared" si="36"/>
        <v>9141</v>
      </c>
      <c r="V82" s="37">
        <f t="shared" si="37"/>
        <v>9142</v>
      </c>
      <c r="W82" s="37">
        <f t="shared" si="38"/>
        <v>9143</v>
      </c>
      <c r="X82" s="37">
        <f t="shared" si="39"/>
        <v>9144</v>
      </c>
      <c r="Y82" s="37">
        <f t="shared" si="40"/>
        <v>9145</v>
      </c>
      <c r="Z82" s="37">
        <f t="shared" si="41"/>
        <v>9146</v>
      </c>
      <c r="AA82" s="37">
        <f t="shared" si="42"/>
        <v>9147</v>
      </c>
      <c r="AB82" s="37">
        <f t="shared" si="43"/>
        <v>9148</v>
      </c>
      <c r="AC82" s="37">
        <f t="shared" si="44"/>
        <v>9149</v>
      </c>
      <c r="AD82" s="38">
        <f t="shared" si="45"/>
        <v>9150</v>
      </c>
      <c r="AE82" s="36">
        <f t="shared" si="46"/>
        <v>9151</v>
      </c>
      <c r="AF82" s="37">
        <f t="shared" si="47"/>
        <v>9152</v>
      </c>
      <c r="AG82" s="37">
        <f t="shared" si="48"/>
        <v>9153</v>
      </c>
      <c r="AH82" s="37">
        <f t="shared" si="49"/>
        <v>9154</v>
      </c>
      <c r="AI82" s="37">
        <f t="shared" si="50"/>
        <v>9155</v>
      </c>
      <c r="AJ82" s="37">
        <f t="shared" si="51"/>
        <v>9156</v>
      </c>
      <c r="AK82" s="37">
        <f t="shared" si="52"/>
        <v>9157</v>
      </c>
      <c r="AL82" s="37">
        <f t="shared" si="53"/>
        <v>9158</v>
      </c>
      <c r="AM82" s="37">
        <f t="shared" si="54"/>
        <v>9159</v>
      </c>
      <c r="AN82" s="38">
        <f t="shared" si="55"/>
        <v>9160</v>
      </c>
      <c r="AO82" s="36">
        <f t="shared" si="56"/>
        <v>9161</v>
      </c>
      <c r="AP82" s="37">
        <f t="shared" si="57"/>
        <v>9162</v>
      </c>
      <c r="AQ82" s="37">
        <f t="shared" si="58"/>
        <v>9163</v>
      </c>
      <c r="AR82" s="37">
        <f t="shared" si="59"/>
        <v>9164</v>
      </c>
      <c r="AS82" s="37">
        <f t="shared" si="60"/>
        <v>9165</v>
      </c>
      <c r="AT82" s="37">
        <f t="shared" si="61"/>
        <v>9166</v>
      </c>
      <c r="AU82" s="37">
        <f t="shared" si="62"/>
        <v>9167</v>
      </c>
      <c r="AV82" s="37">
        <f t="shared" si="63"/>
        <v>9168</v>
      </c>
      <c r="AW82" s="37">
        <f t="shared" si="64"/>
        <v>9169</v>
      </c>
      <c r="AX82" s="38">
        <f t="shared" si="65"/>
        <v>9170</v>
      </c>
      <c r="AY82" s="36">
        <f t="shared" si="66"/>
        <v>9171</v>
      </c>
      <c r="AZ82" s="37">
        <f t="shared" si="67"/>
        <v>9172</v>
      </c>
      <c r="BA82" s="37">
        <f t="shared" si="68"/>
        <v>9173</v>
      </c>
      <c r="BB82" s="37">
        <f t="shared" si="69"/>
        <v>9174</v>
      </c>
      <c r="BC82" s="37">
        <f t="shared" si="70"/>
        <v>9175</v>
      </c>
      <c r="BD82" s="37">
        <f t="shared" si="71"/>
        <v>9176</v>
      </c>
      <c r="BE82" s="37">
        <f t="shared" si="72"/>
        <v>9177</v>
      </c>
      <c r="BF82" s="37">
        <f t="shared" si="73"/>
        <v>9178</v>
      </c>
      <c r="BG82" s="37">
        <f t="shared" si="74"/>
        <v>9179</v>
      </c>
      <c r="BH82" s="38">
        <f t="shared" si="75"/>
        <v>9180</v>
      </c>
      <c r="BI82" s="36">
        <f t="shared" si="76"/>
        <v>9181</v>
      </c>
      <c r="BJ82" s="37">
        <f t="shared" si="77"/>
        <v>9182</v>
      </c>
      <c r="BK82" s="37">
        <f t="shared" si="78"/>
        <v>9183</v>
      </c>
      <c r="BL82" s="37">
        <f t="shared" si="79"/>
        <v>9184</v>
      </c>
      <c r="BM82" s="37">
        <f t="shared" si="80"/>
        <v>9185</v>
      </c>
      <c r="BN82" s="37">
        <f t="shared" si="81"/>
        <v>9186</v>
      </c>
      <c r="BO82" s="37">
        <f t="shared" si="82"/>
        <v>9187</v>
      </c>
      <c r="BP82" s="37">
        <f t="shared" si="83"/>
        <v>9188</v>
      </c>
      <c r="BQ82" s="37">
        <f t="shared" si="84"/>
        <v>9189</v>
      </c>
      <c r="BR82" s="39">
        <f t="shared" si="85"/>
        <v>9190</v>
      </c>
      <c r="BS82" s="36">
        <f t="shared" si="86"/>
        <v>9191</v>
      </c>
      <c r="BT82" s="37">
        <f t="shared" si="87"/>
        <v>9192</v>
      </c>
      <c r="BU82" s="37">
        <f t="shared" si="88"/>
        <v>9193</v>
      </c>
      <c r="BV82" s="37">
        <f t="shared" si="89"/>
        <v>9194</v>
      </c>
      <c r="BW82" s="37">
        <f t="shared" si="90"/>
        <v>9195</v>
      </c>
      <c r="BX82" s="37">
        <f t="shared" si="91"/>
        <v>9196</v>
      </c>
      <c r="BY82" s="37">
        <f t="shared" si="92"/>
        <v>9197</v>
      </c>
      <c r="BZ82" s="37">
        <f t="shared" si="93"/>
        <v>9198</v>
      </c>
      <c r="CA82" s="37">
        <f t="shared" si="94"/>
        <v>9199</v>
      </c>
      <c r="CB82" s="38">
        <f t="shared" si="95"/>
        <v>9200</v>
      </c>
      <c r="CC82" s="40">
        <f t="shared" si="96"/>
        <v>9201</v>
      </c>
      <c r="CD82" s="37">
        <f t="shared" si="97"/>
        <v>9202</v>
      </c>
      <c r="CE82" s="37">
        <f t="shared" si="98"/>
        <v>9203</v>
      </c>
      <c r="CF82" s="37">
        <f t="shared" si="99"/>
        <v>9204</v>
      </c>
      <c r="CG82" s="37">
        <f t="shared" si="100"/>
        <v>9205</v>
      </c>
      <c r="CH82" s="37">
        <f t="shared" si="101"/>
        <v>9206</v>
      </c>
      <c r="CI82" s="37">
        <f t="shared" si="102"/>
        <v>9207</v>
      </c>
      <c r="CJ82" s="37">
        <f t="shared" si="103"/>
        <v>9208</v>
      </c>
      <c r="CK82" s="37">
        <f t="shared" si="104"/>
        <v>9209</v>
      </c>
      <c r="CL82" s="39">
        <f t="shared" si="105"/>
        <v>9210</v>
      </c>
      <c r="CM82" s="36">
        <f t="shared" si="106"/>
        <v>9211</v>
      </c>
      <c r="CN82" s="37">
        <f t="shared" si="107"/>
        <v>9212</v>
      </c>
      <c r="CO82" s="37">
        <f t="shared" si="108"/>
        <v>9213</v>
      </c>
      <c r="CP82" s="37">
        <f t="shared" si="109"/>
        <v>9214</v>
      </c>
      <c r="CQ82" s="37">
        <f t="shared" si="110"/>
        <v>9215</v>
      </c>
      <c r="CR82" s="37">
        <f t="shared" si="111"/>
        <v>9216</v>
      </c>
      <c r="CS82" s="37">
        <f t="shared" si="112"/>
        <v>9217</v>
      </c>
      <c r="CT82" s="37">
        <f t="shared" si="113"/>
        <v>9218</v>
      </c>
      <c r="CU82" s="37">
        <f t="shared" si="114"/>
        <v>9219</v>
      </c>
      <c r="CV82" s="38">
        <f t="shared" si="115"/>
        <v>9220</v>
      </c>
      <c r="CW82" s="40">
        <f t="shared" si="116"/>
        <v>9221</v>
      </c>
      <c r="CX82" s="37">
        <f t="shared" si="117"/>
        <v>9222</v>
      </c>
      <c r="CY82" s="37">
        <f t="shared" si="118"/>
        <v>9223</v>
      </c>
      <c r="CZ82" s="37">
        <f t="shared" si="119"/>
        <v>9224</v>
      </c>
      <c r="DA82" s="37">
        <f t="shared" si="120"/>
        <v>9225</v>
      </c>
      <c r="DB82" s="37">
        <f t="shared" si="121"/>
        <v>9226</v>
      </c>
      <c r="DC82" s="37">
        <f t="shared" si="122"/>
        <v>9227</v>
      </c>
      <c r="DD82" s="37">
        <f t="shared" si="123"/>
        <v>9228</v>
      </c>
      <c r="DE82" s="37">
        <f t="shared" si="124"/>
        <v>9229</v>
      </c>
      <c r="DF82" s="39">
        <f t="shared" si="125"/>
        <v>9230</v>
      </c>
      <c r="DG82" s="36">
        <f t="shared" si="126"/>
        <v>9231</v>
      </c>
      <c r="DH82" s="37">
        <f t="shared" si="127"/>
        <v>9232</v>
      </c>
      <c r="DI82" s="37">
        <f t="shared" si="128"/>
        <v>9233</v>
      </c>
      <c r="DJ82" s="37">
        <f t="shared" si="129"/>
        <v>9234</v>
      </c>
      <c r="DK82" s="37">
        <f t="shared" si="130"/>
        <v>9235</v>
      </c>
      <c r="DL82" s="37">
        <f t="shared" si="131"/>
        <v>9236</v>
      </c>
      <c r="DM82" s="37">
        <f t="shared" si="132"/>
        <v>9237</v>
      </c>
      <c r="DN82" s="37">
        <f t="shared" si="133"/>
        <v>9238</v>
      </c>
      <c r="DO82" s="37">
        <f t="shared" si="134"/>
        <v>9239</v>
      </c>
      <c r="DP82" s="38">
        <f t="shared" si="135"/>
        <v>9240</v>
      </c>
      <c r="DR82" s="958">
        <v>500</v>
      </c>
      <c r="DS82" s="959"/>
      <c r="DT82" s="959"/>
      <c r="DU82" s="960"/>
    </row>
    <row r="83" spans="1:125" ht="5.75" customHeight="1">
      <c r="A83" s="36">
        <f t="shared" si="136"/>
        <v>9241</v>
      </c>
      <c r="B83" s="37">
        <f t="shared" si="17"/>
        <v>9242</v>
      </c>
      <c r="C83" s="37">
        <f t="shared" si="18"/>
        <v>9243</v>
      </c>
      <c r="D83" s="37">
        <f t="shared" si="19"/>
        <v>9244</v>
      </c>
      <c r="E83" s="37">
        <f t="shared" si="20"/>
        <v>9245</v>
      </c>
      <c r="F83" s="37">
        <f t="shared" si="21"/>
        <v>9246</v>
      </c>
      <c r="G83" s="37">
        <f t="shared" si="22"/>
        <v>9247</v>
      </c>
      <c r="H83" s="37">
        <f t="shared" si="23"/>
        <v>9248</v>
      </c>
      <c r="I83" s="37">
        <f t="shared" si="24"/>
        <v>9249</v>
      </c>
      <c r="J83" s="38">
        <f t="shared" si="25"/>
        <v>9250</v>
      </c>
      <c r="K83" s="36">
        <f t="shared" si="26"/>
        <v>9251</v>
      </c>
      <c r="L83" s="37">
        <f t="shared" si="27"/>
        <v>9252</v>
      </c>
      <c r="M83" s="37">
        <f t="shared" si="28"/>
        <v>9253</v>
      </c>
      <c r="N83" s="37">
        <f t="shared" si="29"/>
        <v>9254</v>
      </c>
      <c r="O83" s="37">
        <f t="shared" si="30"/>
        <v>9255</v>
      </c>
      <c r="P83" s="37">
        <f t="shared" si="31"/>
        <v>9256</v>
      </c>
      <c r="Q83" s="37">
        <f t="shared" si="32"/>
        <v>9257</v>
      </c>
      <c r="R83" s="37">
        <f t="shared" si="33"/>
        <v>9258</v>
      </c>
      <c r="S83" s="37">
        <f t="shared" si="34"/>
        <v>9259</v>
      </c>
      <c r="T83" s="38">
        <f t="shared" si="35"/>
        <v>9260</v>
      </c>
      <c r="U83" s="36">
        <f t="shared" si="36"/>
        <v>9261</v>
      </c>
      <c r="V83" s="37">
        <f t="shared" si="37"/>
        <v>9262</v>
      </c>
      <c r="W83" s="37">
        <f t="shared" si="38"/>
        <v>9263</v>
      </c>
      <c r="X83" s="37">
        <f t="shared" si="39"/>
        <v>9264</v>
      </c>
      <c r="Y83" s="37">
        <f t="shared" si="40"/>
        <v>9265</v>
      </c>
      <c r="Z83" s="37">
        <f t="shared" si="41"/>
        <v>9266</v>
      </c>
      <c r="AA83" s="37">
        <f t="shared" si="42"/>
        <v>9267</v>
      </c>
      <c r="AB83" s="37">
        <f t="shared" si="43"/>
        <v>9268</v>
      </c>
      <c r="AC83" s="37">
        <f t="shared" si="44"/>
        <v>9269</v>
      </c>
      <c r="AD83" s="38">
        <f t="shared" si="45"/>
        <v>9270</v>
      </c>
      <c r="AE83" s="36">
        <f t="shared" si="46"/>
        <v>9271</v>
      </c>
      <c r="AF83" s="37">
        <f t="shared" si="47"/>
        <v>9272</v>
      </c>
      <c r="AG83" s="37">
        <f t="shared" si="48"/>
        <v>9273</v>
      </c>
      <c r="AH83" s="37">
        <f t="shared" si="49"/>
        <v>9274</v>
      </c>
      <c r="AI83" s="37">
        <f t="shared" si="50"/>
        <v>9275</v>
      </c>
      <c r="AJ83" s="37">
        <f t="shared" si="51"/>
        <v>9276</v>
      </c>
      <c r="AK83" s="37">
        <f t="shared" si="52"/>
        <v>9277</v>
      </c>
      <c r="AL83" s="37">
        <f t="shared" si="53"/>
        <v>9278</v>
      </c>
      <c r="AM83" s="37">
        <f t="shared" si="54"/>
        <v>9279</v>
      </c>
      <c r="AN83" s="38">
        <f t="shared" si="55"/>
        <v>9280</v>
      </c>
      <c r="AO83" s="36">
        <f t="shared" si="56"/>
        <v>9281</v>
      </c>
      <c r="AP83" s="37">
        <f t="shared" si="57"/>
        <v>9282</v>
      </c>
      <c r="AQ83" s="37">
        <f t="shared" si="58"/>
        <v>9283</v>
      </c>
      <c r="AR83" s="37">
        <f t="shared" si="59"/>
        <v>9284</v>
      </c>
      <c r="AS83" s="37">
        <f t="shared" si="60"/>
        <v>9285</v>
      </c>
      <c r="AT83" s="37">
        <f t="shared" si="61"/>
        <v>9286</v>
      </c>
      <c r="AU83" s="37">
        <f t="shared" si="62"/>
        <v>9287</v>
      </c>
      <c r="AV83" s="37">
        <f t="shared" si="63"/>
        <v>9288</v>
      </c>
      <c r="AW83" s="37">
        <f t="shared" si="64"/>
        <v>9289</v>
      </c>
      <c r="AX83" s="38">
        <f t="shared" si="65"/>
        <v>9290</v>
      </c>
      <c r="AY83" s="36">
        <f t="shared" si="66"/>
        <v>9291</v>
      </c>
      <c r="AZ83" s="37">
        <f t="shared" si="67"/>
        <v>9292</v>
      </c>
      <c r="BA83" s="37">
        <f t="shared" si="68"/>
        <v>9293</v>
      </c>
      <c r="BB83" s="37">
        <f t="shared" si="69"/>
        <v>9294</v>
      </c>
      <c r="BC83" s="37">
        <f t="shared" si="70"/>
        <v>9295</v>
      </c>
      <c r="BD83" s="37">
        <f t="shared" si="71"/>
        <v>9296</v>
      </c>
      <c r="BE83" s="37">
        <f t="shared" si="72"/>
        <v>9297</v>
      </c>
      <c r="BF83" s="37">
        <f t="shared" si="73"/>
        <v>9298</v>
      </c>
      <c r="BG83" s="37">
        <f t="shared" si="74"/>
        <v>9299</v>
      </c>
      <c r="BH83" s="38">
        <f t="shared" si="75"/>
        <v>9300</v>
      </c>
      <c r="BI83" s="36">
        <f t="shared" si="76"/>
        <v>9301</v>
      </c>
      <c r="BJ83" s="37">
        <f t="shared" si="77"/>
        <v>9302</v>
      </c>
      <c r="BK83" s="37">
        <f t="shared" si="78"/>
        <v>9303</v>
      </c>
      <c r="BL83" s="37">
        <f t="shared" si="79"/>
        <v>9304</v>
      </c>
      <c r="BM83" s="37">
        <f t="shared" si="80"/>
        <v>9305</v>
      </c>
      <c r="BN83" s="37">
        <f t="shared" si="81"/>
        <v>9306</v>
      </c>
      <c r="BO83" s="37">
        <f t="shared" si="82"/>
        <v>9307</v>
      </c>
      <c r="BP83" s="37">
        <f t="shared" si="83"/>
        <v>9308</v>
      </c>
      <c r="BQ83" s="37">
        <f t="shared" si="84"/>
        <v>9309</v>
      </c>
      <c r="BR83" s="39">
        <f t="shared" si="85"/>
        <v>9310</v>
      </c>
      <c r="BS83" s="36">
        <f t="shared" si="86"/>
        <v>9311</v>
      </c>
      <c r="BT83" s="37">
        <f t="shared" si="87"/>
        <v>9312</v>
      </c>
      <c r="BU83" s="37">
        <f t="shared" si="88"/>
        <v>9313</v>
      </c>
      <c r="BV83" s="37">
        <f t="shared" si="89"/>
        <v>9314</v>
      </c>
      <c r="BW83" s="37">
        <f t="shared" si="90"/>
        <v>9315</v>
      </c>
      <c r="BX83" s="37">
        <f t="shared" si="91"/>
        <v>9316</v>
      </c>
      <c r="BY83" s="37">
        <f t="shared" si="92"/>
        <v>9317</v>
      </c>
      <c r="BZ83" s="37">
        <f t="shared" si="93"/>
        <v>9318</v>
      </c>
      <c r="CA83" s="37">
        <f t="shared" si="94"/>
        <v>9319</v>
      </c>
      <c r="CB83" s="38">
        <f t="shared" si="95"/>
        <v>9320</v>
      </c>
      <c r="CC83" s="40">
        <f t="shared" si="96"/>
        <v>9321</v>
      </c>
      <c r="CD83" s="37">
        <f t="shared" si="97"/>
        <v>9322</v>
      </c>
      <c r="CE83" s="37">
        <f t="shared" si="98"/>
        <v>9323</v>
      </c>
      <c r="CF83" s="37">
        <f t="shared" si="99"/>
        <v>9324</v>
      </c>
      <c r="CG83" s="37">
        <f t="shared" si="100"/>
        <v>9325</v>
      </c>
      <c r="CH83" s="37">
        <f t="shared" si="101"/>
        <v>9326</v>
      </c>
      <c r="CI83" s="37">
        <f t="shared" si="102"/>
        <v>9327</v>
      </c>
      <c r="CJ83" s="37">
        <f t="shared" si="103"/>
        <v>9328</v>
      </c>
      <c r="CK83" s="37">
        <f t="shared" si="104"/>
        <v>9329</v>
      </c>
      <c r="CL83" s="39">
        <f t="shared" si="105"/>
        <v>9330</v>
      </c>
      <c r="CM83" s="36">
        <f t="shared" si="106"/>
        <v>9331</v>
      </c>
      <c r="CN83" s="37">
        <f t="shared" si="107"/>
        <v>9332</v>
      </c>
      <c r="CO83" s="37">
        <f t="shared" si="108"/>
        <v>9333</v>
      </c>
      <c r="CP83" s="37">
        <f t="shared" si="109"/>
        <v>9334</v>
      </c>
      <c r="CQ83" s="37">
        <f t="shared" si="110"/>
        <v>9335</v>
      </c>
      <c r="CR83" s="37">
        <f t="shared" si="111"/>
        <v>9336</v>
      </c>
      <c r="CS83" s="37">
        <f t="shared" si="112"/>
        <v>9337</v>
      </c>
      <c r="CT83" s="37">
        <f t="shared" si="113"/>
        <v>9338</v>
      </c>
      <c r="CU83" s="37">
        <f t="shared" si="114"/>
        <v>9339</v>
      </c>
      <c r="CV83" s="38">
        <f t="shared" si="115"/>
        <v>9340</v>
      </c>
      <c r="CW83" s="40">
        <f t="shared" si="116"/>
        <v>9341</v>
      </c>
      <c r="CX83" s="37">
        <f t="shared" si="117"/>
        <v>9342</v>
      </c>
      <c r="CY83" s="37">
        <f t="shared" si="118"/>
        <v>9343</v>
      </c>
      <c r="CZ83" s="37">
        <f t="shared" si="119"/>
        <v>9344</v>
      </c>
      <c r="DA83" s="37">
        <f t="shared" si="120"/>
        <v>9345</v>
      </c>
      <c r="DB83" s="37">
        <f t="shared" si="121"/>
        <v>9346</v>
      </c>
      <c r="DC83" s="37">
        <f t="shared" si="122"/>
        <v>9347</v>
      </c>
      <c r="DD83" s="37">
        <f t="shared" si="123"/>
        <v>9348</v>
      </c>
      <c r="DE83" s="37">
        <f t="shared" si="124"/>
        <v>9349</v>
      </c>
      <c r="DF83" s="39">
        <f t="shared" si="125"/>
        <v>9350</v>
      </c>
      <c r="DG83" s="36">
        <f t="shared" si="126"/>
        <v>9351</v>
      </c>
      <c r="DH83" s="37">
        <f t="shared" si="127"/>
        <v>9352</v>
      </c>
      <c r="DI83" s="37">
        <f t="shared" si="128"/>
        <v>9353</v>
      </c>
      <c r="DJ83" s="37">
        <f t="shared" si="129"/>
        <v>9354</v>
      </c>
      <c r="DK83" s="37">
        <f t="shared" si="130"/>
        <v>9355</v>
      </c>
      <c r="DL83" s="37">
        <f t="shared" si="131"/>
        <v>9356</v>
      </c>
      <c r="DM83" s="37">
        <f t="shared" si="132"/>
        <v>9357</v>
      </c>
      <c r="DN83" s="37">
        <f t="shared" si="133"/>
        <v>9358</v>
      </c>
      <c r="DO83" s="37">
        <f t="shared" si="134"/>
        <v>9359</v>
      </c>
      <c r="DP83" s="38">
        <f t="shared" si="135"/>
        <v>9360</v>
      </c>
      <c r="DR83" s="958"/>
      <c r="DS83" s="959"/>
      <c r="DT83" s="959"/>
      <c r="DU83" s="960"/>
    </row>
    <row r="84" spans="1:125" ht="5.75" customHeight="1">
      <c r="A84" s="36">
        <f t="shared" si="136"/>
        <v>9361</v>
      </c>
      <c r="B84" s="37">
        <f t="shared" si="17"/>
        <v>9362</v>
      </c>
      <c r="C84" s="37">
        <f t="shared" si="18"/>
        <v>9363</v>
      </c>
      <c r="D84" s="37">
        <f t="shared" si="19"/>
        <v>9364</v>
      </c>
      <c r="E84" s="37">
        <f t="shared" si="20"/>
        <v>9365</v>
      </c>
      <c r="F84" s="37">
        <f t="shared" si="21"/>
        <v>9366</v>
      </c>
      <c r="G84" s="37">
        <f t="shared" si="22"/>
        <v>9367</v>
      </c>
      <c r="H84" s="37">
        <f t="shared" si="23"/>
        <v>9368</v>
      </c>
      <c r="I84" s="37">
        <f t="shared" si="24"/>
        <v>9369</v>
      </c>
      <c r="J84" s="38">
        <f t="shared" si="25"/>
        <v>9370</v>
      </c>
      <c r="K84" s="36">
        <f t="shared" si="26"/>
        <v>9371</v>
      </c>
      <c r="L84" s="37">
        <f t="shared" si="27"/>
        <v>9372</v>
      </c>
      <c r="M84" s="37">
        <f t="shared" si="28"/>
        <v>9373</v>
      </c>
      <c r="N84" s="37">
        <f t="shared" si="29"/>
        <v>9374</v>
      </c>
      <c r="O84" s="37">
        <f t="shared" si="30"/>
        <v>9375</v>
      </c>
      <c r="P84" s="37">
        <f t="shared" si="31"/>
        <v>9376</v>
      </c>
      <c r="Q84" s="37">
        <f t="shared" si="32"/>
        <v>9377</v>
      </c>
      <c r="R84" s="37">
        <f t="shared" si="33"/>
        <v>9378</v>
      </c>
      <c r="S84" s="37">
        <f t="shared" si="34"/>
        <v>9379</v>
      </c>
      <c r="T84" s="38">
        <f t="shared" si="35"/>
        <v>9380</v>
      </c>
      <c r="U84" s="36">
        <f t="shared" si="36"/>
        <v>9381</v>
      </c>
      <c r="V84" s="37">
        <f t="shared" si="37"/>
        <v>9382</v>
      </c>
      <c r="W84" s="37">
        <f t="shared" si="38"/>
        <v>9383</v>
      </c>
      <c r="X84" s="37">
        <f t="shared" si="39"/>
        <v>9384</v>
      </c>
      <c r="Y84" s="37">
        <f t="shared" si="40"/>
        <v>9385</v>
      </c>
      <c r="Z84" s="37">
        <f t="shared" si="41"/>
        <v>9386</v>
      </c>
      <c r="AA84" s="37">
        <f t="shared" si="42"/>
        <v>9387</v>
      </c>
      <c r="AB84" s="37">
        <f t="shared" si="43"/>
        <v>9388</v>
      </c>
      <c r="AC84" s="37">
        <f t="shared" si="44"/>
        <v>9389</v>
      </c>
      <c r="AD84" s="38">
        <f t="shared" si="45"/>
        <v>9390</v>
      </c>
      <c r="AE84" s="36">
        <f t="shared" si="46"/>
        <v>9391</v>
      </c>
      <c r="AF84" s="37">
        <f t="shared" si="47"/>
        <v>9392</v>
      </c>
      <c r="AG84" s="37">
        <f t="shared" si="48"/>
        <v>9393</v>
      </c>
      <c r="AH84" s="37">
        <f t="shared" si="49"/>
        <v>9394</v>
      </c>
      <c r="AI84" s="37">
        <f t="shared" si="50"/>
        <v>9395</v>
      </c>
      <c r="AJ84" s="37">
        <f t="shared" si="51"/>
        <v>9396</v>
      </c>
      <c r="AK84" s="37">
        <f t="shared" si="52"/>
        <v>9397</v>
      </c>
      <c r="AL84" s="37">
        <f t="shared" si="53"/>
        <v>9398</v>
      </c>
      <c r="AM84" s="37">
        <f t="shared" si="54"/>
        <v>9399</v>
      </c>
      <c r="AN84" s="38">
        <f t="shared" si="55"/>
        <v>9400</v>
      </c>
      <c r="AO84" s="36">
        <f t="shared" si="56"/>
        <v>9401</v>
      </c>
      <c r="AP84" s="37">
        <f t="shared" si="57"/>
        <v>9402</v>
      </c>
      <c r="AQ84" s="37">
        <f t="shared" si="58"/>
        <v>9403</v>
      </c>
      <c r="AR84" s="37">
        <f t="shared" si="59"/>
        <v>9404</v>
      </c>
      <c r="AS84" s="37">
        <f t="shared" si="60"/>
        <v>9405</v>
      </c>
      <c r="AT84" s="37">
        <f t="shared" si="61"/>
        <v>9406</v>
      </c>
      <c r="AU84" s="37">
        <f t="shared" si="62"/>
        <v>9407</v>
      </c>
      <c r="AV84" s="37">
        <f t="shared" si="63"/>
        <v>9408</v>
      </c>
      <c r="AW84" s="37">
        <f t="shared" si="64"/>
        <v>9409</v>
      </c>
      <c r="AX84" s="38">
        <f t="shared" si="65"/>
        <v>9410</v>
      </c>
      <c r="AY84" s="36">
        <f t="shared" si="66"/>
        <v>9411</v>
      </c>
      <c r="AZ84" s="37">
        <f t="shared" si="67"/>
        <v>9412</v>
      </c>
      <c r="BA84" s="37">
        <f t="shared" si="68"/>
        <v>9413</v>
      </c>
      <c r="BB84" s="37">
        <f t="shared" si="69"/>
        <v>9414</v>
      </c>
      <c r="BC84" s="37">
        <f t="shared" si="70"/>
        <v>9415</v>
      </c>
      <c r="BD84" s="37">
        <f t="shared" si="71"/>
        <v>9416</v>
      </c>
      <c r="BE84" s="37">
        <f t="shared" si="72"/>
        <v>9417</v>
      </c>
      <c r="BF84" s="37">
        <f t="shared" si="73"/>
        <v>9418</v>
      </c>
      <c r="BG84" s="37">
        <f t="shared" si="74"/>
        <v>9419</v>
      </c>
      <c r="BH84" s="38">
        <f t="shared" si="75"/>
        <v>9420</v>
      </c>
      <c r="BI84" s="36">
        <f t="shared" si="76"/>
        <v>9421</v>
      </c>
      <c r="BJ84" s="37">
        <f t="shared" si="77"/>
        <v>9422</v>
      </c>
      <c r="BK84" s="37">
        <f t="shared" si="78"/>
        <v>9423</v>
      </c>
      <c r="BL84" s="37">
        <f t="shared" si="79"/>
        <v>9424</v>
      </c>
      <c r="BM84" s="37">
        <f t="shared" si="80"/>
        <v>9425</v>
      </c>
      <c r="BN84" s="37">
        <f t="shared" si="81"/>
        <v>9426</v>
      </c>
      <c r="BO84" s="37">
        <f t="shared" si="82"/>
        <v>9427</v>
      </c>
      <c r="BP84" s="37">
        <f t="shared" si="83"/>
        <v>9428</v>
      </c>
      <c r="BQ84" s="37">
        <f t="shared" si="84"/>
        <v>9429</v>
      </c>
      <c r="BR84" s="39">
        <f t="shared" si="85"/>
        <v>9430</v>
      </c>
      <c r="BS84" s="36">
        <f t="shared" si="86"/>
        <v>9431</v>
      </c>
      <c r="BT84" s="37">
        <f t="shared" si="87"/>
        <v>9432</v>
      </c>
      <c r="BU84" s="37">
        <f t="shared" si="88"/>
        <v>9433</v>
      </c>
      <c r="BV84" s="37">
        <f t="shared" si="89"/>
        <v>9434</v>
      </c>
      <c r="BW84" s="37">
        <f t="shared" si="90"/>
        <v>9435</v>
      </c>
      <c r="BX84" s="37">
        <f t="shared" si="91"/>
        <v>9436</v>
      </c>
      <c r="BY84" s="37">
        <f t="shared" si="92"/>
        <v>9437</v>
      </c>
      <c r="BZ84" s="37">
        <f t="shared" si="93"/>
        <v>9438</v>
      </c>
      <c r="CA84" s="37">
        <f t="shared" si="94"/>
        <v>9439</v>
      </c>
      <c r="CB84" s="38">
        <f t="shared" si="95"/>
        <v>9440</v>
      </c>
      <c r="CC84" s="40">
        <f t="shared" si="96"/>
        <v>9441</v>
      </c>
      <c r="CD84" s="37">
        <f t="shared" si="97"/>
        <v>9442</v>
      </c>
      <c r="CE84" s="37">
        <f t="shared" si="98"/>
        <v>9443</v>
      </c>
      <c r="CF84" s="37">
        <f t="shared" si="99"/>
        <v>9444</v>
      </c>
      <c r="CG84" s="37">
        <f t="shared" si="100"/>
        <v>9445</v>
      </c>
      <c r="CH84" s="37">
        <f t="shared" si="101"/>
        <v>9446</v>
      </c>
      <c r="CI84" s="37">
        <f t="shared" si="102"/>
        <v>9447</v>
      </c>
      <c r="CJ84" s="37">
        <f t="shared" si="103"/>
        <v>9448</v>
      </c>
      <c r="CK84" s="37">
        <f t="shared" si="104"/>
        <v>9449</v>
      </c>
      <c r="CL84" s="39">
        <f t="shared" si="105"/>
        <v>9450</v>
      </c>
      <c r="CM84" s="36">
        <f t="shared" si="106"/>
        <v>9451</v>
      </c>
      <c r="CN84" s="37">
        <f t="shared" si="107"/>
        <v>9452</v>
      </c>
      <c r="CO84" s="37">
        <f t="shared" si="108"/>
        <v>9453</v>
      </c>
      <c r="CP84" s="37">
        <f t="shared" si="109"/>
        <v>9454</v>
      </c>
      <c r="CQ84" s="37">
        <f t="shared" si="110"/>
        <v>9455</v>
      </c>
      <c r="CR84" s="37">
        <f t="shared" si="111"/>
        <v>9456</v>
      </c>
      <c r="CS84" s="37">
        <f t="shared" si="112"/>
        <v>9457</v>
      </c>
      <c r="CT84" s="37">
        <f t="shared" si="113"/>
        <v>9458</v>
      </c>
      <c r="CU84" s="37">
        <f t="shared" si="114"/>
        <v>9459</v>
      </c>
      <c r="CV84" s="38">
        <f t="shared" si="115"/>
        <v>9460</v>
      </c>
      <c r="CW84" s="40">
        <f t="shared" si="116"/>
        <v>9461</v>
      </c>
      <c r="CX84" s="37">
        <f t="shared" si="117"/>
        <v>9462</v>
      </c>
      <c r="CY84" s="37">
        <f t="shared" si="118"/>
        <v>9463</v>
      </c>
      <c r="CZ84" s="37">
        <f t="shared" si="119"/>
        <v>9464</v>
      </c>
      <c r="DA84" s="37">
        <f t="shared" si="120"/>
        <v>9465</v>
      </c>
      <c r="DB84" s="37">
        <f t="shared" si="121"/>
        <v>9466</v>
      </c>
      <c r="DC84" s="37">
        <f t="shared" si="122"/>
        <v>9467</v>
      </c>
      <c r="DD84" s="37">
        <f t="shared" si="123"/>
        <v>9468</v>
      </c>
      <c r="DE84" s="37">
        <f t="shared" si="124"/>
        <v>9469</v>
      </c>
      <c r="DF84" s="39">
        <f t="shared" si="125"/>
        <v>9470</v>
      </c>
      <c r="DG84" s="36">
        <f t="shared" si="126"/>
        <v>9471</v>
      </c>
      <c r="DH84" s="37">
        <f t="shared" si="127"/>
        <v>9472</v>
      </c>
      <c r="DI84" s="37">
        <f t="shared" si="128"/>
        <v>9473</v>
      </c>
      <c r="DJ84" s="37">
        <f t="shared" si="129"/>
        <v>9474</v>
      </c>
      <c r="DK84" s="37">
        <f t="shared" si="130"/>
        <v>9475</v>
      </c>
      <c r="DL84" s="37">
        <f t="shared" si="131"/>
        <v>9476</v>
      </c>
      <c r="DM84" s="37">
        <f t="shared" si="132"/>
        <v>9477</v>
      </c>
      <c r="DN84" s="37">
        <f t="shared" si="133"/>
        <v>9478</v>
      </c>
      <c r="DO84" s="37">
        <f t="shared" si="134"/>
        <v>9479</v>
      </c>
      <c r="DP84" s="38">
        <f t="shared" si="135"/>
        <v>9480</v>
      </c>
      <c r="DR84" s="958"/>
      <c r="DS84" s="959"/>
      <c r="DT84" s="959"/>
      <c r="DU84" s="960"/>
    </row>
    <row r="85" spans="1:125" ht="5.75" customHeight="1">
      <c r="A85" s="36">
        <f t="shared" si="136"/>
        <v>9481</v>
      </c>
      <c r="B85" s="37">
        <f t="shared" si="17"/>
        <v>9482</v>
      </c>
      <c r="C85" s="37">
        <f t="shared" si="18"/>
        <v>9483</v>
      </c>
      <c r="D85" s="37">
        <f t="shared" si="19"/>
        <v>9484</v>
      </c>
      <c r="E85" s="37">
        <f t="shared" si="20"/>
        <v>9485</v>
      </c>
      <c r="F85" s="37">
        <f t="shared" si="21"/>
        <v>9486</v>
      </c>
      <c r="G85" s="37">
        <f t="shared" si="22"/>
        <v>9487</v>
      </c>
      <c r="H85" s="37">
        <f t="shared" si="23"/>
        <v>9488</v>
      </c>
      <c r="I85" s="37">
        <f t="shared" si="24"/>
        <v>9489</v>
      </c>
      <c r="J85" s="38">
        <f t="shared" si="25"/>
        <v>9490</v>
      </c>
      <c r="K85" s="36">
        <f t="shared" si="26"/>
        <v>9491</v>
      </c>
      <c r="L85" s="37">
        <f t="shared" si="27"/>
        <v>9492</v>
      </c>
      <c r="M85" s="37">
        <f t="shared" si="28"/>
        <v>9493</v>
      </c>
      <c r="N85" s="37">
        <f t="shared" si="29"/>
        <v>9494</v>
      </c>
      <c r="O85" s="37">
        <f t="shared" si="30"/>
        <v>9495</v>
      </c>
      <c r="P85" s="37">
        <f t="shared" si="31"/>
        <v>9496</v>
      </c>
      <c r="Q85" s="37">
        <f t="shared" si="32"/>
        <v>9497</v>
      </c>
      <c r="R85" s="37">
        <f t="shared" si="33"/>
        <v>9498</v>
      </c>
      <c r="S85" s="37">
        <f t="shared" si="34"/>
        <v>9499</v>
      </c>
      <c r="T85" s="38">
        <f t="shared" si="35"/>
        <v>9500</v>
      </c>
      <c r="U85" s="36">
        <f t="shared" si="36"/>
        <v>9501</v>
      </c>
      <c r="V85" s="37">
        <f t="shared" si="37"/>
        <v>9502</v>
      </c>
      <c r="W85" s="37">
        <f t="shared" si="38"/>
        <v>9503</v>
      </c>
      <c r="X85" s="37">
        <f t="shared" si="39"/>
        <v>9504</v>
      </c>
      <c r="Y85" s="37">
        <f t="shared" si="40"/>
        <v>9505</v>
      </c>
      <c r="Z85" s="37">
        <f t="shared" si="41"/>
        <v>9506</v>
      </c>
      <c r="AA85" s="37">
        <f t="shared" si="42"/>
        <v>9507</v>
      </c>
      <c r="AB85" s="37">
        <f t="shared" si="43"/>
        <v>9508</v>
      </c>
      <c r="AC85" s="37">
        <f t="shared" si="44"/>
        <v>9509</v>
      </c>
      <c r="AD85" s="38">
        <f t="shared" si="45"/>
        <v>9510</v>
      </c>
      <c r="AE85" s="36">
        <f t="shared" si="46"/>
        <v>9511</v>
      </c>
      <c r="AF85" s="37">
        <f t="shared" si="47"/>
        <v>9512</v>
      </c>
      <c r="AG85" s="37">
        <f t="shared" si="48"/>
        <v>9513</v>
      </c>
      <c r="AH85" s="37">
        <f t="shared" si="49"/>
        <v>9514</v>
      </c>
      <c r="AI85" s="37">
        <f t="shared" si="50"/>
        <v>9515</v>
      </c>
      <c r="AJ85" s="37">
        <f t="shared" si="51"/>
        <v>9516</v>
      </c>
      <c r="AK85" s="37">
        <f t="shared" si="52"/>
        <v>9517</v>
      </c>
      <c r="AL85" s="37">
        <f t="shared" si="53"/>
        <v>9518</v>
      </c>
      <c r="AM85" s="37">
        <f t="shared" si="54"/>
        <v>9519</v>
      </c>
      <c r="AN85" s="38">
        <f t="shared" si="55"/>
        <v>9520</v>
      </c>
      <c r="AO85" s="36">
        <f t="shared" si="56"/>
        <v>9521</v>
      </c>
      <c r="AP85" s="37">
        <f t="shared" si="57"/>
        <v>9522</v>
      </c>
      <c r="AQ85" s="37">
        <f t="shared" si="58"/>
        <v>9523</v>
      </c>
      <c r="AR85" s="37">
        <f t="shared" si="59"/>
        <v>9524</v>
      </c>
      <c r="AS85" s="37">
        <f t="shared" si="60"/>
        <v>9525</v>
      </c>
      <c r="AT85" s="37">
        <f t="shared" si="61"/>
        <v>9526</v>
      </c>
      <c r="AU85" s="37">
        <f t="shared" si="62"/>
        <v>9527</v>
      </c>
      <c r="AV85" s="37">
        <f t="shared" si="63"/>
        <v>9528</v>
      </c>
      <c r="AW85" s="37">
        <f t="shared" si="64"/>
        <v>9529</v>
      </c>
      <c r="AX85" s="38">
        <f t="shared" si="65"/>
        <v>9530</v>
      </c>
      <c r="AY85" s="36">
        <f t="shared" si="66"/>
        <v>9531</v>
      </c>
      <c r="AZ85" s="37">
        <f t="shared" si="67"/>
        <v>9532</v>
      </c>
      <c r="BA85" s="37">
        <f t="shared" si="68"/>
        <v>9533</v>
      </c>
      <c r="BB85" s="37">
        <f t="shared" si="69"/>
        <v>9534</v>
      </c>
      <c r="BC85" s="37">
        <f t="shared" si="70"/>
        <v>9535</v>
      </c>
      <c r="BD85" s="37">
        <f t="shared" si="71"/>
        <v>9536</v>
      </c>
      <c r="BE85" s="37">
        <f t="shared" si="72"/>
        <v>9537</v>
      </c>
      <c r="BF85" s="37">
        <f t="shared" si="73"/>
        <v>9538</v>
      </c>
      <c r="BG85" s="37">
        <f t="shared" si="74"/>
        <v>9539</v>
      </c>
      <c r="BH85" s="38">
        <f t="shared" si="75"/>
        <v>9540</v>
      </c>
      <c r="BI85" s="36">
        <f t="shared" si="76"/>
        <v>9541</v>
      </c>
      <c r="BJ85" s="37">
        <f t="shared" si="77"/>
        <v>9542</v>
      </c>
      <c r="BK85" s="37">
        <f t="shared" si="78"/>
        <v>9543</v>
      </c>
      <c r="BL85" s="37">
        <f t="shared" si="79"/>
        <v>9544</v>
      </c>
      <c r="BM85" s="37">
        <f t="shared" si="80"/>
        <v>9545</v>
      </c>
      <c r="BN85" s="37">
        <f t="shared" si="81"/>
        <v>9546</v>
      </c>
      <c r="BO85" s="37">
        <f t="shared" si="82"/>
        <v>9547</v>
      </c>
      <c r="BP85" s="37">
        <f t="shared" si="83"/>
        <v>9548</v>
      </c>
      <c r="BQ85" s="37">
        <f t="shared" si="84"/>
        <v>9549</v>
      </c>
      <c r="BR85" s="39">
        <f t="shared" si="85"/>
        <v>9550</v>
      </c>
      <c r="BS85" s="36">
        <f t="shared" si="86"/>
        <v>9551</v>
      </c>
      <c r="BT85" s="37">
        <f t="shared" si="87"/>
        <v>9552</v>
      </c>
      <c r="BU85" s="37">
        <f t="shared" si="88"/>
        <v>9553</v>
      </c>
      <c r="BV85" s="37">
        <f t="shared" si="89"/>
        <v>9554</v>
      </c>
      <c r="BW85" s="37">
        <f t="shared" si="90"/>
        <v>9555</v>
      </c>
      <c r="BX85" s="37">
        <f t="shared" si="91"/>
        <v>9556</v>
      </c>
      <c r="BY85" s="37">
        <f t="shared" si="92"/>
        <v>9557</v>
      </c>
      <c r="BZ85" s="37">
        <f t="shared" si="93"/>
        <v>9558</v>
      </c>
      <c r="CA85" s="37">
        <f t="shared" si="94"/>
        <v>9559</v>
      </c>
      <c r="CB85" s="38">
        <f t="shared" si="95"/>
        <v>9560</v>
      </c>
      <c r="CC85" s="40">
        <f t="shared" si="96"/>
        <v>9561</v>
      </c>
      <c r="CD85" s="37">
        <f t="shared" si="97"/>
        <v>9562</v>
      </c>
      <c r="CE85" s="37">
        <f t="shared" si="98"/>
        <v>9563</v>
      </c>
      <c r="CF85" s="37">
        <f t="shared" si="99"/>
        <v>9564</v>
      </c>
      <c r="CG85" s="37">
        <f t="shared" si="100"/>
        <v>9565</v>
      </c>
      <c r="CH85" s="37">
        <f t="shared" si="101"/>
        <v>9566</v>
      </c>
      <c r="CI85" s="37">
        <f t="shared" si="102"/>
        <v>9567</v>
      </c>
      <c r="CJ85" s="37">
        <f t="shared" si="103"/>
        <v>9568</v>
      </c>
      <c r="CK85" s="37">
        <f t="shared" si="104"/>
        <v>9569</v>
      </c>
      <c r="CL85" s="39">
        <f t="shared" si="105"/>
        <v>9570</v>
      </c>
      <c r="CM85" s="36">
        <f t="shared" si="106"/>
        <v>9571</v>
      </c>
      <c r="CN85" s="37">
        <f t="shared" si="107"/>
        <v>9572</v>
      </c>
      <c r="CO85" s="37">
        <f t="shared" si="108"/>
        <v>9573</v>
      </c>
      <c r="CP85" s="37">
        <f t="shared" si="109"/>
        <v>9574</v>
      </c>
      <c r="CQ85" s="37">
        <f t="shared" si="110"/>
        <v>9575</v>
      </c>
      <c r="CR85" s="37">
        <f t="shared" si="111"/>
        <v>9576</v>
      </c>
      <c r="CS85" s="37">
        <f t="shared" si="112"/>
        <v>9577</v>
      </c>
      <c r="CT85" s="37">
        <f t="shared" si="113"/>
        <v>9578</v>
      </c>
      <c r="CU85" s="37">
        <f t="shared" si="114"/>
        <v>9579</v>
      </c>
      <c r="CV85" s="38">
        <f t="shared" si="115"/>
        <v>9580</v>
      </c>
      <c r="CW85" s="40">
        <f t="shared" si="116"/>
        <v>9581</v>
      </c>
      <c r="CX85" s="37">
        <f t="shared" si="117"/>
        <v>9582</v>
      </c>
      <c r="CY85" s="37">
        <f t="shared" si="118"/>
        <v>9583</v>
      </c>
      <c r="CZ85" s="37">
        <f t="shared" si="119"/>
        <v>9584</v>
      </c>
      <c r="DA85" s="37">
        <f t="shared" si="120"/>
        <v>9585</v>
      </c>
      <c r="DB85" s="37">
        <f t="shared" si="121"/>
        <v>9586</v>
      </c>
      <c r="DC85" s="37">
        <f t="shared" si="122"/>
        <v>9587</v>
      </c>
      <c r="DD85" s="37">
        <f t="shared" si="123"/>
        <v>9588</v>
      </c>
      <c r="DE85" s="37">
        <f t="shared" si="124"/>
        <v>9589</v>
      </c>
      <c r="DF85" s="39">
        <f t="shared" si="125"/>
        <v>9590</v>
      </c>
      <c r="DG85" s="36">
        <f t="shared" si="126"/>
        <v>9591</v>
      </c>
      <c r="DH85" s="37">
        <f t="shared" si="127"/>
        <v>9592</v>
      </c>
      <c r="DI85" s="37">
        <f t="shared" si="128"/>
        <v>9593</v>
      </c>
      <c r="DJ85" s="37">
        <f t="shared" si="129"/>
        <v>9594</v>
      </c>
      <c r="DK85" s="37">
        <f t="shared" si="130"/>
        <v>9595</v>
      </c>
      <c r="DL85" s="37">
        <f t="shared" si="131"/>
        <v>9596</v>
      </c>
      <c r="DM85" s="37">
        <f t="shared" si="132"/>
        <v>9597</v>
      </c>
      <c r="DN85" s="37">
        <f t="shared" si="133"/>
        <v>9598</v>
      </c>
      <c r="DO85" s="37">
        <f t="shared" si="134"/>
        <v>9599</v>
      </c>
      <c r="DP85" s="38">
        <f t="shared" si="135"/>
        <v>9600</v>
      </c>
      <c r="DR85" s="958">
        <v>600</v>
      </c>
      <c r="DS85" s="959"/>
      <c r="DT85" s="959"/>
      <c r="DU85" s="960"/>
    </row>
    <row r="86" spans="1:125" ht="5.75" customHeight="1">
      <c r="A86" s="36">
        <f t="shared" si="136"/>
        <v>9601</v>
      </c>
      <c r="B86" s="37">
        <f t="shared" si="17"/>
        <v>9602</v>
      </c>
      <c r="C86" s="37">
        <f t="shared" si="18"/>
        <v>9603</v>
      </c>
      <c r="D86" s="37">
        <f t="shared" si="19"/>
        <v>9604</v>
      </c>
      <c r="E86" s="37">
        <f t="shared" si="20"/>
        <v>9605</v>
      </c>
      <c r="F86" s="37">
        <f t="shared" si="21"/>
        <v>9606</v>
      </c>
      <c r="G86" s="37">
        <f t="shared" si="22"/>
        <v>9607</v>
      </c>
      <c r="H86" s="37">
        <f t="shared" si="23"/>
        <v>9608</v>
      </c>
      <c r="I86" s="37">
        <f t="shared" si="24"/>
        <v>9609</v>
      </c>
      <c r="J86" s="38">
        <f t="shared" si="25"/>
        <v>9610</v>
      </c>
      <c r="K86" s="36">
        <f t="shared" si="26"/>
        <v>9611</v>
      </c>
      <c r="L86" s="37">
        <f t="shared" si="27"/>
        <v>9612</v>
      </c>
      <c r="M86" s="37">
        <f t="shared" si="28"/>
        <v>9613</v>
      </c>
      <c r="N86" s="37">
        <f t="shared" si="29"/>
        <v>9614</v>
      </c>
      <c r="O86" s="37">
        <f t="shared" si="30"/>
        <v>9615</v>
      </c>
      <c r="P86" s="37">
        <f t="shared" si="31"/>
        <v>9616</v>
      </c>
      <c r="Q86" s="37">
        <f t="shared" si="32"/>
        <v>9617</v>
      </c>
      <c r="R86" s="37">
        <f t="shared" si="33"/>
        <v>9618</v>
      </c>
      <c r="S86" s="37">
        <f t="shared" si="34"/>
        <v>9619</v>
      </c>
      <c r="T86" s="38">
        <f t="shared" si="35"/>
        <v>9620</v>
      </c>
      <c r="U86" s="36">
        <f t="shared" si="36"/>
        <v>9621</v>
      </c>
      <c r="V86" s="37">
        <f t="shared" si="37"/>
        <v>9622</v>
      </c>
      <c r="W86" s="37">
        <f t="shared" si="38"/>
        <v>9623</v>
      </c>
      <c r="X86" s="37">
        <f t="shared" si="39"/>
        <v>9624</v>
      </c>
      <c r="Y86" s="37">
        <f t="shared" si="40"/>
        <v>9625</v>
      </c>
      <c r="Z86" s="37">
        <f t="shared" si="41"/>
        <v>9626</v>
      </c>
      <c r="AA86" s="37">
        <f t="shared" si="42"/>
        <v>9627</v>
      </c>
      <c r="AB86" s="37">
        <f t="shared" si="43"/>
        <v>9628</v>
      </c>
      <c r="AC86" s="37">
        <f t="shared" si="44"/>
        <v>9629</v>
      </c>
      <c r="AD86" s="38">
        <f t="shared" si="45"/>
        <v>9630</v>
      </c>
      <c r="AE86" s="36">
        <f t="shared" si="46"/>
        <v>9631</v>
      </c>
      <c r="AF86" s="37">
        <f t="shared" si="47"/>
        <v>9632</v>
      </c>
      <c r="AG86" s="37">
        <f t="shared" si="48"/>
        <v>9633</v>
      </c>
      <c r="AH86" s="37">
        <f t="shared" si="49"/>
        <v>9634</v>
      </c>
      <c r="AI86" s="37">
        <f t="shared" si="50"/>
        <v>9635</v>
      </c>
      <c r="AJ86" s="37">
        <f t="shared" si="51"/>
        <v>9636</v>
      </c>
      <c r="AK86" s="37">
        <f t="shared" si="52"/>
        <v>9637</v>
      </c>
      <c r="AL86" s="37">
        <f t="shared" si="53"/>
        <v>9638</v>
      </c>
      <c r="AM86" s="37">
        <f t="shared" si="54"/>
        <v>9639</v>
      </c>
      <c r="AN86" s="38">
        <f t="shared" si="55"/>
        <v>9640</v>
      </c>
      <c r="AO86" s="36">
        <f t="shared" si="56"/>
        <v>9641</v>
      </c>
      <c r="AP86" s="37">
        <f t="shared" si="57"/>
        <v>9642</v>
      </c>
      <c r="AQ86" s="37">
        <f t="shared" si="58"/>
        <v>9643</v>
      </c>
      <c r="AR86" s="37">
        <f t="shared" si="59"/>
        <v>9644</v>
      </c>
      <c r="AS86" s="37">
        <f t="shared" si="60"/>
        <v>9645</v>
      </c>
      <c r="AT86" s="37">
        <f t="shared" si="61"/>
        <v>9646</v>
      </c>
      <c r="AU86" s="37">
        <f t="shared" si="62"/>
        <v>9647</v>
      </c>
      <c r="AV86" s="37">
        <f t="shared" si="63"/>
        <v>9648</v>
      </c>
      <c r="AW86" s="37">
        <f t="shared" si="64"/>
        <v>9649</v>
      </c>
      <c r="AX86" s="38">
        <f t="shared" si="65"/>
        <v>9650</v>
      </c>
      <c r="AY86" s="36">
        <f t="shared" si="66"/>
        <v>9651</v>
      </c>
      <c r="AZ86" s="37">
        <f t="shared" si="67"/>
        <v>9652</v>
      </c>
      <c r="BA86" s="37">
        <f t="shared" si="68"/>
        <v>9653</v>
      </c>
      <c r="BB86" s="37">
        <f t="shared" si="69"/>
        <v>9654</v>
      </c>
      <c r="BC86" s="37">
        <f t="shared" si="70"/>
        <v>9655</v>
      </c>
      <c r="BD86" s="37">
        <f t="shared" si="71"/>
        <v>9656</v>
      </c>
      <c r="BE86" s="37">
        <f t="shared" si="72"/>
        <v>9657</v>
      </c>
      <c r="BF86" s="37">
        <f t="shared" si="73"/>
        <v>9658</v>
      </c>
      <c r="BG86" s="37">
        <f t="shared" si="74"/>
        <v>9659</v>
      </c>
      <c r="BH86" s="38">
        <f t="shared" si="75"/>
        <v>9660</v>
      </c>
      <c r="BI86" s="36">
        <f t="shared" si="76"/>
        <v>9661</v>
      </c>
      <c r="BJ86" s="37">
        <f t="shared" si="77"/>
        <v>9662</v>
      </c>
      <c r="BK86" s="37">
        <f t="shared" si="78"/>
        <v>9663</v>
      </c>
      <c r="BL86" s="37">
        <f t="shared" si="79"/>
        <v>9664</v>
      </c>
      <c r="BM86" s="37">
        <f t="shared" si="80"/>
        <v>9665</v>
      </c>
      <c r="BN86" s="37">
        <f t="shared" si="81"/>
        <v>9666</v>
      </c>
      <c r="BO86" s="37">
        <f t="shared" si="82"/>
        <v>9667</v>
      </c>
      <c r="BP86" s="37">
        <f t="shared" si="83"/>
        <v>9668</v>
      </c>
      <c r="BQ86" s="37">
        <f t="shared" si="84"/>
        <v>9669</v>
      </c>
      <c r="BR86" s="39">
        <f t="shared" si="85"/>
        <v>9670</v>
      </c>
      <c r="BS86" s="36">
        <f t="shared" si="86"/>
        <v>9671</v>
      </c>
      <c r="BT86" s="37">
        <f t="shared" si="87"/>
        <v>9672</v>
      </c>
      <c r="BU86" s="37">
        <f t="shared" si="88"/>
        <v>9673</v>
      </c>
      <c r="BV86" s="37">
        <f t="shared" si="89"/>
        <v>9674</v>
      </c>
      <c r="BW86" s="37">
        <f t="shared" si="90"/>
        <v>9675</v>
      </c>
      <c r="BX86" s="37">
        <f t="shared" si="91"/>
        <v>9676</v>
      </c>
      <c r="BY86" s="37">
        <f t="shared" si="92"/>
        <v>9677</v>
      </c>
      <c r="BZ86" s="37">
        <f t="shared" si="93"/>
        <v>9678</v>
      </c>
      <c r="CA86" s="37">
        <f t="shared" si="94"/>
        <v>9679</v>
      </c>
      <c r="CB86" s="38">
        <f t="shared" si="95"/>
        <v>9680</v>
      </c>
      <c r="CC86" s="40">
        <f t="shared" si="96"/>
        <v>9681</v>
      </c>
      <c r="CD86" s="37">
        <f t="shared" si="97"/>
        <v>9682</v>
      </c>
      <c r="CE86" s="37">
        <f t="shared" si="98"/>
        <v>9683</v>
      </c>
      <c r="CF86" s="37">
        <f t="shared" si="99"/>
        <v>9684</v>
      </c>
      <c r="CG86" s="37">
        <f t="shared" si="100"/>
        <v>9685</v>
      </c>
      <c r="CH86" s="37">
        <f t="shared" si="101"/>
        <v>9686</v>
      </c>
      <c r="CI86" s="37">
        <f t="shared" si="102"/>
        <v>9687</v>
      </c>
      <c r="CJ86" s="37">
        <f t="shared" si="103"/>
        <v>9688</v>
      </c>
      <c r="CK86" s="37">
        <f t="shared" si="104"/>
        <v>9689</v>
      </c>
      <c r="CL86" s="39">
        <f t="shared" si="105"/>
        <v>9690</v>
      </c>
      <c r="CM86" s="36">
        <f t="shared" si="106"/>
        <v>9691</v>
      </c>
      <c r="CN86" s="37">
        <f t="shared" si="107"/>
        <v>9692</v>
      </c>
      <c r="CO86" s="37">
        <f t="shared" si="108"/>
        <v>9693</v>
      </c>
      <c r="CP86" s="37">
        <f t="shared" si="109"/>
        <v>9694</v>
      </c>
      <c r="CQ86" s="37">
        <f t="shared" si="110"/>
        <v>9695</v>
      </c>
      <c r="CR86" s="37">
        <f t="shared" si="111"/>
        <v>9696</v>
      </c>
      <c r="CS86" s="37">
        <f t="shared" si="112"/>
        <v>9697</v>
      </c>
      <c r="CT86" s="37">
        <f t="shared" si="113"/>
        <v>9698</v>
      </c>
      <c r="CU86" s="37">
        <f t="shared" si="114"/>
        <v>9699</v>
      </c>
      <c r="CV86" s="38">
        <f t="shared" si="115"/>
        <v>9700</v>
      </c>
      <c r="CW86" s="40">
        <f t="shared" si="116"/>
        <v>9701</v>
      </c>
      <c r="CX86" s="37">
        <f t="shared" si="117"/>
        <v>9702</v>
      </c>
      <c r="CY86" s="37">
        <f t="shared" si="118"/>
        <v>9703</v>
      </c>
      <c r="CZ86" s="37">
        <f t="shared" si="119"/>
        <v>9704</v>
      </c>
      <c r="DA86" s="37">
        <f t="shared" si="120"/>
        <v>9705</v>
      </c>
      <c r="DB86" s="37">
        <f t="shared" si="121"/>
        <v>9706</v>
      </c>
      <c r="DC86" s="37">
        <f t="shared" si="122"/>
        <v>9707</v>
      </c>
      <c r="DD86" s="37">
        <f t="shared" si="123"/>
        <v>9708</v>
      </c>
      <c r="DE86" s="37">
        <f t="shared" si="124"/>
        <v>9709</v>
      </c>
      <c r="DF86" s="39">
        <f t="shared" si="125"/>
        <v>9710</v>
      </c>
      <c r="DG86" s="36">
        <f t="shared" si="126"/>
        <v>9711</v>
      </c>
      <c r="DH86" s="37">
        <f t="shared" si="127"/>
        <v>9712</v>
      </c>
      <c r="DI86" s="37">
        <f t="shared" si="128"/>
        <v>9713</v>
      </c>
      <c r="DJ86" s="37">
        <f t="shared" si="129"/>
        <v>9714</v>
      </c>
      <c r="DK86" s="37">
        <f t="shared" si="130"/>
        <v>9715</v>
      </c>
      <c r="DL86" s="37">
        <f t="shared" si="131"/>
        <v>9716</v>
      </c>
      <c r="DM86" s="37">
        <f t="shared" si="132"/>
        <v>9717</v>
      </c>
      <c r="DN86" s="37">
        <f t="shared" si="133"/>
        <v>9718</v>
      </c>
      <c r="DO86" s="37">
        <f t="shared" si="134"/>
        <v>9719</v>
      </c>
      <c r="DP86" s="38">
        <f t="shared" si="135"/>
        <v>9720</v>
      </c>
      <c r="DR86" s="958"/>
      <c r="DS86" s="959"/>
      <c r="DT86" s="959"/>
      <c r="DU86" s="960"/>
    </row>
    <row r="87" spans="1:125" ht="5.75" customHeight="1">
      <c r="A87" s="36">
        <f t="shared" si="136"/>
        <v>9721</v>
      </c>
      <c r="B87" s="37">
        <f t="shared" si="17"/>
        <v>9722</v>
      </c>
      <c r="C87" s="37">
        <f t="shared" si="18"/>
        <v>9723</v>
      </c>
      <c r="D87" s="37">
        <f t="shared" si="19"/>
        <v>9724</v>
      </c>
      <c r="E87" s="37">
        <f t="shared" si="20"/>
        <v>9725</v>
      </c>
      <c r="F87" s="37">
        <f t="shared" si="21"/>
        <v>9726</v>
      </c>
      <c r="G87" s="37">
        <f t="shared" si="22"/>
        <v>9727</v>
      </c>
      <c r="H87" s="37">
        <f t="shared" si="23"/>
        <v>9728</v>
      </c>
      <c r="I87" s="37">
        <f t="shared" si="24"/>
        <v>9729</v>
      </c>
      <c r="J87" s="38">
        <f t="shared" si="25"/>
        <v>9730</v>
      </c>
      <c r="K87" s="36">
        <f t="shared" si="26"/>
        <v>9731</v>
      </c>
      <c r="L87" s="37">
        <f t="shared" si="27"/>
        <v>9732</v>
      </c>
      <c r="M87" s="37">
        <f t="shared" si="28"/>
        <v>9733</v>
      </c>
      <c r="N87" s="37">
        <f t="shared" si="29"/>
        <v>9734</v>
      </c>
      <c r="O87" s="37">
        <f t="shared" si="30"/>
        <v>9735</v>
      </c>
      <c r="P87" s="37">
        <f t="shared" si="31"/>
        <v>9736</v>
      </c>
      <c r="Q87" s="37">
        <f t="shared" si="32"/>
        <v>9737</v>
      </c>
      <c r="R87" s="37">
        <f t="shared" si="33"/>
        <v>9738</v>
      </c>
      <c r="S87" s="37">
        <f t="shared" si="34"/>
        <v>9739</v>
      </c>
      <c r="T87" s="38">
        <f t="shared" si="35"/>
        <v>9740</v>
      </c>
      <c r="U87" s="36">
        <f t="shared" si="36"/>
        <v>9741</v>
      </c>
      <c r="V87" s="37">
        <f t="shared" si="37"/>
        <v>9742</v>
      </c>
      <c r="W87" s="37">
        <f t="shared" si="38"/>
        <v>9743</v>
      </c>
      <c r="X87" s="37">
        <f t="shared" si="39"/>
        <v>9744</v>
      </c>
      <c r="Y87" s="37">
        <f t="shared" si="40"/>
        <v>9745</v>
      </c>
      <c r="Z87" s="37">
        <f t="shared" si="41"/>
        <v>9746</v>
      </c>
      <c r="AA87" s="37">
        <f t="shared" si="42"/>
        <v>9747</v>
      </c>
      <c r="AB87" s="37">
        <f t="shared" si="43"/>
        <v>9748</v>
      </c>
      <c r="AC87" s="37">
        <f t="shared" si="44"/>
        <v>9749</v>
      </c>
      <c r="AD87" s="38">
        <f t="shared" si="45"/>
        <v>9750</v>
      </c>
      <c r="AE87" s="36">
        <f t="shared" si="46"/>
        <v>9751</v>
      </c>
      <c r="AF87" s="37">
        <f t="shared" si="47"/>
        <v>9752</v>
      </c>
      <c r="AG87" s="37">
        <f t="shared" si="48"/>
        <v>9753</v>
      </c>
      <c r="AH87" s="37">
        <f t="shared" si="49"/>
        <v>9754</v>
      </c>
      <c r="AI87" s="37">
        <f t="shared" si="50"/>
        <v>9755</v>
      </c>
      <c r="AJ87" s="37">
        <f t="shared" si="51"/>
        <v>9756</v>
      </c>
      <c r="AK87" s="37">
        <f t="shared" si="52"/>
        <v>9757</v>
      </c>
      <c r="AL87" s="37">
        <f t="shared" si="53"/>
        <v>9758</v>
      </c>
      <c r="AM87" s="37">
        <f t="shared" si="54"/>
        <v>9759</v>
      </c>
      <c r="AN87" s="38">
        <f t="shared" si="55"/>
        <v>9760</v>
      </c>
      <c r="AO87" s="36">
        <f t="shared" si="56"/>
        <v>9761</v>
      </c>
      <c r="AP87" s="37">
        <f t="shared" si="57"/>
        <v>9762</v>
      </c>
      <c r="AQ87" s="37">
        <f t="shared" si="58"/>
        <v>9763</v>
      </c>
      <c r="AR87" s="37">
        <f t="shared" si="59"/>
        <v>9764</v>
      </c>
      <c r="AS87" s="37">
        <f t="shared" si="60"/>
        <v>9765</v>
      </c>
      <c r="AT87" s="37">
        <f t="shared" si="61"/>
        <v>9766</v>
      </c>
      <c r="AU87" s="37">
        <f t="shared" si="62"/>
        <v>9767</v>
      </c>
      <c r="AV87" s="37">
        <f t="shared" si="63"/>
        <v>9768</v>
      </c>
      <c r="AW87" s="37">
        <f t="shared" si="64"/>
        <v>9769</v>
      </c>
      <c r="AX87" s="38">
        <f t="shared" si="65"/>
        <v>9770</v>
      </c>
      <c r="AY87" s="36">
        <f t="shared" si="66"/>
        <v>9771</v>
      </c>
      <c r="AZ87" s="37">
        <f t="shared" si="67"/>
        <v>9772</v>
      </c>
      <c r="BA87" s="37">
        <f t="shared" si="68"/>
        <v>9773</v>
      </c>
      <c r="BB87" s="37">
        <f t="shared" si="69"/>
        <v>9774</v>
      </c>
      <c r="BC87" s="37">
        <f t="shared" si="70"/>
        <v>9775</v>
      </c>
      <c r="BD87" s="37">
        <f t="shared" si="71"/>
        <v>9776</v>
      </c>
      <c r="BE87" s="37">
        <f t="shared" si="72"/>
        <v>9777</v>
      </c>
      <c r="BF87" s="37">
        <f t="shared" si="73"/>
        <v>9778</v>
      </c>
      <c r="BG87" s="37">
        <f t="shared" si="74"/>
        <v>9779</v>
      </c>
      <c r="BH87" s="38">
        <f t="shared" si="75"/>
        <v>9780</v>
      </c>
      <c r="BI87" s="36">
        <f t="shared" si="76"/>
        <v>9781</v>
      </c>
      <c r="BJ87" s="37">
        <f t="shared" si="77"/>
        <v>9782</v>
      </c>
      <c r="BK87" s="37">
        <f t="shared" si="78"/>
        <v>9783</v>
      </c>
      <c r="BL87" s="37">
        <f t="shared" si="79"/>
        <v>9784</v>
      </c>
      <c r="BM87" s="37">
        <f t="shared" si="80"/>
        <v>9785</v>
      </c>
      <c r="BN87" s="37">
        <f t="shared" si="81"/>
        <v>9786</v>
      </c>
      <c r="BO87" s="37">
        <f t="shared" si="82"/>
        <v>9787</v>
      </c>
      <c r="BP87" s="37">
        <f t="shared" si="83"/>
        <v>9788</v>
      </c>
      <c r="BQ87" s="37">
        <f t="shared" si="84"/>
        <v>9789</v>
      </c>
      <c r="BR87" s="39">
        <f t="shared" si="85"/>
        <v>9790</v>
      </c>
      <c r="BS87" s="36">
        <f t="shared" si="86"/>
        <v>9791</v>
      </c>
      <c r="BT87" s="37">
        <f t="shared" si="87"/>
        <v>9792</v>
      </c>
      <c r="BU87" s="37">
        <f t="shared" si="88"/>
        <v>9793</v>
      </c>
      <c r="BV87" s="37">
        <f t="shared" si="89"/>
        <v>9794</v>
      </c>
      <c r="BW87" s="37">
        <f t="shared" si="90"/>
        <v>9795</v>
      </c>
      <c r="BX87" s="37">
        <f t="shared" si="91"/>
        <v>9796</v>
      </c>
      <c r="BY87" s="37">
        <f t="shared" si="92"/>
        <v>9797</v>
      </c>
      <c r="BZ87" s="37">
        <f t="shared" si="93"/>
        <v>9798</v>
      </c>
      <c r="CA87" s="37">
        <f t="shared" si="94"/>
        <v>9799</v>
      </c>
      <c r="CB87" s="38">
        <f t="shared" si="95"/>
        <v>9800</v>
      </c>
      <c r="CC87" s="40">
        <f t="shared" si="96"/>
        <v>9801</v>
      </c>
      <c r="CD87" s="37">
        <f t="shared" si="97"/>
        <v>9802</v>
      </c>
      <c r="CE87" s="37">
        <f t="shared" si="98"/>
        <v>9803</v>
      </c>
      <c r="CF87" s="37">
        <f t="shared" si="99"/>
        <v>9804</v>
      </c>
      <c r="CG87" s="37">
        <f t="shared" si="100"/>
        <v>9805</v>
      </c>
      <c r="CH87" s="37">
        <f t="shared" si="101"/>
        <v>9806</v>
      </c>
      <c r="CI87" s="37">
        <f t="shared" si="102"/>
        <v>9807</v>
      </c>
      <c r="CJ87" s="37">
        <f t="shared" si="103"/>
        <v>9808</v>
      </c>
      <c r="CK87" s="37">
        <f t="shared" si="104"/>
        <v>9809</v>
      </c>
      <c r="CL87" s="39">
        <f t="shared" si="105"/>
        <v>9810</v>
      </c>
      <c r="CM87" s="36">
        <f t="shared" si="106"/>
        <v>9811</v>
      </c>
      <c r="CN87" s="37">
        <f t="shared" si="107"/>
        <v>9812</v>
      </c>
      <c r="CO87" s="37">
        <f t="shared" si="108"/>
        <v>9813</v>
      </c>
      <c r="CP87" s="37">
        <f t="shared" si="109"/>
        <v>9814</v>
      </c>
      <c r="CQ87" s="37">
        <f t="shared" si="110"/>
        <v>9815</v>
      </c>
      <c r="CR87" s="37">
        <f t="shared" si="111"/>
        <v>9816</v>
      </c>
      <c r="CS87" s="37">
        <f t="shared" si="112"/>
        <v>9817</v>
      </c>
      <c r="CT87" s="37">
        <f t="shared" si="113"/>
        <v>9818</v>
      </c>
      <c r="CU87" s="37">
        <f t="shared" si="114"/>
        <v>9819</v>
      </c>
      <c r="CV87" s="38">
        <f t="shared" si="115"/>
        <v>9820</v>
      </c>
      <c r="CW87" s="40">
        <f t="shared" si="116"/>
        <v>9821</v>
      </c>
      <c r="CX87" s="37">
        <f t="shared" si="117"/>
        <v>9822</v>
      </c>
      <c r="CY87" s="37">
        <f t="shared" si="118"/>
        <v>9823</v>
      </c>
      <c r="CZ87" s="37">
        <f t="shared" si="119"/>
        <v>9824</v>
      </c>
      <c r="DA87" s="37">
        <f t="shared" si="120"/>
        <v>9825</v>
      </c>
      <c r="DB87" s="37">
        <f t="shared" si="121"/>
        <v>9826</v>
      </c>
      <c r="DC87" s="37">
        <f t="shared" si="122"/>
        <v>9827</v>
      </c>
      <c r="DD87" s="37">
        <f t="shared" si="123"/>
        <v>9828</v>
      </c>
      <c r="DE87" s="37">
        <f t="shared" si="124"/>
        <v>9829</v>
      </c>
      <c r="DF87" s="39">
        <f t="shared" si="125"/>
        <v>9830</v>
      </c>
      <c r="DG87" s="36">
        <f t="shared" si="126"/>
        <v>9831</v>
      </c>
      <c r="DH87" s="37">
        <f t="shared" si="127"/>
        <v>9832</v>
      </c>
      <c r="DI87" s="37">
        <f t="shared" si="128"/>
        <v>9833</v>
      </c>
      <c r="DJ87" s="37">
        <f t="shared" si="129"/>
        <v>9834</v>
      </c>
      <c r="DK87" s="37">
        <f t="shared" si="130"/>
        <v>9835</v>
      </c>
      <c r="DL87" s="37">
        <f t="shared" si="131"/>
        <v>9836</v>
      </c>
      <c r="DM87" s="37">
        <f t="shared" si="132"/>
        <v>9837</v>
      </c>
      <c r="DN87" s="37">
        <f t="shared" si="133"/>
        <v>9838</v>
      </c>
      <c r="DO87" s="37">
        <f t="shared" si="134"/>
        <v>9839</v>
      </c>
      <c r="DP87" s="38">
        <f t="shared" si="135"/>
        <v>9840</v>
      </c>
      <c r="DR87" s="958"/>
      <c r="DS87" s="959"/>
      <c r="DT87" s="959"/>
      <c r="DU87" s="960"/>
    </row>
    <row r="88" spans="1:125" ht="5.75" customHeight="1">
      <c r="A88" s="36">
        <f t="shared" si="136"/>
        <v>9841</v>
      </c>
      <c r="B88" s="37">
        <f t="shared" si="17"/>
        <v>9842</v>
      </c>
      <c r="C88" s="37">
        <f t="shared" si="18"/>
        <v>9843</v>
      </c>
      <c r="D88" s="37">
        <f t="shared" si="19"/>
        <v>9844</v>
      </c>
      <c r="E88" s="37">
        <f t="shared" si="20"/>
        <v>9845</v>
      </c>
      <c r="F88" s="37">
        <f t="shared" si="21"/>
        <v>9846</v>
      </c>
      <c r="G88" s="37">
        <f t="shared" si="22"/>
        <v>9847</v>
      </c>
      <c r="H88" s="37">
        <f t="shared" si="23"/>
        <v>9848</v>
      </c>
      <c r="I88" s="37">
        <f t="shared" si="24"/>
        <v>9849</v>
      </c>
      <c r="J88" s="38">
        <f t="shared" si="25"/>
        <v>9850</v>
      </c>
      <c r="K88" s="36">
        <f t="shared" si="26"/>
        <v>9851</v>
      </c>
      <c r="L88" s="37">
        <f t="shared" si="27"/>
        <v>9852</v>
      </c>
      <c r="M88" s="37">
        <f t="shared" si="28"/>
        <v>9853</v>
      </c>
      <c r="N88" s="37">
        <f t="shared" si="29"/>
        <v>9854</v>
      </c>
      <c r="O88" s="37">
        <f t="shared" si="30"/>
        <v>9855</v>
      </c>
      <c r="P88" s="37">
        <f t="shared" si="31"/>
        <v>9856</v>
      </c>
      <c r="Q88" s="37">
        <f t="shared" si="32"/>
        <v>9857</v>
      </c>
      <c r="R88" s="37">
        <f t="shared" si="33"/>
        <v>9858</v>
      </c>
      <c r="S88" s="37">
        <f t="shared" si="34"/>
        <v>9859</v>
      </c>
      <c r="T88" s="38">
        <f t="shared" si="35"/>
        <v>9860</v>
      </c>
      <c r="U88" s="36">
        <f t="shared" si="36"/>
        <v>9861</v>
      </c>
      <c r="V88" s="37">
        <f t="shared" si="37"/>
        <v>9862</v>
      </c>
      <c r="W88" s="37">
        <f t="shared" si="38"/>
        <v>9863</v>
      </c>
      <c r="X88" s="37">
        <f t="shared" si="39"/>
        <v>9864</v>
      </c>
      <c r="Y88" s="37">
        <f t="shared" si="40"/>
        <v>9865</v>
      </c>
      <c r="Z88" s="37">
        <f t="shared" si="41"/>
        <v>9866</v>
      </c>
      <c r="AA88" s="37">
        <f t="shared" si="42"/>
        <v>9867</v>
      </c>
      <c r="AB88" s="37">
        <f t="shared" si="43"/>
        <v>9868</v>
      </c>
      <c r="AC88" s="37">
        <f t="shared" si="44"/>
        <v>9869</v>
      </c>
      <c r="AD88" s="38">
        <f t="shared" si="45"/>
        <v>9870</v>
      </c>
      <c r="AE88" s="36">
        <f t="shared" si="46"/>
        <v>9871</v>
      </c>
      <c r="AF88" s="37">
        <f t="shared" si="47"/>
        <v>9872</v>
      </c>
      <c r="AG88" s="37">
        <f t="shared" si="48"/>
        <v>9873</v>
      </c>
      <c r="AH88" s="37">
        <f t="shared" si="49"/>
        <v>9874</v>
      </c>
      <c r="AI88" s="37">
        <f t="shared" si="50"/>
        <v>9875</v>
      </c>
      <c r="AJ88" s="37">
        <f t="shared" si="51"/>
        <v>9876</v>
      </c>
      <c r="AK88" s="37">
        <f t="shared" si="52"/>
        <v>9877</v>
      </c>
      <c r="AL88" s="37">
        <f t="shared" si="53"/>
        <v>9878</v>
      </c>
      <c r="AM88" s="37">
        <f t="shared" si="54"/>
        <v>9879</v>
      </c>
      <c r="AN88" s="38">
        <f t="shared" si="55"/>
        <v>9880</v>
      </c>
      <c r="AO88" s="36">
        <f t="shared" si="56"/>
        <v>9881</v>
      </c>
      <c r="AP88" s="37">
        <f t="shared" si="57"/>
        <v>9882</v>
      </c>
      <c r="AQ88" s="37">
        <f t="shared" si="58"/>
        <v>9883</v>
      </c>
      <c r="AR88" s="37">
        <f t="shared" si="59"/>
        <v>9884</v>
      </c>
      <c r="AS88" s="37">
        <f t="shared" si="60"/>
        <v>9885</v>
      </c>
      <c r="AT88" s="37">
        <f t="shared" si="61"/>
        <v>9886</v>
      </c>
      <c r="AU88" s="37">
        <f t="shared" si="62"/>
        <v>9887</v>
      </c>
      <c r="AV88" s="37">
        <f t="shared" si="63"/>
        <v>9888</v>
      </c>
      <c r="AW88" s="37">
        <f t="shared" si="64"/>
        <v>9889</v>
      </c>
      <c r="AX88" s="38">
        <f t="shared" si="65"/>
        <v>9890</v>
      </c>
      <c r="AY88" s="36">
        <f t="shared" si="66"/>
        <v>9891</v>
      </c>
      <c r="AZ88" s="37">
        <f t="shared" si="67"/>
        <v>9892</v>
      </c>
      <c r="BA88" s="37">
        <f t="shared" si="68"/>
        <v>9893</v>
      </c>
      <c r="BB88" s="37">
        <f t="shared" si="69"/>
        <v>9894</v>
      </c>
      <c r="BC88" s="37">
        <f t="shared" si="70"/>
        <v>9895</v>
      </c>
      <c r="BD88" s="37">
        <f t="shared" si="71"/>
        <v>9896</v>
      </c>
      <c r="BE88" s="37">
        <f t="shared" si="72"/>
        <v>9897</v>
      </c>
      <c r="BF88" s="37">
        <f t="shared" si="73"/>
        <v>9898</v>
      </c>
      <c r="BG88" s="37">
        <f t="shared" si="74"/>
        <v>9899</v>
      </c>
      <c r="BH88" s="38">
        <f t="shared" si="75"/>
        <v>9900</v>
      </c>
      <c r="BI88" s="36">
        <f t="shared" si="76"/>
        <v>9901</v>
      </c>
      <c r="BJ88" s="37">
        <f t="shared" si="77"/>
        <v>9902</v>
      </c>
      <c r="BK88" s="37">
        <f t="shared" si="78"/>
        <v>9903</v>
      </c>
      <c r="BL88" s="37">
        <f t="shared" si="79"/>
        <v>9904</v>
      </c>
      <c r="BM88" s="37">
        <f t="shared" si="80"/>
        <v>9905</v>
      </c>
      <c r="BN88" s="37">
        <f t="shared" si="81"/>
        <v>9906</v>
      </c>
      <c r="BO88" s="37">
        <f t="shared" si="82"/>
        <v>9907</v>
      </c>
      <c r="BP88" s="37">
        <f t="shared" si="83"/>
        <v>9908</v>
      </c>
      <c r="BQ88" s="37">
        <f t="shared" si="84"/>
        <v>9909</v>
      </c>
      <c r="BR88" s="39">
        <f t="shared" si="85"/>
        <v>9910</v>
      </c>
      <c r="BS88" s="36">
        <f t="shared" si="86"/>
        <v>9911</v>
      </c>
      <c r="BT88" s="37">
        <f t="shared" si="87"/>
        <v>9912</v>
      </c>
      <c r="BU88" s="37">
        <f t="shared" si="88"/>
        <v>9913</v>
      </c>
      <c r="BV88" s="37">
        <f t="shared" si="89"/>
        <v>9914</v>
      </c>
      <c r="BW88" s="37">
        <f t="shared" si="90"/>
        <v>9915</v>
      </c>
      <c r="BX88" s="37">
        <f t="shared" si="91"/>
        <v>9916</v>
      </c>
      <c r="BY88" s="37">
        <f t="shared" si="92"/>
        <v>9917</v>
      </c>
      <c r="BZ88" s="37">
        <f t="shared" si="93"/>
        <v>9918</v>
      </c>
      <c r="CA88" s="37">
        <f t="shared" si="94"/>
        <v>9919</v>
      </c>
      <c r="CB88" s="38">
        <f t="shared" si="95"/>
        <v>9920</v>
      </c>
      <c r="CC88" s="40">
        <f t="shared" si="96"/>
        <v>9921</v>
      </c>
      <c r="CD88" s="37">
        <f t="shared" si="97"/>
        <v>9922</v>
      </c>
      <c r="CE88" s="37">
        <f t="shared" si="98"/>
        <v>9923</v>
      </c>
      <c r="CF88" s="37">
        <f t="shared" si="99"/>
        <v>9924</v>
      </c>
      <c r="CG88" s="37">
        <f t="shared" si="100"/>
        <v>9925</v>
      </c>
      <c r="CH88" s="37">
        <f t="shared" si="101"/>
        <v>9926</v>
      </c>
      <c r="CI88" s="37">
        <f t="shared" si="102"/>
        <v>9927</v>
      </c>
      <c r="CJ88" s="37">
        <f t="shared" si="103"/>
        <v>9928</v>
      </c>
      <c r="CK88" s="37">
        <f t="shared" si="104"/>
        <v>9929</v>
      </c>
      <c r="CL88" s="39">
        <f t="shared" si="105"/>
        <v>9930</v>
      </c>
      <c r="CM88" s="36">
        <f t="shared" si="106"/>
        <v>9931</v>
      </c>
      <c r="CN88" s="37">
        <f t="shared" si="107"/>
        <v>9932</v>
      </c>
      <c r="CO88" s="37">
        <f t="shared" si="108"/>
        <v>9933</v>
      </c>
      <c r="CP88" s="37">
        <f t="shared" si="109"/>
        <v>9934</v>
      </c>
      <c r="CQ88" s="37">
        <f t="shared" si="110"/>
        <v>9935</v>
      </c>
      <c r="CR88" s="37">
        <f t="shared" si="111"/>
        <v>9936</v>
      </c>
      <c r="CS88" s="37">
        <f t="shared" si="112"/>
        <v>9937</v>
      </c>
      <c r="CT88" s="37">
        <f t="shared" si="113"/>
        <v>9938</v>
      </c>
      <c r="CU88" s="37">
        <f t="shared" si="114"/>
        <v>9939</v>
      </c>
      <c r="CV88" s="38">
        <f t="shared" si="115"/>
        <v>9940</v>
      </c>
      <c r="CW88" s="40">
        <f t="shared" si="116"/>
        <v>9941</v>
      </c>
      <c r="CX88" s="37">
        <f t="shared" si="117"/>
        <v>9942</v>
      </c>
      <c r="CY88" s="37">
        <f t="shared" si="118"/>
        <v>9943</v>
      </c>
      <c r="CZ88" s="37">
        <f t="shared" si="119"/>
        <v>9944</v>
      </c>
      <c r="DA88" s="37">
        <f t="shared" si="120"/>
        <v>9945</v>
      </c>
      <c r="DB88" s="37">
        <f t="shared" si="121"/>
        <v>9946</v>
      </c>
      <c r="DC88" s="37">
        <f t="shared" si="122"/>
        <v>9947</v>
      </c>
      <c r="DD88" s="37">
        <f t="shared" si="123"/>
        <v>9948</v>
      </c>
      <c r="DE88" s="37">
        <f t="shared" si="124"/>
        <v>9949</v>
      </c>
      <c r="DF88" s="39">
        <f t="shared" si="125"/>
        <v>9950</v>
      </c>
      <c r="DG88" s="36">
        <f t="shared" si="126"/>
        <v>9951</v>
      </c>
      <c r="DH88" s="37">
        <f t="shared" si="127"/>
        <v>9952</v>
      </c>
      <c r="DI88" s="37">
        <f t="shared" si="128"/>
        <v>9953</v>
      </c>
      <c r="DJ88" s="37">
        <f t="shared" si="129"/>
        <v>9954</v>
      </c>
      <c r="DK88" s="37">
        <f t="shared" si="130"/>
        <v>9955</v>
      </c>
      <c r="DL88" s="37">
        <f t="shared" si="131"/>
        <v>9956</v>
      </c>
      <c r="DM88" s="37">
        <f t="shared" si="132"/>
        <v>9957</v>
      </c>
      <c r="DN88" s="37">
        <f t="shared" si="133"/>
        <v>9958</v>
      </c>
      <c r="DO88" s="37">
        <f t="shared" si="134"/>
        <v>9959</v>
      </c>
      <c r="DP88" s="38">
        <f t="shared" si="135"/>
        <v>9960</v>
      </c>
      <c r="DR88" s="958">
        <v>700</v>
      </c>
      <c r="DS88" s="959"/>
      <c r="DT88" s="959"/>
      <c r="DU88" s="960"/>
    </row>
    <row r="89" spans="1:125" ht="5.75" customHeight="1">
      <c r="A89" s="36">
        <f t="shared" si="136"/>
        <v>9961</v>
      </c>
      <c r="B89" s="37">
        <f t="shared" si="17"/>
        <v>9962</v>
      </c>
      <c r="C89" s="37">
        <f t="shared" si="18"/>
        <v>9963</v>
      </c>
      <c r="D89" s="37">
        <f t="shared" si="19"/>
        <v>9964</v>
      </c>
      <c r="E89" s="37">
        <f t="shared" si="20"/>
        <v>9965</v>
      </c>
      <c r="F89" s="37">
        <f t="shared" si="21"/>
        <v>9966</v>
      </c>
      <c r="G89" s="37">
        <f t="shared" si="22"/>
        <v>9967</v>
      </c>
      <c r="H89" s="37">
        <f t="shared" si="23"/>
        <v>9968</v>
      </c>
      <c r="I89" s="37">
        <f t="shared" si="24"/>
        <v>9969</v>
      </c>
      <c r="J89" s="38">
        <f t="shared" si="25"/>
        <v>9970</v>
      </c>
      <c r="K89" s="36">
        <f t="shared" si="26"/>
        <v>9971</v>
      </c>
      <c r="L89" s="37">
        <f t="shared" si="27"/>
        <v>9972</v>
      </c>
      <c r="M89" s="37">
        <f t="shared" si="28"/>
        <v>9973</v>
      </c>
      <c r="N89" s="37">
        <f t="shared" si="29"/>
        <v>9974</v>
      </c>
      <c r="O89" s="37">
        <f t="shared" si="30"/>
        <v>9975</v>
      </c>
      <c r="P89" s="37">
        <f t="shared" si="31"/>
        <v>9976</v>
      </c>
      <c r="Q89" s="37">
        <f t="shared" si="32"/>
        <v>9977</v>
      </c>
      <c r="R89" s="37">
        <f t="shared" si="33"/>
        <v>9978</v>
      </c>
      <c r="S89" s="37">
        <f t="shared" si="34"/>
        <v>9979</v>
      </c>
      <c r="T89" s="38">
        <f t="shared" si="35"/>
        <v>9980</v>
      </c>
      <c r="U89" s="36">
        <f t="shared" si="36"/>
        <v>9981</v>
      </c>
      <c r="V89" s="37">
        <f t="shared" si="37"/>
        <v>9982</v>
      </c>
      <c r="W89" s="37">
        <f t="shared" si="38"/>
        <v>9983</v>
      </c>
      <c r="X89" s="37">
        <f t="shared" si="39"/>
        <v>9984</v>
      </c>
      <c r="Y89" s="37">
        <f t="shared" si="40"/>
        <v>9985</v>
      </c>
      <c r="Z89" s="37">
        <f t="shared" si="41"/>
        <v>9986</v>
      </c>
      <c r="AA89" s="37">
        <f t="shared" si="42"/>
        <v>9987</v>
      </c>
      <c r="AB89" s="37">
        <f t="shared" si="43"/>
        <v>9988</v>
      </c>
      <c r="AC89" s="37">
        <f t="shared" si="44"/>
        <v>9989</v>
      </c>
      <c r="AD89" s="38">
        <f t="shared" si="45"/>
        <v>9990</v>
      </c>
      <c r="AE89" s="36">
        <f t="shared" si="46"/>
        <v>9991</v>
      </c>
      <c r="AF89" s="37">
        <f t="shared" si="47"/>
        <v>9992</v>
      </c>
      <c r="AG89" s="37">
        <f t="shared" si="48"/>
        <v>9993</v>
      </c>
      <c r="AH89" s="37">
        <f t="shared" si="49"/>
        <v>9994</v>
      </c>
      <c r="AI89" s="37">
        <f t="shared" si="50"/>
        <v>9995</v>
      </c>
      <c r="AJ89" s="37">
        <f t="shared" si="51"/>
        <v>9996</v>
      </c>
      <c r="AK89" s="37">
        <f t="shared" si="52"/>
        <v>9997</v>
      </c>
      <c r="AL89" s="37">
        <f t="shared" si="53"/>
        <v>9998</v>
      </c>
      <c r="AM89" s="37">
        <f t="shared" si="54"/>
        <v>9999</v>
      </c>
      <c r="AN89" s="38">
        <f t="shared" si="55"/>
        <v>10000</v>
      </c>
      <c r="AO89" s="36">
        <f t="shared" si="56"/>
        <v>10001</v>
      </c>
      <c r="AP89" s="37">
        <f t="shared" si="57"/>
        <v>10002</v>
      </c>
      <c r="AQ89" s="37">
        <f t="shared" si="58"/>
        <v>10003</v>
      </c>
      <c r="AR89" s="37">
        <f t="shared" si="59"/>
        <v>10004</v>
      </c>
      <c r="AS89" s="37">
        <f t="shared" si="60"/>
        <v>10005</v>
      </c>
      <c r="AT89" s="37">
        <f t="shared" si="61"/>
        <v>10006</v>
      </c>
      <c r="AU89" s="37">
        <f t="shared" si="62"/>
        <v>10007</v>
      </c>
      <c r="AV89" s="37">
        <f t="shared" si="63"/>
        <v>10008</v>
      </c>
      <c r="AW89" s="37">
        <f t="shared" si="64"/>
        <v>10009</v>
      </c>
      <c r="AX89" s="38">
        <f t="shared" si="65"/>
        <v>10010</v>
      </c>
      <c r="AY89" s="36">
        <f t="shared" si="66"/>
        <v>10011</v>
      </c>
      <c r="AZ89" s="37">
        <f t="shared" si="67"/>
        <v>10012</v>
      </c>
      <c r="BA89" s="37">
        <f t="shared" si="68"/>
        <v>10013</v>
      </c>
      <c r="BB89" s="37">
        <f t="shared" si="69"/>
        <v>10014</v>
      </c>
      <c r="BC89" s="37">
        <f t="shared" si="70"/>
        <v>10015</v>
      </c>
      <c r="BD89" s="37">
        <f t="shared" si="71"/>
        <v>10016</v>
      </c>
      <c r="BE89" s="37">
        <f t="shared" si="72"/>
        <v>10017</v>
      </c>
      <c r="BF89" s="37">
        <f t="shared" si="73"/>
        <v>10018</v>
      </c>
      <c r="BG89" s="37">
        <f t="shared" si="74"/>
        <v>10019</v>
      </c>
      <c r="BH89" s="38">
        <f t="shared" si="75"/>
        <v>10020</v>
      </c>
      <c r="BI89" s="36">
        <f t="shared" si="76"/>
        <v>10021</v>
      </c>
      <c r="BJ89" s="37">
        <f t="shared" si="77"/>
        <v>10022</v>
      </c>
      <c r="BK89" s="37">
        <f t="shared" si="78"/>
        <v>10023</v>
      </c>
      <c r="BL89" s="37">
        <f t="shared" si="79"/>
        <v>10024</v>
      </c>
      <c r="BM89" s="37">
        <f t="shared" si="80"/>
        <v>10025</v>
      </c>
      <c r="BN89" s="37">
        <f t="shared" si="81"/>
        <v>10026</v>
      </c>
      <c r="BO89" s="37">
        <f t="shared" si="82"/>
        <v>10027</v>
      </c>
      <c r="BP89" s="37">
        <f t="shared" si="83"/>
        <v>10028</v>
      </c>
      <c r="BQ89" s="37">
        <f t="shared" si="84"/>
        <v>10029</v>
      </c>
      <c r="BR89" s="39">
        <f t="shared" si="85"/>
        <v>10030</v>
      </c>
      <c r="BS89" s="36">
        <f t="shared" si="86"/>
        <v>10031</v>
      </c>
      <c r="BT89" s="37">
        <f t="shared" si="87"/>
        <v>10032</v>
      </c>
      <c r="BU89" s="37">
        <f t="shared" si="88"/>
        <v>10033</v>
      </c>
      <c r="BV89" s="37">
        <f t="shared" si="89"/>
        <v>10034</v>
      </c>
      <c r="BW89" s="37">
        <f t="shared" si="90"/>
        <v>10035</v>
      </c>
      <c r="BX89" s="37">
        <f t="shared" si="91"/>
        <v>10036</v>
      </c>
      <c r="BY89" s="37">
        <f t="shared" si="92"/>
        <v>10037</v>
      </c>
      <c r="BZ89" s="37">
        <f t="shared" si="93"/>
        <v>10038</v>
      </c>
      <c r="CA89" s="37">
        <f t="shared" si="94"/>
        <v>10039</v>
      </c>
      <c r="CB89" s="38">
        <f t="shared" si="95"/>
        <v>10040</v>
      </c>
      <c r="CC89" s="40">
        <f t="shared" si="96"/>
        <v>10041</v>
      </c>
      <c r="CD89" s="37">
        <f t="shared" si="97"/>
        <v>10042</v>
      </c>
      <c r="CE89" s="37">
        <f t="shared" si="98"/>
        <v>10043</v>
      </c>
      <c r="CF89" s="37">
        <f t="shared" si="99"/>
        <v>10044</v>
      </c>
      <c r="CG89" s="37">
        <f t="shared" si="100"/>
        <v>10045</v>
      </c>
      <c r="CH89" s="37">
        <f t="shared" si="101"/>
        <v>10046</v>
      </c>
      <c r="CI89" s="37">
        <f t="shared" si="102"/>
        <v>10047</v>
      </c>
      <c r="CJ89" s="37">
        <f t="shared" si="103"/>
        <v>10048</v>
      </c>
      <c r="CK89" s="37">
        <f t="shared" si="104"/>
        <v>10049</v>
      </c>
      <c r="CL89" s="39">
        <f t="shared" si="105"/>
        <v>10050</v>
      </c>
      <c r="CM89" s="36">
        <f t="shared" si="106"/>
        <v>10051</v>
      </c>
      <c r="CN89" s="37">
        <f t="shared" si="107"/>
        <v>10052</v>
      </c>
      <c r="CO89" s="37">
        <f t="shared" si="108"/>
        <v>10053</v>
      </c>
      <c r="CP89" s="37">
        <f t="shared" si="109"/>
        <v>10054</v>
      </c>
      <c r="CQ89" s="37">
        <f t="shared" si="110"/>
        <v>10055</v>
      </c>
      <c r="CR89" s="37">
        <f t="shared" si="111"/>
        <v>10056</v>
      </c>
      <c r="CS89" s="37">
        <f t="shared" si="112"/>
        <v>10057</v>
      </c>
      <c r="CT89" s="37">
        <f t="shared" si="113"/>
        <v>10058</v>
      </c>
      <c r="CU89" s="37">
        <f t="shared" si="114"/>
        <v>10059</v>
      </c>
      <c r="CV89" s="38">
        <f t="shared" si="115"/>
        <v>10060</v>
      </c>
      <c r="CW89" s="40">
        <f t="shared" si="116"/>
        <v>10061</v>
      </c>
      <c r="CX89" s="37">
        <f t="shared" si="117"/>
        <v>10062</v>
      </c>
      <c r="CY89" s="37">
        <f t="shared" si="118"/>
        <v>10063</v>
      </c>
      <c r="CZ89" s="37">
        <f t="shared" si="119"/>
        <v>10064</v>
      </c>
      <c r="DA89" s="37">
        <f t="shared" si="120"/>
        <v>10065</v>
      </c>
      <c r="DB89" s="37">
        <f t="shared" si="121"/>
        <v>10066</v>
      </c>
      <c r="DC89" s="37">
        <f t="shared" si="122"/>
        <v>10067</v>
      </c>
      <c r="DD89" s="37">
        <f t="shared" si="123"/>
        <v>10068</v>
      </c>
      <c r="DE89" s="37">
        <f t="shared" si="124"/>
        <v>10069</v>
      </c>
      <c r="DF89" s="39">
        <f t="shared" si="125"/>
        <v>10070</v>
      </c>
      <c r="DG89" s="36">
        <f t="shared" si="126"/>
        <v>10071</v>
      </c>
      <c r="DH89" s="37">
        <f t="shared" si="127"/>
        <v>10072</v>
      </c>
      <c r="DI89" s="37">
        <f t="shared" si="128"/>
        <v>10073</v>
      </c>
      <c r="DJ89" s="37">
        <f t="shared" si="129"/>
        <v>10074</v>
      </c>
      <c r="DK89" s="37">
        <f t="shared" si="130"/>
        <v>10075</v>
      </c>
      <c r="DL89" s="37">
        <f t="shared" si="131"/>
        <v>10076</v>
      </c>
      <c r="DM89" s="37">
        <f t="shared" si="132"/>
        <v>10077</v>
      </c>
      <c r="DN89" s="37">
        <f t="shared" si="133"/>
        <v>10078</v>
      </c>
      <c r="DO89" s="37">
        <f t="shared" si="134"/>
        <v>10079</v>
      </c>
      <c r="DP89" s="38">
        <f t="shared" si="135"/>
        <v>10080</v>
      </c>
      <c r="DR89" s="958"/>
      <c r="DS89" s="959"/>
      <c r="DT89" s="959"/>
      <c r="DU89" s="960"/>
    </row>
    <row r="90" spans="1:125" ht="5.75" customHeight="1">
      <c r="A90" s="36">
        <f t="shared" si="136"/>
        <v>10081</v>
      </c>
      <c r="B90" s="37">
        <f t="shared" si="17"/>
        <v>10082</v>
      </c>
      <c r="C90" s="37">
        <f t="shared" si="18"/>
        <v>10083</v>
      </c>
      <c r="D90" s="37">
        <f t="shared" si="19"/>
        <v>10084</v>
      </c>
      <c r="E90" s="37">
        <f t="shared" si="20"/>
        <v>10085</v>
      </c>
      <c r="F90" s="37">
        <f t="shared" si="21"/>
        <v>10086</v>
      </c>
      <c r="G90" s="37">
        <f t="shared" si="22"/>
        <v>10087</v>
      </c>
      <c r="H90" s="37">
        <f t="shared" si="23"/>
        <v>10088</v>
      </c>
      <c r="I90" s="37">
        <f t="shared" si="24"/>
        <v>10089</v>
      </c>
      <c r="J90" s="38">
        <f t="shared" si="25"/>
        <v>10090</v>
      </c>
      <c r="K90" s="36">
        <f t="shared" si="26"/>
        <v>10091</v>
      </c>
      <c r="L90" s="37">
        <f t="shared" si="27"/>
        <v>10092</v>
      </c>
      <c r="M90" s="37">
        <f t="shared" si="28"/>
        <v>10093</v>
      </c>
      <c r="N90" s="37">
        <f t="shared" si="29"/>
        <v>10094</v>
      </c>
      <c r="O90" s="37">
        <f t="shared" si="30"/>
        <v>10095</v>
      </c>
      <c r="P90" s="37">
        <f t="shared" si="31"/>
        <v>10096</v>
      </c>
      <c r="Q90" s="37">
        <f t="shared" si="32"/>
        <v>10097</v>
      </c>
      <c r="R90" s="37">
        <f t="shared" si="33"/>
        <v>10098</v>
      </c>
      <c r="S90" s="37">
        <f t="shared" si="34"/>
        <v>10099</v>
      </c>
      <c r="T90" s="38">
        <f t="shared" si="35"/>
        <v>10100</v>
      </c>
      <c r="U90" s="36">
        <f t="shared" si="36"/>
        <v>10101</v>
      </c>
      <c r="V90" s="37">
        <f t="shared" si="37"/>
        <v>10102</v>
      </c>
      <c r="W90" s="37">
        <f t="shared" si="38"/>
        <v>10103</v>
      </c>
      <c r="X90" s="37">
        <f t="shared" si="39"/>
        <v>10104</v>
      </c>
      <c r="Y90" s="37">
        <f t="shared" si="40"/>
        <v>10105</v>
      </c>
      <c r="Z90" s="37">
        <f t="shared" si="41"/>
        <v>10106</v>
      </c>
      <c r="AA90" s="37">
        <f t="shared" si="42"/>
        <v>10107</v>
      </c>
      <c r="AB90" s="37">
        <f t="shared" si="43"/>
        <v>10108</v>
      </c>
      <c r="AC90" s="37">
        <f t="shared" si="44"/>
        <v>10109</v>
      </c>
      <c r="AD90" s="38">
        <f t="shared" si="45"/>
        <v>10110</v>
      </c>
      <c r="AE90" s="36">
        <f t="shared" si="46"/>
        <v>10111</v>
      </c>
      <c r="AF90" s="37">
        <f t="shared" si="47"/>
        <v>10112</v>
      </c>
      <c r="AG90" s="37">
        <f t="shared" si="48"/>
        <v>10113</v>
      </c>
      <c r="AH90" s="37">
        <f t="shared" si="49"/>
        <v>10114</v>
      </c>
      <c r="AI90" s="37">
        <f t="shared" si="50"/>
        <v>10115</v>
      </c>
      <c r="AJ90" s="37">
        <f t="shared" si="51"/>
        <v>10116</v>
      </c>
      <c r="AK90" s="37">
        <f t="shared" si="52"/>
        <v>10117</v>
      </c>
      <c r="AL90" s="37">
        <f t="shared" si="53"/>
        <v>10118</v>
      </c>
      <c r="AM90" s="37">
        <f t="shared" si="54"/>
        <v>10119</v>
      </c>
      <c r="AN90" s="38">
        <f t="shared" si="55"/>
        <v>10120</v>
      </c>
      <c r="AO90" s="36">
        <f t="shared" si="56"/>
        <v>10121</v>
      </c>
      <c r="AP90" s="37">
        <f t="shared" si="57"/>
        <v>10122</v>
      </c>
      <c r="AQ90" s="37">
        <f t="shared" si="58"/>
        <v>10123</v>
      </c>
      <c r="AR90" s="37">
        <f t="shared" si="59"/>
        <v>10124</v>
      </c>
      <c r="AS90" s="37">
        <f t="shared" si="60"/>
        <v>10125</v>
      </c>
      <c r="AT90" s="37">
        <f t="shared" si="61"/>
        <v>10126</v>
      </c>
      <c r="AU90" s="37">
        <f t="shared" si="62"/>
        <v>10127</v>
      </c>
      <c r="AV90" s="37">
        <f t="shared" si="63"/>
        <v>10128</v>
      </c>
      <c r="AW90" s="37">
        <f t="shared" si="64"/>
        <v>10129</v>
      </c>
      <c r="AX90" s="38">
        <f t="shared" si="65"/>
        <v>10130</v>
      </c>
      <c r="AY90" s="36">
        <f t="shared" si="66"/>
        <v>10131</v>
      </c>
      <c r="AZ90" s="37">
        <f t="shared" si="67"/>
        <v>10132</v>
      </c>
      <c r="BA90" s="37">
        <f t="shared" si="68"/>
        <v>10133</v>
      </c>
      <c r="BB90" s="37">
        <f t="shared" si="69"/>
        <v>10134</v>
      </c>
      <c r="BC90" s="37">
        <f t="shared" si="70"/>
        <v>10135</v>
      </c>
      <c r="BD90" s="37">
        <f t="shared" si="71"/>
        <v>10136</v>
      </c>
      <c r="BE90" s="37">
        <f t="shared" si="72"/>
        <v>10137</v>
      </c>
      <c r="BF90" s="37">
        <f t="shared" si="73"/>
        <v>10138</v>
      </c>
      <c r="BG90" s="37">
        <f t="shared" si="74"/>
        <v>10139</v>
      </c>
      <c r="BH90" s="38">
        <f t="shared" si="75"/>
        <v>10140</v>
      </c>
      <c r="BI90" s="36">
        <f t="shared" si="76"/>
        <v>10141</v>
      </c>
      <c r="BJ90" s="37">
        <f t="shared" si="77"/>
        <v>10142</v>
      </c>
      <c r="BK90" s="37">
        <f t="shared" si="78"/>
        <v>10143</v>
      </c>
      <c r="BL90" s="37">
        <f t="shared" si="79"/>
        <v>10144</v>
      </c>
      <c r="BM90" s="37">
        <f t="shared" si="80"/>
        <v>10145</v>
      </c>
      <c r="BN90" s="37">
        <f t="shared" si="81"/>
        <v>10146</v>
      </c>
      <c r="BO90" s="37">
        <f t="shared" si="82"/>
        <v>10147</v>
      </c>
      <c r="BP90" s="37">
        <f t="shared" si="83"/>
        <v>10148</v>
      </c>
      <c r="BQ90" s="37">
        <f t="shared" si="84"/>
        <v>10149</v>
      </c>
      <c r="BR90" s="39">
        <f t="shared" si="85"/>
        <v>10150</v>
      </c>
      <c r="BS90" s="36">
        <f t="shared" si="86"/>
        <v>10151</v>
      </c>
      <c r="BT90" s="37">
        <f t="shared" si="87"/>
        <v>10152</v>
      </c>
      <c r="BU90" s="37">
        <f t="shared" si="88"/>
        <v>10153</v>
      </c>
      <c r="BV90" s="37">
        <f t="shared" si="89"/>
        <v>10154</v>
      </c>
      <c r="BW90" s="37">
        <f t="shared" si="90"/>
        <v>10155</v>
      </c>
      <c r="BX90" s="37">
        <f t="shared" si="91"/>
        <v>10156</v>
      </c>
      <c r="BY90" s="37">
        <f t="shared" si="92"/>
        <v>10157</v>
      </c>
      <c r="BZ90" s="37">
        <f t="shared" si="93"/>
        <v>10158</v>
      </c>
      <c r="CA90" s="37">
        <f t="shared" si="94"/>
        <v>10159</v>
      </c>
      <c r="CB90" s="38">
        <f t="shared" si="95"/>
        <v>10160</v>
      </c>
      <c r="CC90" s="40">
        <f t="shared" si="96"/>
        <v>10161</v>
      </c>
      <c r="CD90" s="37">
        <f t="shared" si="97"/>
        <v>10162</v>
      </c>
      <c r="CE90" s="37">
        <f t="shared" si="98"/>
        <v>10163</v>
      </c>
      <c r="CF90" s="37">
        <f t="shared" si="99"/>
        <v>10164</v>
      </c>
      <c r="CG90" s="37">
        <f t="shared" si="100"/>
        <v>10165</v>
      </c>
      <c r="CH90" s="37">
        <f t="shared" si="101"/>
        <v>10166</v>
      </c>
      <c r="CI90" s="37">
        <f t="shared" si="102"/>
        <v>10167</v>
      </c>
      <c r="CJ90" s="37">
        <f t="shared" si="103"/>
        <v>10168</v>
      </c>
      <c r="CK90" s="37">
        <f t="shared" si="104"/>
        <v>10169</v>
      </c>
      <c r="CL90" s="39">
        <f t="shared" si="105"/>
        <v>10170</v>
      </c>
      <c r="CM90" s="36">
        <f t="shared" si="106"/>
        <v>10171</v>
      </c>
      <c r="CN90" s="37">
        <f t="shared" si="107"/>
        <v>10172</v>
      </c>
      <c r="CO90" s="37">
        <f t="shared" si="108"/>
        <v>10173</v>
      </c>
      <c r="CP90" s="37">
        <f t="shared" si="109"/>
        <v>10174</v>
      </c>
      <c r="CQ90" s="37">
        <f t="shared" si="110"/>
        <v>10175</v>
      </c>
      <c r="CR90" s="37">
        <f t="shared" si="111"/>
        <v>10176</v>
      </c>
      <c r="CS90" s="37">
        <f t="shared" si="112"/>
        <v>10177</v>
      </c>
      <c r="CT90" s="37">
        <f t="shared" si="113"/>
        <v>10178</v>
      </c>
      <c r="CU90" s="37">
        <f t="shared" si="114"/>
        <v>10179</v>
      </c>
      <c r="CV90" s="38">
        <f t="shared" si="115"/>
        <v>10180</v>
      </c>
      <c r="CW90" s="40">
        <f t="shared" si="116"/>
        <v>10181</v>
      </c>
      <c r="CX90" s="37">
        <f t="shared" si="117"/>
        <v>10182</v>
      </c>
      <c r="CY90" s="37">
        <f t="shared" si="118"/>
        <v>10183</v>
      </c>
      <c r="CZ90" s="37">
        <f t="shared" si="119"/>
        <v>10184</v>
      </c>
      <c r="DA90" s="37">
        <f t="shared" si="120"/>
        <v>10185</v>
      </c>
      <c r="DB90" s="37">
        <f t="shared" si="121"/>
        <v>10186</v>
      </c>
      <c r="DC90" s="37">
        <f t="shared" si="122"/>
        <v>10187</v>
      </c>
      <c r="DD90" s="37">
        <f t="shared" si="123"/>
        <v>10188</v>
      </c>
      <c r="DE90" s="37">
        <f t="shared" si="124"/>
        <v>10189</v>
      </c>
      <c r="DF90" s="39">
        <f t="shared" si="125"/>
        <v>10190</v>
      </c>
      <c r="DG90" s="36">
        <f t="shared" si="126"/>
        <v>10191</v>
      </c>
      <c r="DH90" s="37">
        <f t="shared" si="127"/>
        <v>10192</v>
      </c>
      <c r="DI90" s="37">
        <f t="shared" si="128"/>
        <v>10193</v>
      </c>
      <c r="DJ90" s="37">
        <f t="shared" si="129"/>
        <v>10194</v>
      </c>
      <c r="DK90" s="37">
        <f t="shared" si="130"/>
        <v>10195</v>
      </c>
      <c r="DL90" s="37">
        <f t="shared" si="131"/>
        <v>10196</v>
      </c>
      <c r="DM90" s="37">
        <f t="shared" si="132"/>
        <v>10197</v>
      </c>
      <c r="DN90" s="37">
        <f t="shared" si="133"/>
        <v>10198</v>
      </c>
      <c r="DO90" s="37">
        <f t="shared" si="134"/>
        <v>10199</v>
      </c>
      <c r="DP90" s="38">
        <f t="shared" si="135"/>
        <v>10200</v>
      </c>
      <c r="DR90" s="958"/>
      <c r="DS90" s="959"/>
      <c r="DT90" s="959"/>
      <c r="DU90" s="960"/>
    </row>
    <row r="91" spans="1:125" ht="5.75" customHeight="1">
      <c r="A91" s="36">
        <f t="shared" si="136"/>
        <v>10201</v>
      </c>
      <c r="B91" s="37">
        <f t="shared" si="17"/>
        <v>10202</v>
      </c>
      <c r="C91" s="37">
        <f t="shared" si="18"/>
        <v>10203</v>
      </c>
      <c r="D91" s="37">
        <f t="shared" si="19"/>
        <v>10204</v>
      </c>
      <c r="E91" s="37">
        <f t="shared" si="20"/>
        <v>10205</v>
      </c>
      <c r="F91" s="37">
        <f t="shared" si="21"/>
        <v>10206</v>
      </c>
      <c r="G91" s="37">
        <f t="shared" si="22"/>
        <v>10207</v>
      </c>
      <c r="H91" s="37">
        <f t="shared" si="23"/>
        <v>10208</v>
      </c>
      <c r="I91" s="37">
        <f t="shared" si="24"/>
        <v>10209</v>
      </c>
      <c r="J91" s="38">
        <f t="shared" si="25"/>
        <v>10210</v>
      </c>
      <c r="K91" s="36">
        <f t="shared" si="26"/>
        <v>10211</v>
      </c>
      <c r="L91" s="37">
        <f t="shared" si="27"/>
        <v>10212</v>
      </c>
      <c r="M91" s="37">
        <f t="shared" si="28"/>
        <v>10213</v>
      </c>
      <c r="N91" s="37">
        <f t="shared" si="29"/>
        <v>10214</v>
      </c>
      <c r="O91" s="37">
        <f t="shared" si="30"/>
        <v>10215</v>
      </c>
      <c r="P91" s="37">
        <f t="shared" si="31"/>
        <v>10216</v>
      </c>
      <c r="Q91" s="37">
        <f t="shared" si="32"/>
        <v>10217</v>
      </c>
      <c r="R91" s="37">
        <f t="shared" si="33"/>
        <v>10218</v>
      </c>
      <c r="S91" s="37">
        <f t="shared" si="34"/>
        <v>10219</v>
      </c>
      <c r="T91" s="38">
        <f t="shared" si="35"/>
        <v>10220</v>
      </c>
      <c r="U91" s="36">
        <f t="shared" si="36"/>
        <v>10221</v>
      </c>
      <c r="V91" s="37">
        <f t="shared" si="37"/>
        <v>10222</v>
      </c>
      <c r="W91" s="37">
        <f t="shared" si="38"/>
        <v>10223</v>
      </c>
      <c r="X91" s="37">
        <f t="shared" si="39"/>
        <v>10224</v>
      </c>
      <c r="Y91" s="37">
        <f t="shared" si="40"/>
        <v>10225</v>
      </c>
      <c r="Z91" s="37">
        <f t="shared" si="41"/>
        <v>10226</v>
      </c>
      <c r="AA91" s="37">
        <f t="shared" si="42"/>
        <v>10227</v>
      </c>
      <c r="AB91" s="37">
        <f t="shared" si="43"/>
        <v>10228</v>
      </c>
      <c r="AC91" s="37">
        <f t="shared" si="44"/>
        <v>10229</v>
      </c>
      <c r="AD91" s="38">
        <f t="shared" si="45"/>
        <v>10230</v>
      </c>
      <c r="AE91" s="36">
        <f t="shared" si="46"/>
        <v>10231</v>
      </c>
      <c r="AF91" s="37">
        <f t="shared" si="47"/>
        <v>10232</v>
      </c>
      <c r="AG91" s="37">
        <f t="shared" si="48"/>
        <v>10233</v>
      </c>
      <c r="AH91" s="37">
        <f t="shared" si="49"/>
        <v>10234</v>
      </c>
      <c r="AI91" s="37">
        <f t="shared" si="50"/>
        <v>10235</v>
      </c>
      <c r="AJ91" s="37">
        <f t="shared" si="51"/>
        <v>10236</v>
      </c>
      <c r="AK91" s="37">
        <f t="shared" si="52"/>
        <v>10237</v>
      </c>
      <c r="AL91" s="37">
        <f t="shared" si="53"/>
        <v>10238</v>
      </c>
      <c r="AM91" s="37">
        <f t="shared" si="54"/>
        <v>10239</v>
      </c>
      <c r="AN91" s="38">
        <f t="shared" si="55"/>
        <v>10240</v>
      </c>
      <c r="AO91" s="36">
        <f t="shared" si="56"/>
        <v>10241</v>
      </c>
      <c r="AP91" s="37">
        <f t="shared" si="57"/>
        <v>10242</v>
      </c>
      <c r="AQ91" s="37">
        <f t="shared" si="58"/>
        <v>10243</v>
      </c>
      <c r="AR91" s="37">
        <f t="shared" si="59"/>
        <v>10244</v>
      </c>
      <c r="AS91" s="37">
        <f t="shared" si="60"/>
        <v>10245</v>
      </c>
      <c r="AT91" s="37">
        <f t="shared" si="61"/>
        <v>10246</v>
      </c>
      <c r="AU91" s="37">
        <f t="shared" si="62"/>
        <v>10247</v>
      </c>
      <c r="AV91" s="37">
        <f t="shared" si="63"/>
        <v>10248</v>
      </c>
      <c r="AW91" s="37">
        <f t="shared" si="64"/>
        <v>10249</v>
      </c>
      <c r="AX91" s="38">
        <f t="shared" si="65"/>
        <v>10250</v>
      </c>
      <c r="AY91" s="36">
        <f t="shared" si="66"/>
        <v>10251</v>
      </c>
      <c r="AZ91" s="37">
        <f t="shared" si="67"/>
        <v>10252</v>
      </c>
      <c r="BA91" s="37">
        <f t="shared" si="68"/>
        <v>10253</v>
      </c>
      <c r="BB91" s="37">
        <f t="shared" si="69"/>
        <v>10254</v>
      </c>
      <c r="BC91" s="37">
        <f t="shared" si="70"/>
        <v>10255</v>
      </c>
      <c r="BD91" s="37">
        <f t="shared" si="71"/>
        <v>10256</v>
      </c>
      <c r="BE91" s="37">
        <f t="shared" si="72"/>
        <v>10257</v>
      </c>
      <c r="BF91" s="37">
        <f t="shared" si="73"/>
        <v>10258</v>
      </c>
      <c r="BG91" s="37">
        <f t="shared" si="74"/>
        <v>10259</v>
      </c>
      <c r="BH91" s="38">
        <f t="shared" si="75"/>
        <v>10260</v>
      </c>
      <c r="BI91" s="36">
        <f t="shared" si="76"/>
        <v>10261</v>
      </c>
      <c r="BJ91" s="37">
        <f t="shared" si="77"/>
        <v>10262</v>
      </c>
      <c r="BK91" s="37">
        <f t="shared" si="78"/>
        <v>10263</v>
      </c>
      <c r="BL91" s="37">
        <f t="shared" si="79"/>
        <v>10264</v>
      </c>
      <c r="BM91" s="37">
        <f t="shared" si="80"/>
        <v>10265</v>
      </c>
      <c r="BN91" s="37">
        <f t="shared" si="81"/>
        <v>10266</v>
      </c>
      <c r="BO91" s="37">
        <f t="shared" si="82"/>
        <v>10267</v>
      </c>
      <c r="BP91" s="37">
        <f t="shared" si="83"/>
        <v>10268</v>
      </c>
      <c r="BQ91" s="37">
        <f t="shared" si="84"/>
        <v>10269</v>
      </c>
      <c r="BR91" s="39">
        <f t="shared" si="85"/>
        <v>10270</v>
      </c>
      <c r="BS91" s="36">
        <f t="shared" si="86"/>
        <v>10271</v>
      </c>
      <c r="BT91" s="37">
        <f t="shared" si="87"/>
        <v>10272</v>
      </c>
      <c r="BU91" s="37">
        <f t="shared" si="88"/>
        <v>10273</v>
      </c>
      <c r="BV91" s="37">
        <f t="shared" si="89"/>
        <v>10274</v>
      </c>
      <c r="BW91" s="37">
        <f t="shared" si="90"/>
        <v>10275</v>
      </c>
      <c r="BX91" s="37">
        <f t="shared" si="91"/>
        <v>10276</v>
      </c>
      <c r="BY91" s="37">
        <f t="shared" si="92"/>
        <v>10277</v>
      </c>
      <c r="BZ91" s="37">
        <f t="shared" si="93"/>
        <v>10278</v>
      </c>
      <c r="CA91" s="37">
        <f t="shared" si="94"/>
        <v>10279</v>
      </c>
      <c r="CB91" s="38">
        <f t="shared" si="95"/>
        <v>10280</v>
      </c>
      <c r="CC91" s="40">
        <f t="shared" si="96"/>
        <v>10281</v>
      </c>
      <c r="CD91" s="37">
        <f t="shared" si="97"/>
        <v>10282</v>
      </c>
      <c r="CE91" s="37">
        <f t="shared" si="98"/>
        <v>10283</v>
      </c>
      <c r="CF91" s="37">
        <f t="shared" si="99"/>
        <v>10284</v>
      </c>
      <c r="CG91" s="37">
        <f t="shared" si="100"/>
        <v>10285</v>
      </c>
      <c r="CH91" s="37">
        <f t="shared" si="101"/>
        <v>10286</v>
      </c>
      <c r="CI91" s="37">
        <f t="shared" si="102"/>
        <v>10287</v>
      </c>
      <c r="CJ91" s="37">
        <f t="shared" si="103"/>
        <v>10288</v>
      </c>
      <c r="CK91" s="37">
        <f t="shared" si="104"/>
        <v>10289</v>
      </c>
      <c r="CL91" s="39">
        <f t="shared" si="105"/>
        <v>10290</v>
      </c>
      <c r="CM91" s="36">
        <f t="shared" si="106"/>
        <v>10291</v>
      </c>
      <c r="CN91" s="37">
        <f t="shared" si="107"/>
        <v>10292</v>
      </c>
      <c r="CO91" s="37">
        <f t="shared" si="108"/>
        <v>10293</v>
      </c>
      <c r="CP91" s="37">
        <f t="shared" si="109"/>
        <v>10294</v>
      </c>
      <c r="CQ91" s="37">
        <f t="shared" si="110"/>
        <v>10295</v>
      </c>
      <c r="CR91" s="37">
        <f t="shared" si="111"/>
        <v>10296</v>
      </c>
      <c r="CS91" s="37">
        <f t="shared" si="112"/>
        <v>10297</v>
      </c>
      <c r="CT91" s="37">
        <f t="shared" si="113"/>
        <v>10298</v>
      </c>
      <c r="CU91" s="37">
        <f t="shared" si="114"/>
        <v>10299</v>
      </c>
      <c r="CV91" s="38">
        <f t="shared" si="115"/>
        <v>10300</v>
      </c>
      <c r="CW91" s="40">
        <f t="shared" si="116"/>
        <v>10301</v>
      </c>
      <c r="CX91" s="37">
        <f t="shared" si="117"/>
        <v>10302</v>
      </c>
      <c r="CY91" s="37">
        <f t="shared" si="118"/>
        <v>10303</v>
      </c>
      <c r="CZ91" s="37">
        <f t="shared" si="119"/>
        <v>10304</v>
      </c>
      <c r="DA91" s="37">
        <f t="shared" si="120"/>
        <v>10305</v>
      </c>
      <c r="DB91" s="37">
        <f t="shared" si="121"/>
        <v>10306</v>
      </c>
      <c r="DC91" s="37">
        <f t="shared" si="122"/>
        <v>10307</v>
      </c>
      <c r="DD91" s="37">
        <f t="shared" si="123"/>
        <v>10308</v>
      </c>
      <c r="DE91" s="37">
        <f t="shared" si="124"/>
        <v>10309</v>
      </c>
      <c r="DF91" s="39">
        <f t="shared" si="125"/>
        <v>10310</v>
      </c>
      <c r="DG91" s="36">
        <f t="shared" si="126"/>
        <v>10311</v>
      </c>
      <c r="DH91" s="37">
        <f t="shared" si="127"/>
        <v>10312</v>
      </c>
      <c r="DI91" s="37">
        <f t="shared" si="128"/>
        <v>10313</v>
      </c>
      <c r="DJ91" s="37">
        <f t="shared" si="129"/>
        <v>10314</v>
      </c>
      <c r="DK91" s="37">
        <f t="shared" si="130"/>
        <v>10315</v>
      </c>
      <c r="DL91" s="37">
        <f t="shared" si="131"/>
        <v>10316</v>
      </c>
      <c r="DM91" s="37">
        <f t="shared" si="132"/>
        <v>10317</v>
      </c>
      <c r="DN91" s="37">
        <f t="shared" si="133"/>
        <v>10318</v>
      </c>
      <c r="DO91" s="37">
        <f t="shared" si="134"/>
        <v>10319</v>
      </c>
      <c r="DP91" s="38">
        <f t="shared" si="135"/>
        <v>10320</v>
      </c>
      <c r="DR91" s="958">
        <v>800</v>
      </c>
      <c r="DS91" s="959"/>
      <c r="DT91" s="959"/>
      <c r="DU91" s="960"/>
    </row>
    <row r="92" spans="1:125" ht="5.75" customHeight="1">
      <c r="A92" s="36">
        <f t="shared" si="136"/>
        <v>10321</v>
      </c>
      <c r="B92" s="37">
        <f t="shared" si="17"/>
        <v>10322</v>
      </c>
      <c r="C92" s="37">
        <f t="shared" si="18"/>
        <v>10323</v>
      </c>
      <c r="D92" s="37">
        <f t="shared" si="19"/>
        <v>10324</v>
      </c>
      <c r="E92" s="37">
        <f t="shared" si="20"/>
        <v>10325</v>
      </c>
      <c r="F92" s="37">
        <f t="shared" si="21"/>
        <v>10326</v>
      </c>
      <c r="G92" s="37">
        <f t="shared" si="22"/>
        <v>10327</v>
      </c>
      <c r="H92" s="37">
        <f t="shared" si="23"/>
        <v>10328</v>
      </c>
      <c r="I92" s="37">
        <f t="shared" si="24"/>
        <v>10329</v>
      </c>
      <c r="J92" s="38">
        <f t="shared" si="25"/>
        <v>10330</v>
      </c>
      <c r="K92" s="36">
        <f t="shared" si="26"/>
        <v>10331</v>
      </c>
      <c r="L92" s="37">
        <f t="shared" si="27"/>
        <v>10332</v>
      </c>
      <c r="M92" s="37">
        <f t="shared" si="28"/>
        <v>10333</v>
      </c>
      <c r="N92" s="37">
        <f t="shared" si="29"/>
        <v>10334</v>
      </c>
      <c r="O92" s="37">
        <f t="shared" si="30"/>
        <v>10335</v>
      </c>
      <c r="P92" s="37">
        <f t="shared" si="31"/>
        <v>10336</v>
      </c>
      <c r="Q92" s="37">
        <f t="shared" si="32"/>
        <v>10337</v>
      </c>
      <c r="R92" s="37">
        <f t="shared" si="33"/>
        <v>10338</v>
      </c>
      <c r="S92" s="37">
        <f t="shared" si="34"/>
        <v>10339</v>
      </c>
      <c r="T92" s="38">
        <f t="shared" si="35"/>
        <v>10340</v>
      </c>
      <c r="U92" s="36">
        <f t="shared" si="36"/>
        <v>10341</v>
      </c>
      <c r="V92" s="37">
        <f t="shared" si="37"/>
        <v>10342</v>
      </c>
      <c r="W92" s="37">
        <f t="shared" si="38"/>
        <v>10343</v>
      </c>
      <c r="X92" s="37">
        <f t="shared" si="39"/>
        <v>10344</v>
      </c>
      <c r="Y92" s="37">
        <f t="shared" si="40"/>
        <v>10345</v>
      </c>
      <c r="Z92" s="37">
        <f t="shared" si="41"/>
        <v>10346</v>
      </c>
      <c r="AA92" s="37">
        <f t="shared" si="42"/>
        <v>10347</v>
      </c>
      <c r="AB92" s="37">
        <f t="shared" si="43"/>
        <v>10348</v>
      </c>
      <c r="AC92" s="37">
        <f t="shared" si="44"/>
        <v>10349</v>
      </c>
      <c r="AD92" s="38">
        <f t="shared" si="45"/>
        <v>10350</v>
      </c>
      <c r="AE92" s="36">
        <f t="shared" si="46"/>
        <v>10351</v>
      </c>
      <c r="AF92" s="37">
        <f t="shared" si="47"/>
        <v>10352</v>
      </c>
      <c r="AG92" s="37">
        <f t="shared" si="48"/>
        <v>10353</v>
      </c>
      <c r="AH92" s="37">
        <f t="shared" si="49"/>
        <v>10354</v>
      </c>
      <c r="AI92" s="37">
        <f t="shared" si="50"/>
        <v>10355</v>
      </c>
      <c r="AJ92" s="37">
        <f t="shared" si="51"/>
        <v>10356</v>
      </c>
      <c r="AK92" s="37">
        <f t="shared" si="52"/>
        <v>10357</v>
      </c>
      <c r="AL92" s="37">
        <f t="shared" si="53"/>
        <v>10358</v>
      </c>
      <c r="AM92" s="37">
        <f t="shared" si="54"/>
        <v>10359</v>
      </c>
      <c r="AN92" s="38">
        <f t="shared" si="55"/>
        <v>10360</v>
      </c>
      <c r="AO92" s="36">
        <f t="shared" si="56"/>
        <v>10361</v>
      </c>
      <c r="AP92" s="37">
        <f t="shared" si="57"/>
        <v>10362</v>
      </c>
      <c r="AQ92" s="37">
        <f t="shared" si="58"/>
        <v>10363</v>
      </c>
      <c r="AR92" s="37">
        <f t="shared" si="59"/>
        <v>10364</v>
      </c>
      <c r="AS92" s="37">
        <f t="shared" si="60"/>
        <v>10365</v>
      </c>
      <c r="AT92" s="37">
        <f t="shared" si="61"/>
        <v>10366</v>
      </c>
      <c r="AU92" s="37">
        <f t="shared" si="62"/>
        <v>10367</v>
      </c>
      <c r="AV92" s="37">
        <f t="shared" si="63"/>
        <v>10368</v>
      </c>
      <c r="AW92" s="37">
        <f t="shared" si="64"/>
        <v>10369</v>
      </c>
      <c r="AX92" s="38">
        <f t="shared" si="65"/>
        <v>10370</v>
      </c>
      <c r="AY92" s="36">
        <f t="shared" si="66"/>
        <v>10371</v>
      </c>
      <c r="AZ92" s="37">
        <f t="shared" si="67"/>
        <v>10372</v>
      </c>
      <c r="BA92" s="37">
        <f t="shared" si="68"/>
        <v>10373</v>
      </c>
      <c r="BB92" s="37">
        <f t="shared" si="69"/>
        <v>10374</v>
      </c>
      <c r="BC92" s="37">
        <f t="shared" si="70"/>
        <v>10375</v>
      </c>
      <c r="BD92" s="37">
        <f t="shared" si="71"/>
        <v>10376</v>
      </c>
      <c r="BE92" s="37">
        <f t="shared" si="72"/>
        <v>10377</v>
      </c>
      <c r="BF92" s="37">
        <f t="shared" si="73"/>
        <v>10378</v>
      </c>
      <c r="BG92" s="37">
        <f t="shared" si="74"/>
        <v>10379</v>
      </c>
      <c r="BH92" s="38">
        <f t="shared" si="75"/>
        <v>10380</v>
      </c>
      <c r="BI92" s="36">
        <f t="shared" si="76"/>
        <v>10381</v>
      </c>
      <c r="BJ92" s="37">
        <f t="shared" si="77"/>
        <v>10382</v>
      </c>
      <c r="BK92" s="37">
        <f t="shared" si="78"/>
        <v>10383</v>
      </c>
      <c r="BL92" s="37">
        <f t="shared" si="79"/>
        <v>10384</v>
      </c>
      <c r="BM92" s="37">
        <f t="shared" si="80"/>
        <v>10385</v>
      </c>
      <c r="BN92" s="37">
        <f t="shared" si="81"/>
        <v>10386</v>
      </c>
      <c r="BO92" s="37">
        <f t="shared" si="82"/>
        <v>10387</v>
      </c>
      <c r="BP92" s="37">
        <f t="shared" si="83"/>
        <v>10388</v>
      </c>
      <c r="BQ92" s="37">
        <f t="shared" si="84"/>
        <v>10389</v>
      </c>
      <c r="BR92" s="39">
        <f t="shared" si="85"/>
        <v>10390</v>
      </c>
      <c r="BS92" s="36">
        <f t="shared" si="86"/>
        <v>10391</v>
      </c>
      <c r="BT92" s="37">
        <f t="shared" si="87"/>
        <v>10392</v>
      </c>
      <c r="BU92" s="37">
        <f t="shared" si="88"/>
        <v>10393</v>
      </c>
      <c r="BV92" s="37">
        <f t="shared" si="89"/>
        <v>10394</v>
      </c>
      <c r="BW92" s="37">
        <f t="shared" si="90"/>
        <v>10395</v>
      </c>
      <c r="BX92" s="37">
        <f t="shared" si="91"/>
        <v>10396</v>
      </c>
      <c r="BY92" s="37">
        <f t="shared" si="92"/>
        <v>10397</v>
      </c>
      <c r="BZ92" s="37">
        <f t="shared" si="93"/>
        <v>10398</v>
      </c>
      <c r="CA92" s="37">
        <f t="shared" si="94"/>
        <v>10399</v>
      </c>
      <c r="CB92" s="38">
        <f t="shared" si="95"/>
        <v>10400</v>
      </c>
      <c r="CC92" s="40">
        <f t="shared" si="96"/>
        <v>10401</v>
      </c>
      <c r="CD92" s="37">
        <f t="shared" si="97"/>
        <v>10402</v>
      </c>
      <c r="CE92" s="37">
        <f t="shared" si="98"/>
        <v>10403</v>
      </c>
      <c r="CF92" s="37">
        <f t="shared" si="99"/>
        <v>10404</v>
      </c>
      <c r="CG92" s="37">
        <f t="shared" si="100"/>
        <v>10405</v>
      </c>
      <c r="CH92" s="37">
        <f t="shared" si="101"/>
        <v>10406</v>
      </c>
      <c r="CI92" s="37">
        <f t="shared" si="102"/>
        <v>10407</v>
      </c>
      <c r="CJ92" s="37">
        <f t="shared" si="103"/>
        <v>10408</v>
      </c>
      <c r="CK92" s="37">
        <f t="shared" si="104"/>
        <v>10409</v>
      </c>
      <c r="CL92" s="39">
        <f t="shared" si="105"/>
        <v>10410</v>
      </c>
      <c r="CM92" s="36">
        <f t="shared" si="106"/>
        <v>10411</v>
      </c>
      <c r="CN92" s="37">
        <f t="shared" si="107"/>
        <v>10412</v>
      </c>
      <c r="CO92" s="37">
        <f t="shared" si="108"/>
        <v>10413</v>
      </c>
      <c r="CP92" s="37">
        <f t="shared" si="109"/>
        <v>10414</v>
      </c>
      <c r="CQ92" s="37">
        <f t="shared" si="110"/>
        <v>10415</v>
      </c>
      <c r="CR92" s="37">
        <f t="shared" si="111"/>
        <v>10416</v>
      </c>
      <c r="CS92" s="37">
        <f t="shared" si="112"/>
        <v>10417</v>
      </c>
      <c r="CT92" s="37">
        <f t="shared" si="113"/>
        <v>10418</v>
      </c>
      <c r="CU92" s="37">
        <f t="shared" si="114"/>
        <v>10419</v>
      </c>
      <c r="CV92" s="38">
        <f t="shared" si="115"/>
        <v>10420</v>
      </c>
      <c r="CW92" s="40">
        <f t="shared" si="116"/>
        <v>10421</v>
      </c>
      <c r="CX92" s="37">
        <f t="shared" si="117"/>
        <v>10422</v>
      </c>
      <c r="CY92" s="37">
        <f t="shared" si="118"/>
        <v>10423</v>
      </c>
      <c r="CZ92" s="37">
        <f t="shared" si="119"/>
        <v>10424</v>
      </c>
      <c r="DA92" s="37">
        <f t="shared" si="120"/>
        <v>10425</v>
      </c>
      <c r="DB92" s="37">
        <f t="shared" si="121"/>
        <v>10426</v>
      </c>
      <c r="DC92" s="37">
        <f t="shared" si="122"/>
        <v>10427</v>
      </c>
      <c r="DD92" s="37">
        <f t="shared" si="123"/>
        <v>10428</v>
      </c>
      <c r="DE92" s="37">
        <f t="shared" si="124"/>
        <v>10429</v>
      </c>
      <c r="DF92" s="39">
        <f t="shared" si="125"/>
        <v>10430</v>
      </c>
      <c r="DG92" s="36">
        <f t="shared" si="126"/>
        <v>10431</v>
      </c>
      <c r="DH92" s="37">
        <f t="shared" si="127"/>
        <v>10432</v>
      </c>
      <c r="DI92" s="37">
        <f t="shared" si="128"/>
        <v>10433</v>
      </c>
      <c r="DJ92" s="37">
        <f t="shared" si="129"/>
        <v>10434</v>
      </c>
      <c r="DK92" s="37">
        <f t="shared" si="130"/>
        <v>10435</v>
      </c>
      <c r="DL92" s="37">
        <f t="shared" si="131"/>
        <v>10436</v>
      </c>
      <c r="DM92" s="37">
        <f t="shared" si="132"/>
        <v>10437</v>
      </c>
      <c r="DN92" s="37">
        <f t="shared" si="133"/>
        <v>10438</v>
      </c>
      <c r="DO92" s="37">
        <f t="shared" si="134"/>
        <v>10439</v>
      </c>
      <c r="DP92" s="38">
        <f t="shared" si="135"/>
        <v>10440</v>
      </c>
      <c r="DR92" s="958"/>
      <c r="DS92" s="959"/>
      <c r="DT92" s="959"/>
      <c r="DU92" s="960"/>
    </row>
    <row r="93" spans="1:125" ht="5.75" customHeight="1" thickBot="1">
      <c r="A93" s="41">
        <f t="shared" si="136"/>
        <v>10441</v>
      </c>
      <c r="B93" s="42">
        <f t="shared" ref="B93" si="137">A93+1</f>
        <v>10442</v>
      </c>
      <c r="C93" s="42">
        <f t="shared" ref="C93" si="138">B93+1</f>
        <v>10443</v>
      </c>
      <c r="D93" s="42">
        <f t="shared" ref="D93" si="139">C93+1</f>
        <v>10444</v>
      </c>
      <c r="E93" s="42">
        <f t="shared" ref="E93" si="140">D93+1</f>
        <v>10445</v>
      </c>
      <c r="F93" s="42">
        <f t="shared" ref="F93" si="141">E93+1</f>
        <v>10446</v>
      </c>
      <c r="G93" s="42">
        <f t="shared" ref="G93" si="142">F93+1</f>
        <v>10447</v>
      </c>
      <c r="H93" s="42">
        <f t="shared" ref="H93" si="143">G93+1</f>
        <v>10448</v>
      </c>
      <c r="I93" s="42">
        <f t="shared" ref="I93" si="144">H93+1</f>
        <v>10449</v>
      </c>
      <c r="J93" s="65">
        <f t="shared" ref="J93" si="145">I93+1</f>
        <v>10450</v>
      </c>
      <c r="K93" s="41">
        <f t="shared" ref="K93" si="146">J93+1</f>
        <v>10451</v>
      </c>
      <c r="L93" s="42">
        <f t="shared" ref="L93" si="147">K93+1</f>
        <v>10452</v>
      </c>
      <c r="M93" s="42">
        <f t="shared" ref="M93" si="148">L93+1</f>
        <v>10453</v>
      </c>
      <c r="N93" s="42">
        <f t="shared" ref="N93" si="149">M93+1</f>
        <v>10454</v>
      </c>
      <c r="O93" s="42">
        <f t="shared" ref="O93" si="150">N93+1</f>
        <v>10455</v>
      </c>
      <c r="P93" s="42">
        <f t="shared" ref="P93" si="151">O93+1</f>
        <v>10456</v>
      </c>
      <c r="Q93" s="42">
        <f t="shared" ref="Q93" si="152">P93+1</f>
        <v>10457</v>
      </c>
      <c r="R93" s="42">
        <f t="shared" ref="R93" si="153">Q93+1</f>
        <v>10458</v>
      </c>
      <c r="S93" s="42">
        <f t="shared" ref="S93" si="154">R93+1</f>
        <v>10459</v>
      </c>
      <c r="T93" s="65">
        <f t="shared" ref="T93" si="155">S93+1</f>
        <v>10460</v>
      </c>
      <c r="U93" s="41">
        <f t="shared" ref="U93" si="156">T93+1</f>
        <v>10461</v>
      </c>
      <c r="V93" s="42">
        <f t="shared" ref="V93" si="157">U93+1</f>
        <v>10462</v>
      </c>
      <c r="W93" s="42">
        <f t="shared" ref="W93" si="158">V93+1</f>
        <v>10463</v>
      </c>
      <c r="X93" s="42">
        <f t="shared" ref="X93" si="159">W93+1</f>
        <v>10464</v>
      </c>
      <c r="Y93" s="42">
        <f t="shared" ref="Y93" si="160">X93+1</f>
        <v>10465</v>
      </c>
      <c r="Z93" s="42">
        <f t="shared" ref="Z93" si="161">Y93+1</f>
        <v>10466</v>
      </c>
      <c r="AA93" s="42">
        <f t="shared" ref="AA93" si="162">Z93+1</f>
        <v>10467</v>
      </c>
      <c r="AB93" s="42">
        <f t="shared" ref="AB93" si="163">AA93+1</f>
        <v>10468</v>
      </c>
      <c r="AC93" s="42">
        <f t="shared" ref="AC93" si="164">AB93+1</f>
        <v>10469</v>
      </c>
      <c r="AD93" s="65">
        <f t="shared" ref="AD93" si="165">AC93+1</f>
        <v>10470</v>
      </c>
      <c r="AE93" s="41">
        <f t="shared" ref="AE93" si="166">AD93+1</f>
        <v>10471</v>
      </c>
      <c r="AF93" s="42">
        <f t="shared" ref="AF93" si="167">AE93+1</f>
        <v>10472</v>
      </c>
      <c r="AG93" s="42">
        <f t="shared" ref="AG93" si="168">AF93+1</f>
        <v>10473</v>
      </c>
      <c r="AH93" s="42">
        <f t="shared" ref="AH93" si="169">AG93+1</f>
        <v>10474</v>
      </c>
      <c r="AI93" s="42">
        <f t="shared" ref="AI93" si="170">AH93+1</f>
        <v>10475</v>
      </c>
      <c r="AJ93" s="42">
        <f t="shared" ref="AJ93" si="171">AI93+1</f>
        <v>10476</v>
      </c>
      <c r="AK93" s="42">
        <f t="shared" ref="AK93" si="172">AJ93+1</f>
        <v>10477</v>
      </c>
      <c r="AL93" s="42">
        <f t="shared" ref="AL93" si="173">AK93+1</f>
        <v>10478</v>
      </c>
      <c r="AM93" s="42">
        <f t="shared" ref="AM93" si="174">AL93+1</f>
        <v>10479</v>
      </c>
      <c r="AN93" s="65">
        <f t="shared" ref="AN93" si="175">AM93+1</f>
        <v>10480</v>
      </c>
      <c r="AO93" s="41">
        <f t="shared" ref="AO93" si="176">AN93+1</f>
        <v>10481</v>
      </c>
      <c r="AP93" s="42">
        <f t="shared" ref="AP93" si="177">AO93+1</f>
        <v>10482</v>
      </c>
      <c r="AQ93" s="42">
        <f t="shared" ref="AQ93" si="178">AP93+1</f>
        <v>10483</v>
      </c>
      <c r="AR93" s="42">
        <f t="shared" ref="AR93" si="179">AQ93+1</f>
        <v>10484</v>
      </c>
      <c r="AS93" s="42">
        <f t="shared" ref="AS93" si="180">AR93+1</f>
        <v>10485</v>
      </c>
      <c r="AT93" s="42">
        <f t="shared" ref="AT93" si="181">AS93+1</f>
        <v>10486</v>
      </c>
      <c r="AU93" s="42">
        <f t="shared" ref="AU93" si="182">AT93+1</f>
        <v>10487</v>
      </c>
      <c r="AV93" s="42">
        <f t="shared" ref="AV93" si="183">AU93+1</f>
        <v>10488</v>
      </c>
      <c r="AW93" s="42">
        <f t="shared" ref="AW93" si="184">AV93+1</f>
        <v>10489</v>
      </c>
      <c r="AX93" s="65">
        <f t="shared" ref="AX93" si="185">AW93+1</f>
        <v>10490</v>
      </c>
      <c r="AY93" s="41">
        <f t="shared" ref="AY93" si="186">AX93+1</f>
        <v>10491</v>
      </c>
      <c r="AZ93" s="42">
        <f t="shared" ref="AZ93" si="187">AY93+1</f>
        <v>10492</v>
      </c>
      <c r="BA93" s="42">
        <f t="shared" ref="BA93" si="188">AZ93+1</f>
        <v>10493</v>
      </c>
      <c r="BB93" s="42">
        <f t="shared" ref="BB93" si="189">BA93+1</f>
        <v>10494</v>
      </c>
      <c r="BC93" s="42">
        <f t="shared" ref="BC93" si="190">BB93+1</f>
        <v>10495</v>
      </c>
      <c r="BD93" s="42">
        <f t="shared" ref="BD93" si="191">BC93+1</f>
        <v>10496</v>
      </c>
      <c r="BE93" s="42">
        <f t="shared" ref="BE93" si="192">BD93+1</f>
        <v>10497</v>
      </c>
      <c r="BF93" s="42">
        <f t="shared" ref="BF93" si="193">BE93+1</f>
        <v>10498</v>
      </c>
      <c r="BG93" s="42">
        <f t="shared" ref="BG93" si="194">BF93+1</f>
        <v>10499</v>
      </c>
      <c r="BH93" s="65">
        <f t="shared" ref="BH93" si="195">BG93+1</f>
        <v>10500</v>
      </c>
      <c r="BI93" s="41">
        <f t="shared" ref="BI93" si="196">BH93+1</f>
        <v>10501</v>
      </c>
      <c r="BJ93" s="42">
        <f t="shared" ref="BJ93" si="197">BI93+1</f>
        <v>10502</v>
      </c>
      <c r="BK93" s="42">
        <f t="shared" ref="BK93" si="198">BJ93+1</f>
        <v>10503</v>
      </c>
      <c r="BL93" s="42">
        <f t="shared" ref="BL93" si="199">BK93+1</f>
        <v>10504</v>
      </c>
      <c r="BM93" s="42">
        <f t="shared" ref="BM93" si="200">BL93+1</f>
        <v>10505</v>
      </c>
      <c r="BN93" s="42">
        <f t="shared" ref="BN93" si="201">BM93+1</f>
        <v>10506</v>
      </c>
      <c r="BO93" s="42">
        <f t="shared" ref="BO93" si="202">BN93+1</f>
        <v>10507</v>
      </c>
      <c r="BP93" s="42">
        <f t="shared" ref="BP93" si="203">BO93+1</f>
        <v>10508</v>
      </c>
      <c r="BQ93" s="42">
        <f t="shared" ref="BQ93" si="204">BP93+1</f>
        <v>10509</v>
      </c>
      <c r="BR93" s="43">
        <f t="shared" ref="BR93" si="205">BQ93+1</f>
        <v>10510</v>
      </c>
      <c r="BS93" s="41">
        <f t="shared" ref="BS93" si="206">BR93+1</f>
        <v>10511</v>
      </c>
      <c r="BT93" s="42">
        <f t="shared" ref="BT93" si="207">BS93+1</f>
        <v>10512</v>
      </c>
      <c r="BU93" s="42">
        <f t="shared" ref="BU93" si="208">BT93+1</f>
        <v>10513</v>
      </c>
      <c r="BV93" s="42">
        <f t="shared" ref="BV93" si="209">BU93+1</f>
        <v>10514</v>
      </c>
      <c r="BW93" s="42">
        <f t="shared" ref="BW93" si="210">BV93+1</f>
        <v>10515</v>
      </c>
      <c r="BX93" s="42">
        <f t="shared" ref="BX93" si="211">BW93+1</f>
        <v>10516</v>
      </c>
      <c r="BY93" s="42">
        <f t="shared" ref="BY93" si="212">BX93+1</f>
        <v>10517</v>
      </c>
      <c r="BZ93" s="42">
        <f t="shared" ref="BZ93" si="213">BY93+1</f>
        <v>10518</v>
      </c>
      <c r="CA93" s="42">
        <f t="shared" ref="CA93" si="214">BZ93+1</f>
        <v>10519</v>
      </c>
      <c r="CB93" s="65">
        <f t="shared" ref="CB93" si="215">CA93+1</f>
        <v>10520</v>
      </c>
      <c r="CC93" s="66">
        <f t="shared" ref="CC93" si="216">CB93+1</f>
        <v>10521</v>
      </c>
      <c r="CD93" s="42">
        <f t="shared" ref="CD93" si="217">CC93+1</f>
        <v>10522</v>
      </c>
      <c r="CE93" s="42">
        <f t="shared" ref="CE93" si="218">CD93+1</f>
        <v>10523</v>
      </c>
      <c r="CF93" s="42">
        <f t="shared" ref="CF93" si="219">CE93+1</f>
        <v>10524</v>
      </c>
      <c r="CG93" s="42">
        <f t="shared" ref="CG93" si="220">CF93+1</f>
        <v>10525</v>
      </c>
      <c r="CH93" s="42">
        <f t="shared" ref="CH93" si="221">CG93+1</f>
        <v>10526</v>
      </c>
      <c r="CI93" s="42">
        <f t="shared" ref="CI93" si="222">CH93+1</f>
        <v>10527</v>
      </c>
      <c r="CJ93" s="42">
        <f t="shared" ref="CJ93" si="223">CI93+1</f>
        <v>10528</v>
      </c>
      <c r="CK93" s="42">
        <f t="shared" ref="CK93" si="224">CJ93+1</f>
        <v>10529</v>
      </c>
      <c r="CL93" s="43">
        <f t="shared" ref="CL93" si="225">CK93+1</f>
        <v>10530</v>
      </c>
      <c r="CM93" s="41">
        <f t="shared" ref="CM93" si="226">CL93+1</f>
        <v>10531</v>
      </c>
      <c r="CN93" s="42">
        <f t="shared" ref="CN93" si="227">CM93+1</f>
        <v>10532</v>
      </c>
      <c r="CO93" s="42">
        <f t="shared" ref="CO93" si="228">CN93+1</f>
        <v>10533</v>
      </c>
      <c r="CP93" s="42">
        <f t="shared" ref="CP93" si="229">CO93+1</f>
        <v>10534</v>
      </c>
      <c r="CQ93" s="42">
        <f t="shared" ref="CQ93" si="230">CP93+1</f>
        <v>10535</v>
      </c>
      <c r="CR93" s="42">
        <f t="shared" ref="CR93" si="231">CQ93+1</f>
        <v>10536</v>
      </c>
      <c r="CS93" s="42">
        <f t="shared" ref="CS93" si="232">CR93+1</f>
        <v>10537</v>
      </c>
      <c r="CT93" s="42">
        <f t="shared" ref="CT93" si="233">CS93+1</f>
        <v>10538</v>
      </c>
      <c r="CU93" s="42">
        <f t="shared" ref="CU93" si="234">CT93+1</f>
        <v>10539</v>
      </c>
      <c r="CV93" s="65">
        <f t="shared" ref="CV93" si="235">CU93+1</f>
        <v>10540</v>
      </c>
      <c r="CW93" s="66">
        <f t="shared" ref="CW93" si="236">CV93+1</f>
        <v>10541</v>
      </c>
      <c r="CX93" s="42">
        <f t="shared" ref="CX93" si="237">CW93+1</f>
        <v>10542</v>
      </c>
      <c r="CY93" s="42">
        <f t="shared" ref="CY93" si="238">CX93+1</f>
        <v>10543</v>
      </c>
      <c r="CZ93" s="42">
        <f t="shared" ref="CZ93" si="239">CY93+1</f>
        <v>10544</v>
      </c>
      <c r="DA93" s="42">
        <f t="shared" ref="DA93" si="240">CZ93+1</f>
        <v>10545</v>
      </c>
      <c r="DB93" s="42">
        <f t="shared" ref="DB93" si="241">DA93+1</f>
        <v>10546</v>
      </c>
      <c r="DC93" s="42">
        <f t="shared" ref="DC93" si="242">DB93+1</f>
        <v>10547</v>
      </c>
      <c r="DD93" s="42">
        <f t="shared" ref="DD93" si="243">DC93+1</f>
        <v>10548</v>
      </c>
      <c r="DE93" s="42">
        <f t="shared" ref="DE93" si="244">DD93+1</f>
        <v>10549</v>
      </c>
      <c r="DF93" s="43">
        <f t="shared" ref="DF93" si="245">DE93+1</f>
        <v>10550</v>
      </c>
      <c r="DG93" s="41">
        <f t="shared" ref="DG93" si="246">DF93+1</f>
        <v>10551</v>
      </c>
      <c r="DH93" s="42">
        <f t="shared" ref="DH93" si="247">DG93+1</f>
        <v>10552</v>
      </c>
      <c r="DI93" s="42">
        <f t="shared" ref="DI93" si="248">DH93+1</f>
        <v>10553</v>
      </c>
      <c r="DJ93" s="42">
        <f t="shared" ref="DJ93" si="249">DI93+1</f>
        <v>10554</v>
      </c>
      <c r="DK93" s="42">
        <f t="shared" ref="DK93" si="250">DJ93+1</f>
        <v>10555</v>
      </c>
      <c r="DL93" s="42">
        <f t="shared" ref="DL93" si="251">DK93+1</f>
        <v>10556</v>
      </c>
      <c r="DM93" s="42">
        <f t="shared" ref="DM93" si="252">DL93+1</f>
        <v>10557</v>
      </c>
      <c r="DN93" s="42">
        <f t="shared" ref="DN93" si="253">DM93+1</f>
        <v>10558</v>
      </c>
      <c r="DO93" s="42">
        <f t="shared" ref="DO93" si="254">DN93+1</f>
        <v>10559</v>
      </c>
      <c r="DP93" s="65">
        <f t="shared" ref="DP93" si="255">DO93+1</f>
        <v>10560</v>
      </c>
      <c r="DR93" s="958"/>
      <c r="DS93" s="959"/>
      <c r="DT93" s="959"/>
      <c r="DU93" s="960"/>
    </row>
    <row r="94" spans="1:125" ht="17" thickBot="1">
      <c r="AV94" s="1048" t="str">
        <f>IF('1-Hull'!D7&lt;10560,"",IF('1-Hull'!D7&lt;105600,"SCALE: 1 Box = 10 Damage",IF('1-Hull'!D7&lt;1056000,"SCALE: 1 Box = 100 Damage","SCALE: 1 Box = 1000 Damage")))</f>
        <v/>
      </c>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DR94" s="978">
        <v>900</v>
      </c>
      <c r="DS94" s="979"/>
      <c r="DT94" s="979"/>
      <c r="DU94" s="980"/>
    </row>
    <row r="95" spans="1:125" ht="19">
      <c r="A95" s="586" t="str">
        <f>IF('Ship Info'!$B$4=0,"",'Ship Info'!$B$4)</f>
        <v/>
      </c>
      <c r="B95" s="586"/>
      <c r="C95" s="586"/>
      <c r="D95" s="586"/>
      <c r="E95" s="586"/>
      <c r="F95" s="586"/>
      <c r="G95" s="586"/>
      <c r="H95" s="586"/>
      <c r="I95" s="586"/>
      <c r="J95" s="586"/>
      <c r="K95" s="586"/>
      <c r="L95" s="586"/>
      <c r="M95" s="586"/>
      <c r="N95" s="586"/>
      <c r="O95" s="586"/>
      <c r="P95" s="586"/>
      <c r="Q95" s="586"/>
      <c r="R95" s="586"/>
      <c r="S95" s="586"/>
      <c r="T95" s="586"/>
      <c r="U95" s="586"/>
      <c r="V95" s="586"/>
      <c r="W95" s="586"/>
      <c r="X95" s="586"/>
      <c r="Y95" s="586"/>
      <c r="Z95" s="586"/>
      <c r="AA95" s="586"/>
      <c r="AB95" s="586"/>
      <c r="AC95" s="586"/>
      <c r="AD95" s="586"/>
      <c r="AE95" s="19"/>
      <c r="AF95" s="19"/>
      <c r="AG95" s="587" t="str">
        <f>IF('Ship Info'!$B$2=0,"",'Ship Info'!$B$2)</f>
        <v>Scout</v>
      </c>
      <c r="AH95" s="587"/>
      <c r="AI95" s="587"/>
      <c r="AJ95" s="587"/>
      <c r="AK95" s="587"/>
      <c r="AL95" s="587"/>
      <c r="AM95" s="587"/>
      <c r="AN95" s="587"/>
      <c r="AO95" s="587"/>
      <c r="AP95" s="587"/>
      <c r="AQ95" s="587"/>
      <c r="AR95" s="587"/>
      <c r="AS95" s="587"/>
      <c r="AT95" s="587"/>
      <c r="AU95" s="587"/>
      <c r="AV95" s="587"/>
      <c r="AW95" s="587"/>
      <c r="AX95" s="587"/>
      <c r="AY95" s="587"/>
      <c r="AZ95" s="587"/>
      <c r="BA95" s="587"/>
      <c r="BB95" s="587"/>
      <c r="BC95" s="587"/>
      <c r="BD95" s="587"/>
      <c r="BE95" s="587"/>
      <c r="BF95" s="587"/>
      <c r="BG95" s="587"/>
      <c r="BH95" s="587"/>
      <c r="BI95" s="587"/>
      <c r="BJ95" s="587"/>
      <c r="BK95" s="587"/>
      <c r="BL95" s="587"/>
      <c r="BM95" s="587"/>
      <c r="BN95" s="587"/>
      <c r="BO95" s="587"/>
      <c r="BP95" s="587"/>
      <c r="BQ95" s="587"/>
      <c r="BR95" s="587"/>
      <c r="BS95" s="587"/>
      <c r="BT95" s="587"/>
      <c r="BU95" s="587"/>
      <c r="BV95" s="587"/>
      <c r="BW95" s="587"/>
      <c r="BX95" s="587"/>
      <c r="BY95" s="587"/>
      <c r="BZ95" s="587"/>
      <c r="CA95" s="19"/>
      <c r="CB95" s="19"/>
      <c r="CC95" s="587" t="str">
        <f>IF('Ship Info'!$B$1=0,"",'Ship Info'!$B$1)</f>
        <v>Zhodani Long Range Scout</v>
      </c>
      <c r="CD95" s="587"/>
      <c r="CE95" s="587"/>
      <c r="CF95" s="587"/>
      <c r="CG95" s="587"/>
      <c r="CH95" s="587"/>
      <c r="CI95" s="587"/>
      <c r="CJ95" s="587"/>
      <c r="CK95" s="587"/>
      <c r="CL95" s="587"/>
      <c r="CM95" s="587"/>
      <c r="CN95" s="587"/>
      <c r="CO95" s="587"/>
      <c r="CP95" s="587"/>
      <c r="CQ95" s="587"/>
      <c r="CR95" s="587"/>
      <c r="CS95" s="587"/>
      <c r="CT95" s="587"/>
      <c r="CU95" s="587"/>
      <c r="CV95" s="587"/>
      <c r="CW95" s="587"/>
      <c r="CX95" s="587"/>
      <c r="CY95" s="587"/>
      <c r="CZ95" s="587"/>
      <c r="DA95" s="587"/>
      <c r="DB95" s="587"/>
      <c r="DC95" s="587"/>
      <c r="DD95" s="587"/>
      <c r="DE95" s="587"/>
      <c r="DF95" s="587"/>
      <c r="DG95" s="587"/>
      <c r="DH95" s="587"/>
      <c r="DI95" s="587"/>
      <c r="DJ95" s="587"/>
      <c r="DK95" s="587"/>
      <c r="DL95" s="587"/>
      <c r="DM95" s="587"/>
      <c r="DN95" s="587"/>
      <c r="DO95" s="587"/>
      <c r="DP95" s="587"/>
      <c r="DQ95" s="587"/>
      <c r="DR95" s="587"/>
      <c r="DS95" s="587"/>
      <c r="DT95" s="587"/>
      <c r="DU95" s="587"/>
    </row>
    <row r="96" spans="1:125">
      <c r="A96" s="590" t="str">
        <f>"Armor: "&amp;'1-Hull'!$D$9&amp;""&amp;IF('1-Hull'!$AB$34=TRUE,"/"&amp;'1-Hull'!$D$9+3&amp;" vs. Lasers","")</f>
        <v>Armor: 0</v>
      </c>
      <c r="B96" s="590"/>
      <c r="C96" s="590"/>
      <c r="D96" s="590"/>
      <c r="E96" s="590"/>
      <c r="F96" s="590"/>
      <c r="G96" s="590"/>
      <c r="H96" s="590"/>
      <c r="I96" s="590"/>
      <c r="J96" s="590"/>
      <c r="K96" s="590"/>
      <c r="L96" s="590"/>
      <c r="M96" s="590"/>
      <c r="N96" s="590"/>
      <c r="O96" s="590"/>
      <c r="P96" s="590"/>
      <c r="Q96" s="590"/>
      <c r="R96" s="590"/>
      <c r="S96" s="590"/>
      <c r="T96" s="590"/>
      <c r="U96" s="19"/>
      <c r="V96" s="591" t="str">
        <f>IF('1-Hull'!$AB$46=TRUE,"Rad Shields: Rads - 1000","")</f>
        <v>Rad Shields: Rads - 1000</v>
      </c>
      <c r="W96" s="591"/>
      <c r="X96" s="591"/>
      <c r="Y96" s="591"/>
      <c r="Z96" s="591"/>
      <c r="AA96" s="591"/>
      <c r="AB96" s="591"/>
      <c r="AC96" s="591"/>
      <c r="AD96" s="591"/>
      <c r="AE96" s="591"/>
      <c r="AF96" s="591"/>
      <c r="AG96" s="591"/>
      <c r="AH96" s="591"/>
      <c r="AI96" s="591"/>
      <c r="AJ96" s="591"/>
      <c r="AK96" s="591"/>
      <c r="AL96" s="591"/>
      <c r="AM96" s="591"/>
      <c r="AN96" s="591"/>
      <c r="AO96" s="19"/>
      <c r="AP96" s="590" t="str">
        <f>IF('1-Hull'!$AB$33=TRUE,"Stealth: Sensors-2",IF('1-Hull'!$AB$34=TRUE,"Stealth: Sensors-2",IF('1-Hull'!$AB$35=TRUE,"Stealth: Sensors-4",IF('1-Hull'!$AB$36=TRUE,"Stealth: Sensors-6",""))))</f>
        <v/>
      </c>
      <c r="AQ96" s="590"/>
      <c r="AR96" s="590"/>
      <c r="AS96" s="590"/>
      <c r="AT96" s="590"/>
      <c r="AU96" s="590"/>
      <c r="AV96" s="590"/>
      <c r="AW96" s="590"/>
      <c r="AX96" s="590"/>
      <c r="AY96" s="590"/>
      <c r="AZ96" s="590"/>
      <c r="BA96" s="590"/>
      <c r="BB96" s="590"/>
      <c r="BC96" s="590"/>
      <c r="BD96" s="590"/>
      <c r="BE96" s="590"/>
      <c r="BF96" s="19"/>
      <c r="BG96" s="19" t="str">
        <f>'5-Bridge'!$S$22</f>
        <v>Bridge: Initiative+2</v>
      </c>
      <c r="BH96" s="19"/>
      <c r="BI96" s="19"/>
      <c r="BJ96" s="19"/>
      <c r="BK96" s="19"/>
      <c r="BL96" s="19"/>
      <c r="BM96" s="19"/>
      <c r="BN96" s="19"/>
      <c r="BO96" s="19"/>
      <c r="BP96" s="19"/>
      <c r="BQ96" s="19"/>
      <c r="BR96" s="19"/>
      <c r="BS96" s="19"/>
      <c r="BT96" s="19"/>
      <c r="BU96" s="19"/>
      <c r="BV96" s="19"/>
      <c r="BW96" s="19"/>
      <c r="BX96" s="19"/>
      <c r="BY96" s="19"/>
      <c r="BZ96" s="591" t="str">
        <f>"TL: "&amp;Tech_Level</f>
        <v>TL: 14</v>
      </c>
      <c r="CA96" s="591"/>
      <c r="CB96" s="591"/>
      <c r="CC96" s="591"/>
      <c r="CD96" s="591"/>
      <c r="CE96" s="591"/>
      <c r="CF96" s="591"/>
      <c r="CG96" s="591"/>
      <c r="CH96" s="591"/>
      <c r="CI96" s="19"/>
      <c r="CJ96" s="19"/>
      <c r="CK96" s="19"/>
      <c r="CL96" s="590" t="str">
        <f>"Thrust: "&amp;'2-Drives'!$D$11&amp;IF('2-Drives'!$B$11='2-Drives'!$S$4,", "&amp;'4-Fuel'!$D$8&amp;" Thrust Points","")</f>
        <v>Thrust: 2</v>
      </c>
      <c r="CM96" s="590"/>
      <c r="CN96" s="590"/>
      <c r="CO96" s="590"/>
      <c r="CP96" s="590"/>
      <c r="CQ96" s="590"/>
      <c r="CR96" s="590"/>
      <c r="CS96" s="590"/>
      <c r="CT96" s="590"/>
      <c r="CU96" s="590"/>
      <c r="CV96" s="590"/>
      <c r="CW96" s="590"/>
      <c r="CX96" s="590"/>
      <c r="CY96" s="590"/>
      <c r="CZ96" s="590"/>
      <c r="DA96" s="590"/>
      <c r="DB96" s="590"/>
      <c r="DC96" s="590"/>
      <c r="DD96" s="590"/>
      <c r="DE96" s="590"/>
      <c r="DF96" s="590"/>
      <c r="DG96" s="590"/>
      <c r="DH96" s="590"/>
      <c r="DI96" s="590"/>
      <c r="DJ96" s="590"/>
      <c r="DK96" s="19"/>
      <c r="DL96" s="19" t="str">
        <f>"Jump?"&amp;IF('2-Drives'!$D$25&gt;0," Y"," N")</f>
        <v>Jump? Y</v>
      </c>
      <c r="DM96" s="19"/>
      <c r="DN96" s="19"/>
      <c r="DO96" s="19"/>
      <c r="DP96" s="19"/>
      <c r="DQ96" s="19"/>
      <c r="DR96" s="19"/>
      <c r="DS96" s="19"/>
      <c r="DT96" s="19"/>
      <c r="DU96" s="19"/>
    </row>
    <row r="97" spans="1:126" ht="16" thickBot="1">
      <c r="A97" s="588" t="str">
        <f>"Hull Points: "&amp;'1-Hull'!$D$7</f>
        <v>Hull Points: 120</v>
      </c>
      <c r="B97" s="588"/>
      <c r="C97" s="588"/>
      <c r="D97" s="588"/>
      <c r="E97" s="588"/>
      <c r="F97" s="588"/>
      <c r="G97" s="588"/>
      <c r="H97" s="588"/>
      <c r="I97" s="588"/>
      <c r="J97" s="588"/>
      <c r="K97" s="588"/>
      <c r="L97" s="588"/>
      <c r="M97" s="588"/>
      <c r="N97" s="588"/>
      <c r="O97" s="588"/>
      <c r="P97" s="588"/>
      <c r="Q97" s="588"/>
      <c r="R97" s="588"/>
      <c r="S97" s="588"/>
      <c r="T97" s="588"/>
      <c r="U97" s="362"/>
      <c r="V97" s="362"/>
      <c r="W97" s="362"/>
      <c r="X97" s="589" t="str">
        <f>"Hull Size: "&amp;'1-Hull'!$B$4&amp;" tons"</f>
        <v>Hull Size: 300 tons</v>
      </c>
      <c r="Y97" s="589"/>
      <c r="Z97" s="589"/>
      <c r="AA97" s="589"/>
      <c r="AB97" s="589"/>
      <c r="AC97" s="589"/>
      <c r="AD97" s="589"/>
      <c r="AE97" s="589"/>
      <c r="AF97" s="589"/>
      <c r="AG97" s="589"/>
      <c r="AH97" s="589"/>
      <c r="AI97" s="589"/>
      <c r="AJ97" s="589"/>
      <c r="AK97" s="589"/>
      <c r="AL97" s="589"/>
      <c r="AM97" s="589"/>
      <c r="AN97" s="589"/>
      <c r="AO97" s="589"/>
      <c r="AP97" s="589"/>
      <c r="AQ97" s="589"/>
      <c r="AR97" s="589"/>
      <c r="AS97" s="589"/>
      <c r="AT97" s="589"/>
      <c r="AU97" s="589"/>
      <c r="AV97" s="589"/>
      <c r="AW97" s="589"/>
      <c r="AX97" s="589"/>
      <c r="AY97" s="362"/>
      <c r="AZ97" s="589" t="str">
        <f>"Configuration: "&amp;'1-Hull'!$B$6</f>
        <v>Configuration: Needle</v>
      </c>
      <c r="BA97" s="589"/>
      <c r="BB97" s="589"/>
      <c r="BC97" s="589"/>
      <c r="BD97" s="589"/>
      <c r="BE97" s="589"/>
      <c r="BF97" s="589"/>
      <c r="BG97" s="589"/>
      <c r="BH97" s="589"/>
      <c r="BI97" s="589"/>
      <c r="BJ97" s="589"/>
      <c r="BK97" s="589"/>
      <c r="BL97" s="589"/>
      <c r="BM97" s="589"/>
      <c r="BN97" s="589"/>
      <c r="BO97" s="589"/>
      <c r="BP97" s="589"/>
      <c r="BQ97" s="589"/>
      <c r="BR97" s="589"/>
      <c r="BS97" s="589"/>
      <c r="BT97" s="589"/>
      <c r="BU97" s="589"/>
      <c r="BV97" s="589"/>
      <c r="BW97" s="589"/>
      <c r="BX97" s="362"/>
      <c r="BY97" s="589" t="str">
        <f>"Streamlining: "&amp;'1-Hull'!$B$7&amp;'1-Hull'!$T$64</f>
        <v>Streamlining: Streamlined</v>
      </c>
      <c r="BZ97" s="589"/>
      <c r="CA97" s="589"/>
      <c r="CB97" s="589"/>
      <c r="CC97" s="589"/>
      <c r="CD97" s="589"/>
      <c r="CE97" s="589"/>
      <c r="CF97" s="589"/>
      <c r="CG97" s="589"/>
      <c r="CH97" s="589"/>
      <c r="CI97" s="589"/>
      <c r="CJ97" s="589"/>
      <c r="CK97" s="589"/>
      <c r="CL97" s="589"/>
      <c r="CM97" s="589"/>
      <c r="CN97" s="589"/>
      <c r="CO97" s="589"/>
      <c r="CP97" s="589"/>
      <c r="CQ97" s="589"/>
      <c r="CR97" s="589"/>
      <c r="CS97" s="589"/>
      <c r="CT97" s="589"/>
      <c r="CU97" s="589"/>
      <c r="CV97" s="589"/>
      <c r="CW97" s="589"/>
      <c r="CX97" s="589"/>
      <c r="CY97" s="589"/>
      <c r="CZ97" s="589"/>
      <c r="DA97" s="589"/>
      <c r="DB97" s="362"/>
      <c r="DC97" s="592" t="s">
        <v>667</v>
      </c>
      <c r="DD97" s="592"/>
      <c r="DE97" s="592"/>
      <c r="DF97" s="592"/>
      <c r="DG97" s="592"/>
      <c r="DH97" s="592"/>
      <c r="DI97" s="592" t="str">
        <f>'10-Crew'!$E$5&amp;""&amp;IF('10-Crew'!$E$7=0,"","/"&amp;'10-Crew'!$E$7)</f>
        <v>13</v>
      </c>
      <c r="DJ97" s="592"/>
      <c r="DK97" s="592"/>
      <c r="DL97" s="592"/>
      <c r="DM97" s="592"/>
      <c r="DN97" s="592"/>
      <c r="DO97" s="592"/>
      <c r="DP97" s="592"/>
      <c r="DQ97" s="592"/>
      <c r="DR97" s="592"/>
      <c r="DS97" s="592"/>
      <c r="DT97" s="592"/>
      <c r="DU97" s="362"/>
      <c r="DV97" s="304"/>
    </row>
    <row r="98" spans="1:126" ht="18" customHeight="1" thickBot="1">
      <c r="A98" s="946" t="s">
        <v>1699</v>
      </c>
      <c r="B98" s="946"/>
      <c r="C98" s="946"/>
      <c r="D98" s="946"/>
      <c r="E98" s="946"/>
      <c r="F98" s="946"/>
      <c r="G98" s="946"/>
      <c r="H98" s="946"/>
      <c r="I98" s="946"/>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c r="CB98" s="946"/>
      <c r="CC98" s="946"/>
      <c r="CD98" s="946"/>
      <c r="CE98" s="946"/>
      <c r="CF98" s="946"/>
      <c r="CG98" s="946"/>
      <c r="CH98" s="946"/>
      <c r="CI98" s="946"/>
      <c r="CJ98" s="946"/>
      <c r="CK98" s="946"/>
      <c r="CL98" s="946"/>
      <c r="CM98" s="946"/>
      <c r="CN98" s="946"/>
      <c r="CO98" s="946"/>
      <c r="CP98" s="946"/>
      <c r="CQ98" s="946"/>
      <c r="CR98" s="946"/>
      <c r="CS98" s="946"/>
      <c r="CT98" s="946"/>
      <c r="CU98" s="946"/>
      <c r="CV98" s="946"/>
      <c r="CW98" s="946"/>
      <c r="CX98" s="946"/>
      <c r="CY98" s="946"/>
      <c r="CZ98" s="946"/>
      <c r="DA98" s="946"/>
      <c r="DB98" s="946"/>
      <c r="DC98" s="946"/>
      <c r="DD98" s="946"/>
      <c r="DE98" s="946"/>
      <c r="DF98" s="946"/>
      <c r="DG98" s="946"/>
      <c r="DH98" s="946"/>
      <c r="DI98" s="946"/>
      <c r="DJ98" s="946"/>
      <c r="DK98" s="946"/>
      <c r="DL98" s="946"/>
      <c r="DM98" s="946"/>
      <c r="DN98" s="946"/>
      <c r="DO98" s="946"/>
      <c r="DP98" s="946"/>
      <c r="DQ98" s="946"/>
      <c r="DR98" s="946"/>
      <c r="DS98" s="946"/>
      <c r="DT98" s="946"/>
      <c r="DU98" s="946"/>
    </row>
    <row r="99" spans="1:126" s="363" customFormat="1" ht="17" thickBot="1">
      <c r="A99" s="950" t="s">
        <v>307</v>
      </c>
      <c r="B99" s="950"/>
      <c r="C99" s="950"/>
      <c r="D99" s="950"/>
      <c r="E99" s="950"/>
      <c r="F99" s="950"/>
      <c r="G99" s="950"/>
      <c r="H99" s="950"/>
      <c r="I99" s="950"/>
      <c r="J99" s="950"/>
      <c r="K99" s="950"/>
      <c r="L99" s="950"/>
      <c r="M99" s="950"/>
      <c r="N99" s="950"/>
      <c r="O99" s="950"/>
      <c r="P99" s="950"/>
      <c r="Q99" s="950"/>
      <c r="R99" s="950"/>
      <c r="S99" s="950"/>
      <c r="T99" s="950"/>
      <c r="U99" s="950"/>
      <c r="V99" s="950"/>
      <c r="W99" s="950"/>
      <c r="X99" s="950"/>
      <c r="Y99" s="950"/>
      <c r="Z99" s="950"/>
      <c r="AA99" s="950"/>
      <c r="AB99" s="950"/>
      <c r="AC99" s="950"/>
      <c r="AD99" s="950"/>
      <c r="AE99" s="950"/>
      <c r="AF99" s="950"/>
      <c r="AG99" s="950"/>
      <c r="AH99" s="950"/>
      <c r="AI99" s="950"/>
      <c r="AJ99" s="950"/>
      <c r="AK99" s="950"/>
      <c r="AL99" s="950"/>
      <c r="AM99" s="950"/>
      <c r="AN99" s="950"/>
      <c r="AO99" s="950"/>
      <c r="AP99" s="950"/>
      <c r="AQ99" s="950"/>
      <c r="AR99" s="950"/>
      <c r="AS99" s="950"/>
      <c r="AT99" s="950"/>
      <c r="AU99" s="950"/>
      <c r="AV99" s="952" t="s">
        <v>326</v>
      </c>
      <c r="AW99" s="952"/>
      <c r="AX99" s="952"/>
      <c r="AY99" s="952"/>
      <c r="AZ99" s="952"/>
      <c r="BA99" s="952"/>
      <c r="BB99" s="952"/>
      <c r="BC99" s="952"/>
      <c r="BD99" s="952"/>
      <c r="BE99" s="952"/>
      <c r="BF99" s="952"/>
      <c r="BG99" s="952"/>
      <c r="BH99" s="952" t="s">
        <v>391</v>
      </c>
      <c r="BI99" s="952"/>
      <c r="BJ99" s="952"/>
      <c r="BK99" s="952"/>
      <c r="BL99" s="952"/>
      <c r="BM99" s="952"/>
      <c r="BN99" s="952"/>
      <c r="BO99" s="952"/>
      <c r="BP99" s="952"/>
      <c r="BQ99" s="952"/>
      <c r="BR99" s="952"/>
      <c r="BS99" s="952" t="s">
        <v>713</v>
      </c>
      <c r="BT99" s="952"/>
      <c r="BU99" s="952"/>
      <c r="BV99" s="952"/>
      <c r="BW99" s="952"/>
      <c r="BX99" s="952"/>
      <c r="BY99" s="952"/>
      <c r="BZ99" s="952"/>
      <c r="CA99" s="952"/>
      <c r="CB99" s="952"/>
      <c r="CC99" s="952"/>
      <c r="CD99" s="952"/>
      <c r="CE99" s="952"/>
      <c r="CF99" s="952"/>
      <c r="CG99" s="952"/>
      <c r="CH99" s="952"/>
      <c r="CI99" s="952"/>
      <c r="CJ99" s="952"/>
      <c r="CK99" s="952"/>
      <c r="CL99" s="952"/>
      <c r="CM99" s="952"/>
      <c r="CN99" s="952"/>
      <c r="CO99" s="952"/>
      <c r="CP99" s="952"/>
      <c r="CQ99" s="952"/>
      <c r="CR99" s="952"/>
      <c r="CS99" s="952"/>
      <c r="CT99" s="952"/>
      <c r="CU99" s="952"/>
      <c r="CV99" s="952"/>
      <c r="CW99" s="952"/>
      <c r="CX99" s="952"/>
      <c r="CY99" s="952"/>
      <c r="CZ99" s="952"/>
      <c r="DA99" s="952"/>
      <c r="DB99" s="952"/>
      <c r="DC99" s="952"/>
      <c r="DD99" s="952"/>
      <c r="DE99" s="952"/>
      <c r="DF99" s="952"/>
      <c r="DG99" s="952"/>
      <c r="DH99" s="952"/>
      <c r="DI99" s="952"/>
      <c r="DJ99" s="952"/>
      <c r="DK99" s="952"/>
      <c r="DL99" s="952"/>
      <c r="DM99" s="952"/>
      <c r="DN99" s="952"/>
      <c r="DO99" s="952"/>
      <c r="DP99" s="952"/>
      <c r="DQ99" s="952"/>
      <c r="DR99" s="952"/>
      <c r="DS99" s="952"/>
      <c r="DT99" s="952"/>
      <c r="DU99" s="952"/>
    </row>
    <row r="100" spans="1:126" ht="23" customHeight="1">
      <c r="A100" s="951" t="str">
        <f>'8a-Weapons'!AS113</f>
        <v>3x Single Turret: Particle Beam</v>
      </c>
      <c r="B100" s="951"/>
      <c r="C100" s="951"/>
      <c r="D100" s="951"/>
      <c r="E100" s="951"/>
      <c r="F100" s="951"/>
      <c r="G100" s="951"/>
      <c r="H100" s="951"/>
      <c r="I100" s="951"/>
      <c r="J100" s="951"/>
      <c r="K100" s="951"/>
      <c r="L100" s="951"/>
      <c r="M100" s="951"/>
      <c r="N100" s="951"/>
      <c r="O100" s="951"/>
      <c r="P100" s="951"/>
      <c r="Q100" s="951"/>
      <c r="R100" s="951"/>
      <c r="S100" s="951"/>
      <c r="T100" s="951"/>
      <c r="U100" s="951"/>
      <c r="V100" s="951"/>
      <c r="W100" s="951"/>
      <c r="X100" s="951"/>
      <c r="Y100" s="951"/>
      <c r="Z100" s="951"/>
      <c r="AA100" s="951"/>
      <c r="AB100" s="951"/>
      <c r="AC100" s="951"/>
      <c r="AD100" s="951"/>
      <c r="AE100" s="951"/>
      <c r="AF100" s="951"/>
      <c r="AG100" s="951"/>
      <c r="AH100" s="951"/>
      <c r="AI100" s="951"/>
      <c r="AJ100" s="951"/>
      <c r="AK100" s="951"/>
      <c r="AL100" s="951"/>
      <c r="AM100" s="951"/>
      <c r="AN100" s="951"/>
      <c r="AO100" s="951"/>
      <c r="AP100" s="951"/>
      <c r="AQ100" s="951"/>
      <c r="AR100" s="951"/>
      <c r="AS100" s="951"/>
      <c r="AT100" s="951"/>
      <c r="AU100" s="951"/>
      <c r="AV100" s="953" t="str">
        <f>'8a-Weapons'!AQ28</f>
        <v>Very Long</v>
      </c>
      <c r="AW100" s="953"/>
      <c r="AX100" s="953"/>
      <c r="AY100" s="953"/>
      <c r="AZ100" s="953"/>
      <c r="BA100" s="953"/>
      <c r="BB100" s="953"/>
      <c r="BC100" s="953"/>
      <c r="BD100" s="953"/>
      <c r="BE100" s="953"/>
      <c r="BF100" s="953"/>
      <c r="BG100" s="953"/>
      <c r="BH100" s="962" t="str">
        <f>'8a-Weapons'!AR28</f>
        <v>3D</v>
      </c>
      <c r="BI100" s="962"/>
      <c r="BJ100" s="962"/>
      <c r="BK100" s="962"/>
      <c r="BL100" s="962"/>
      <c r="BM100" s="962"/>
      <c r="BN100" s="962"/>
      <c r="BO100" s="962"/>
      <c r="BP100" s="962"/>
      <c r="BQ100" s="962"/>
      <c r="BR100" s="962"/>
      <c r="BS100" s="961" t="str">
        <f>'8a-Weapons'!AU113</f>
        <v>, Repair +1</v>
      </c>
      <c r="BT100" s="961"/>
      <c r="BU100" s="961"/>
      <c r="BV100" s="961"/>
      <c r="BW100" s="961"/>
      <c r="BX100" s="961"/>
      <c r="BY100" s="961"/>
      <c r="BZ100" s="961"/>
      <c r="CA100" s="961"/>
      <c r="CB100" s="961"/>
      <c r="CC100" s="961"/>
      <c r="CD100" s="961"/>
      <c r="CE100" s="961"/>
      <c r="CF100" s="961"/>
      <c r="CG100" s="961"/>
      <c r="CH100" s="961"/>
      <c r="CI100" s="961"/>
      <c r="CJ100" s="961"/>
      <c r="CK100" s="961"/>
      <c r="CL100" s="961"/>
      <c r="CM100" s="961"/>
      <c r="CN100" s="961"/>
      <c r="CO100" s="961"/>
      <c r="CP100" s="961"/>
      <c r="CQ100" s="961"/>
      <c r="CR100" s="961"/>
      <c r="CS100" s="961"/>
      <c r="CT100" s="961"/>
      <c r="CU100" s="961"/>
      <c r="CV100" s="961"/>
      <c r="CW100" s="961"/>
      <c r="CX100" s="961"/>
      <c r="CY100" s="961"/>
      <c r="CZ100" s="961"/>
      <c r="DA100" s="961"/>
      <c r="DB100" s="961"/>
      <c r="DC100" s="961"/>
      <c r="DD100" s="961"/>
      <c r="DE100" s="961"/>
      <c r="DF100" s="961"/>
      <c r="DG100" s="961"/>
      <c r="DH100" s="961"/>
      <c r="DI100" s="961"/>
      <c r="DJ100" s="961"/>
      <c r="DK100" s="961"/>
      <c r="DL100" s="961"/>
      <c r="DM100" s="961"/>
      <c r="DN100" s="961"/>
      <c r="DO100" s="961"/>
      <c r="DP100" s="961"/>
      <c r="DQ100" s="961"/>
      <c r="DR100" s="961"/>
      <c r="DS100" s="961"/>
      <c r="DT100" s="961"/>
      <c r="DU100" s="961"/>
    </row>
    <row r="101" spans="1:126" ht="23" customHeight="1">
      <c r="A101" s="938" t="str">
        <f>'8a-Weapons'!AS114</f>
        <v/>
      </c>
      <c r="B101" s="938"/>
      <c r="C101" s="938"/>
      <c r="D101" s="938"/>
      <c r="E101" s="938"/>
      <c r="F101" s="938"/>
      <c r="G101" s="938"/>
      <c r="H101" s="938"/>
      <c r="I101" s="938"/>
      <c r="J101" s="938"/>
      <c r="K101" s="938"/>
      <c r="L101" s="938"/>
      <c r="M101" s="938"/>
      <c r="N101" s="938"/>
      <c r="O101" s="938"/>
      <c r="P101" s="938"/>
      <c r="Q101" s="938"/>
      <c r="R101" s="938"/>
      <c r="S101" s="938"/>
      <c r="T101" s="938"/>
      <c r="U101" s="938"/>
      <c r="V101" s="938"/>
      <c r="W101" s="938"/>
      <c r="X101" s="938"/>
      <c r="Y101" s="938"/>
      <c r="Z101" s="938"/>
      <c r="AA101" s="938"/>
      <c r="AB101" s="938"/>
      <c r="AC101" s="938"/>
      <c r="AD101" s="938"/>
      <c r="AE101" s="938"/>
      <c r="AF101" s="938"/>
      <c r="AG101" s="938"/>
      <c r="AH101" s="938"/>
      <c r="AI101" s="938"/>
      <c r="AJ101" s="938"/>
      <c r="AK101" s="938"/>
      <c r="AL101" s="938"/>
      <c r="AM101" s="938"/>
      <c r="AN101" s="938"/>
      <c r="AO101" s="938"/>
      <c r="AP101" s="938"/>
      <c r="AQ101" s="938"/>
      <c r="AR101" s="938"/>
      <c r="AS101" s="938"/>
      <c r="AT101" s="938"/>
      <c r="AU101" s="938"/>
      <c r="AV101" s="940" t="str">
        <f>'8a-Weapons'!AQ29</f>
        <v/>
      </c>
      <c r="AW101" s="940"/>
      <c r="AX101" s="940"/>
      <c r="AY101" s="940"/>
      <c r="AZ101" s="940"/>
      <c r="BA101" s="940"/>
      <c r="BB101" s="940"/>
      <c r="BC101" s="940"/>
      <c r="BD101" s="940"/>
      <c r="BE101" s="940"/>
      <c r="BF101" s="940"/>
      <c r="BG101" s="940"/>
      <c r="BH101" s="963" t="str">
        <f>'8a-Weapons'!AR29</f>
        <v/>
      </c>
      <c r="BI101" s="964"/>
      <c r="BJ101" s="964"/>
      <c r="BK101" s="964"/>
      <c r="BL101" s="964"/>
      <c r="BM101" s="964"/>
      <c r="BN101" s="964"/>
      <c r="BO101" s="964"/>
      <c r="BP101" s="964"/>
      <c r="BQ101" s="964"/>
      <c r="BR101" s="965"/>
      <c r="BS101" s="948" t="str">
        <f>'8a-Weapons'!AU114</f>
        <v/>
      </c>
      <c r="BT101" s="948"/>
      <c r="BU101" s="948"/>
      <c r="BV101" s="948"/>
      <c r="BW101" s="948"/>
      <c r="BX101" s="948"/>
      <c r="BY101" s="948"/>
      <c r="BZ101" s="948"/>
      <c r="CA101" s="948"/>
      <c r="CB101" s="948"/>
      <c r="CC101" s="948"/>
      <c r="CD101" s="948"/>
      <c r="CE101" s="948"/>
      <c r="CF101" s="948"/>
      <c r="CG101" s="948"/>
      <c r="CH101" s="948"/>
      <c r="CI101" s="948"/>
      <c r="CJ101" s="948"/>
      <c r="CK101" s="948"/>
      <c r="CL101" s="948"/>
      <c r="CM101" s="948"/>
      <c r="CN101" s="948"/>
      <c r="CO101" s="948"/>
      <c r="CP101" s="948"/>
      <c r="CQ101" s="948"/>
      <c r="CR101" s="948"/>
      <c r="CS101" s="948"/>
      <c r="CT101" s="948"/>
      <c r="CU101" s="948"/>
      <c r="CV101" s="948"/>
      <c r="CW101" s="948"/>
      <c r="CX101" s="948"/>
      <c r="CY101" s="948"/>
      <c r="CZ101" s="948"/>
      <c r="DA101" s="948"/>
      <c r="DB101" s="948"/>
      <c r="DC101" s="948"/>
      <c r="DD101" s="948"/>
      <c r="DE101" s="948"/>
      <c r="DF101" s="948"/>
      <c r="DG101" s="948"/>
      <c r="DH101" s="948"/>
      <c r="DI101" s="948"/>
      <c r="DJ101" s="948"/>
      <c r="DK101" s="948"/>
      <c r="DL101" s="948"/>
      <c r="DM101" s="948"/>
      <c r="DN101" s="948"/>
      <c r="DO101" s="948"/>
      <c r="DP101" s="948"/>
      <c r="DQ101" s="948"/>
      <c r="DR101" s="948"/>
      <c r="DS101" s="948"/>
      <c r="DT101" s="948"/>
      <c r="DU101" s="948"/>
    </row>
    <row r="102" spans="1:126" ht="23" customHeight="1">
      <c r="A102" s="937" t="str">
        <f>'8a-Weapons'!AS115</f>
        <v/>
      </c>
      <c r="B102" s="937"/>
      <c r="C102" s="937"/>
      <c r="D102" s="937"/>
      <c r="E102" s="937"/>
      <c r="F102" s="937"/>
      <c r="G102" s="937"/>
      <c r="H102" s="937"/>
      <c r="I102" s="937"/>
      <c r="J102" s="937"/>
      <c r="K102" s="937"/>
      <c r="L102" s="937"/>
      <c r="M102" s="937"/>
      <c r="N102" s="937"/>
      <c r="O102" s="937"/>
      <c r="P102" s="937"/>
      <c r="Q102" s="937"/>
      <c r="R102" s="937"/>
      <c r="S102" s="937"/>
      <c r="T102" s="937"/>
      <c r="U102" s="937"/>
      <c r="V102" s="937"/>
      <c r="W102" s="937"/>
      <c r="X102" s="937"/>
      <c r="Y102" s="937"/>
      <c r="Z102" s="937"/>
      <c r="AA102" s="937"/>
      <c r="AB102" s="937"/>
      <c r="AC102" s="937"/>
      <c r="AD102" s="937"/>
      <c r="AE102" s="937"/>
      <c r="AF102" s="937"/>
      <c r="AG102" s="937"/>
      <c r="AH102" s="937"/>
      <c r="AI102" s="937"/>
      <c r="AJ102" s="937"/>
      <c r="AK102" s="937"/>
      <c r="AL102" s="937"/>
      <c r="AM102" s="937"/>
      <c r="AN102" s="937"/>
      <c r="AO102" s="937"/>
      <c r="AP102" s="937"/>
      <c r="AQ102" s="937"/>
      <c r="AR102" s="937"/>
      <c r="AS102" s="937"/>
      <c r="AT102" s="937"/>
      <c r="AU102" s="937"/>
      <c r="AV102" s="939" t="str">
        <f>'8a-Weapons'!AQ30</f>
        <v/>
      </c>
      <c r="AW102" s="939"/>
      <c r="AX102" s="939"/>
      <c r="AY102" s="939"/>
      <c r="AZ102" s="939"/>
      <c r="BA102" s="939"/>
      <c r="BB102" s="939"/>
      <c r="BC102" s="939"/>
      <c r="BD102" s="939"/>
      <c r="BE102" s="939"/>
      <c r="BF102" s="939"/>
      <c r="BG102" s="939"/>
      <c r="BH102" s="954" t="str">
        <f>'8a-Weapons'!AR30</f>
        <v/>
      </c>
      <c r="BI102" s="954"/>
      <c r="BJ102" s="954"/>
      <c r="BK102" s="954"/>
      <c r="BL102" s="954"/>
      <c r="BM102" s="954"/>
      <c r="BN102" s="954"/>
      <c r="BO102" s="954"/>
      <c r="BP102" s="954"/>
      <c r="BQ102" s="954"/>
      <c r="BR102" s="954"/>
      <c r="BS102" s="947" t="str">
        <f>'8a-Weapons'!AU115</f>
        <v/>
      </c>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c r="CU102" s="947"/>
      <c r="CV102" s="947"/>
      <c r="CW102" s="947"/>
      <c r="CX102" s="947"/>
      <c r="CY102" s="947"/>
      <c r="CZ102" s="947"/>
      <c r="DA102" s="947"/>
      <c r="DB102" s="947"/>
      <c r="DC102" s="947"/>
      <c r="DD102" s="947"/>
      <c r="DE102" s="947"/>
      <c r="DF102" s="947"/>
      <c r="DG102" s="947"/>
      <c r="DH102" s="947"/>
      <c r="DI102" s="947"/>
      <c r="DJ102" s="947"/>
      <c r="DK102" s="947"/>
      <c r="DL102" s="947"/>
      <c r="DM102" s="947"/>
      <c r="DN102" s="947"/>
      <c r="DO102" s="947"/>
      <c r="DP102" s="947"/>
      <c r="DQ102" s="947"/>
      <c r="DR102" s="947"/>
      <c r="DS102" s="947"/>
      <c r="DT102" s="947"/>
      <c r="DU102" s="947"/>
    </row>
    <row r="103" spans="1:126" ht="23" customHeight="1">
      <c r="A103" s="938" t="str">
        <f>'8a-Weapons'!AS116</f>
        <v/>
      </c>
      <c r="B103" s="938"/>
      <c r="C103" s="938"/>
      <c r="D103" s="938"/>
      <c r="E103" s="938"/>
      <c r="F103" s="938"/>
      <c r="G103" s="938"/>
      <c r="H103" s="938"/>
      <c r="I103" s="938"/>
      <c r="J103" s="938"/>
      <c r="K103" s="938"/>
      <c r="L103" s="938"/>
      <c r="M103" s="938"/>
      <c r="N103" s="938"/>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38"/>
      <c r="AJ103" s="938"/>
      <c r="AK103" s="938"/>
      <c r="AL103" s="938"/>
      <c r="AM103" s="938"/>
      <c r="AN103" s="938"/>
      <c r="AO103" s="938"/>
      <c r="AP103" s="938"/>
      <c r="AQ103" s="938"/>
      <c r="AR103" s="938"/>
      <c r="AS103" s="938"/>
      <c r="AT103" s="938"/>
      <c r="AU103" s="938"/>
      <c r="AV103" s="940" t="str">
        <f>'8a-Weapons'!AQ31</f>
        <v/>
      </c>
      <c r="AW103" s="940"/>
      <c r="AX103" s="940"/>
      <c r="AY103" s="940"/>
      <c r="AZ103" s="940"/>
      <c r="BA103" s="940"/>
      <c r="BB103" s="940"/>
      <c r="BC103" s="940"/>
      <c r="BD103" s="940"/>
      <c r="BE103" s="940"/>
      <c r="BF103" s="940"/>
      <c r="BG103" s="940"/>
      <c r="BH103" s="949" t="str">
        <f>'8a-Weapons'!AR31</f>
        <v/>
      </c>
      <c r="BI103" s="949"/>
      <c r="BJ103" s="949"/>
      <c r="BK103" s="949"/>
      <c r="BL103" s="949"/>
      <c r="BM103" s="949"/>
      <c r="BN103" s="949"/>
      <c r="BO103" s="949"/>
      <c r="BP103" s="949"/>
      <c r="BQ103" s="949"/>
      <c r="BR103" s="949"/>
      <c r="BS103" s="948" t="str">
        <f>'8a-Weapons'!AU116</f>
        <v/>
      </c>
      <c r="BT103" s="948"/>
      <c r="BU103" s="948"/>
      <c r="BV103" s="948"/>
      <c r="BW103" s="948"/>
      <c r="BX103" s="948"/>
      <c r="BY103" s="948"/>
      <c r="BZ103" s="948"/>
      <c r="CA103" s="948"/>
      <c r="CB103" s="948"/>
      <c r="CC103" s="948"/>
      <c r="CD103" s="948"/>
      <c r="CE103" s="948"/>
      <c r="CF103" s="948"/>
      <c r="CG103" s="948"/>
      <c r="CH103" s="948"/>
      <c r="CI103" s="948"/>
      <c r="CJ103" s="948"/>
      <c r="CK103" s="948"/>
      <c r="CL103" s="948"/>
      <c r="CM103" s="948"/>
      <c r="CN103" s="948"/>
      <c r="CO103" s="948"/>
      <c r="CP103" s="948"/>
      <c r="CQ103" s="948"/>
      <c r="CR103" s="948"/>
      <c r="CS103" s="948"/>
      <c r="CT103" s="948"/>
      <c r="CU103" s="948"/>
      <c r="CV103" s="948"/>
      <c r="CW103" s="948"/>
      <c r="CX103" s="948"/>
      <c r="CY103" s="948"/>
      <c r="CZ103" s="948"/>
      <c r="DA103" s="948"/>
      <c r="DB103" s="948"/>
      <c r="DC103" s="948"/>
      <c r="DD103" s="948"/>
      <c r="DE103" s="948"/>
      <c r="DF103" s="948"/>
      <c r="DG103" s="948"/>
      <c r="DH103" s="948"/>
      <c r="DI103" s="948"/>
      <c r="DJ103" s="948"/>
      <c r="DK103" s="948"/>
      <c r="DL103" s="948"/>
      <c r="DM103" s="948"/>
      <c r="DN103" s="948"/>
      <c r="DO103" s="948"/>
      <c r="DP103" s="948"/>
      <c r="DQ103" s="948"/>
      <c r="DR103" s="948"/>
      <c r="DS103" s="948"/>
      <c r="DT103" s="948"/>
      <c r="DU103" s="948"/>
    </row>
    <row r="104" spans="1:126" ht="23" customHeight="1">
      <c r="A104" s="937" t="str">
        <f>'8a-Weapons'!AS117</f>
        <v/>
      </c>
      <c r="B104" s="937"/>
      <c r="C104" s="937"/>
      <c r="D104" s="937"/>
      <c r="E104" s="937"/>
      <c r="F104" s="937"/>
      <c r="G104" s="937"/>
      <c r="H104" s="937"/>
      <c r="I104" s="937"/>
      <c r="J104" s="937"/>
      <c r="K104" s="937"/>
      <c r="L104" s="937"/>
      <c r="M104" s="937"/>
      <c r="N104" s="937"/>
      <c r="O104" s="937"/>
      <c r="P104" s="937"/>
      <c r="Q104" s="937"/>
      <c r="R104" s="937"/>
      <c r="S104" s="937"/>
      <c r="T104" s="937"/>
      <c r="U104" s="937"/>
      <c r="V104" s="937"/>
      <c r="W104" s="937"/>
      <c r="X104" s="937"/>
      <c r="Y104" s="937"/>
      <c r="Z104" s="937"/>
      <c r="AA104" s="937"/>
      <c r="AB104" s="937"/>
      <c r="AC104" s="937"/>
      <c r="AD104" s="937"/>
      <c r="AE104" s="937"/>
      <c r="AF104" s="937"/>
      <c r="AG104" s="937"/>
      <c r="AH104" s="937"/>
      <c r="AI104" s="937"/>
      <c r="AJ104" s="937"/>
      <c r="AK104" s="937"/>
      <c r="AL104" s="937"/>
      <c r="AM104" s="937"/>
      <c r="AN104" s="937"/>
      <c r="AO104" s="937"/>
      <c r="AP104" s="937"/>
      <c r="AQ104" s="937"/>
      <c r="AR104" s="937"/>
      <c r="AS104" s="937"/>
      <c r="AT104" s="937"/>
      <c r="AU104" s="937"/>
      <c r="AV104" s="939" t="str">
        <f>'8a-Weapons'!AQ32</f>
        <v/>
      </c>
      <c r="AW104" s="939"/>
      <c r="AX104" s="939"/>
      <c r="AY104" s="939"/>
      <c r="AZ104" s="939"/>
      <c r="BA104" s="939"/>
      <c r="BB104" s="939"/>
      <c r="BC104" s="939"/>
      <c r="BD104" s="939"/>
      <c r="BE104" s="939"/>
      <c r="BF104" s="939"/>
      <c r="BG104" s="939"/>
      <c r="BH104" s="954" t="str">
        <f>'8a-Weapons'!AR32</f>
        <v/>
      </c>
      <c r="BI104" s="954"/>
      <c r="BJ104" s="954"/>
      <c r="BK104" s="954"/>
      <c r="BL104" s="954"/>
      <c r="BM104" s="954"/>
      <c r="BN104" s="954"/>
      <c r="BO104" s="954"/>
      <c r="BP104" s="954"/>
      <c r="BQ104" s="954"/>
      <c r="BR104" s="954"/>
      <c r="BS104" s="947" t="str">
        <f>'8a-Weapons'!AU117</f>
        <v/>
      </c>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c r="CU104" s="947"/>
      <c r="CV104" s="947"/>
      <c r="CW104" s="947"/>
      <c r="CX104" s="947"/>
      <c r="CY104" s="947"/>
      <c r="CZ104" s="947"/>
      <c r="DA104" s="947"/>
      <c r="DB104" s="947"/>
      <c r="DC104" s="947"/>
      <c r="DD104" s="947"/>
      <c r="DE104" s="947"/>
      <c r="DF104" s="947"/>
      <c r="DG104" s="947"/>
      <c r="DH104" s="947"/>
      <c r="DI104" s="947"/>
      <c r="DJ104" s="947"/>
      <c r="DK104" s="947"/>
      <c r="DL104" s="947"/>
      <c r="DM104" s="947"/>
      <c r="DN104" s="947"/>
      <c r="DO104" s="947"/>
      <c r="DP104" s="947"/>
      <c r="DQ104" s="947"/>
      <c r="DR104" s="947"/>
      <c r="DS104" s="947"/>
      <c r="DT104" s="947"/>
      <c r="DU104" s="947"/>
    </row>
    <row r="105" spans="1:126" ht="23" customHeight="1">
      <c r="A105" s="938" t="str">
        <f>'8a-Weapons'!AS118</f>
        <v/>
      </c>
      <c r="B105" s="938"/>
      <c r="C105" s="938"/>
      <c r="D105" s="938"/>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38"/>
      <c r="AJ105" s="938"/>
      <c r="AK105" s="938"/>
      <c r="AL105" s="938"/>
      <c r="AM105" s="938"/>
      <c r="AN105" s="938"/>
      <c r="AO105" s="938"/>
      <c r="AP105" s="938"/>
      <c r="AQ105" s="938"/>
      <c r="AR105" s="938"/>
      <c r="AS105" s="938"/>
      <c r="AT105" s="938"/>
      <c r="AU105" s="938"/>
      <c r="AV105" s="940" t="str">
        <f>'8a-Weapons'!AQ33</f>
        <v/>
      </c>
      <c r="AW105" s="940"/>
      <c r="AX105" s="940"/>
      <c r="AY105" s="940"/>
      <c r="AZ105" s="940"/>
      <c r="BA105" s="940"/>
      <c r="BB105" s="940"/>
      <c r="BC105" s="940"/>
      <c r="BD105" s="940"/>
      <c r="BE105" s="940"/>
      <c r="BF105" s="940"/>
      <c r="BG105" s="940"/>
      <c r="BH105" s="949" t="str">
        <f>'8a-Weapons'!AR33</f>
        <v/>
      </c>
      <c r="BI105" s="949"/>
      <c r="BJ105" s="949"/>
      <c r="BK105" s="949"/>
      <c r="BL105" s="949"/>
      <c r="BM105" s="949"/>
      <c r="BN105" s="949"/>
      <c r="BO105" s="949"/>
      <c r="BP105" s="949"/>
      <c r="BQ105" s="949"/>
      <c r="BR105" s="949"/>
      <c r="BS105" s="948" t="str">
        <f>'8a-Weapons'!AU118</f>
        <v/>
      </c>
      <c r="BT105" s="948"/>
      <c r="BU105" s="948"/>
      <c r="BV105" s="948"/>
      <c r="BW105" s="948"/>
      <c r="BX105" s="948"/>
      <c r="BY105" s="948"/>
      <c r="BZ105" s="948"/>
      <c r="CA105" s="948"/>
      <c r="CB105" s="948"/>
      <c r="CC105" s="948"/>
      <c r="CD105" s="948"/>
      <c r="CE105" s="948"/>
      <c r="CF105" s="948"/>
      <c r="CG105" s="948"/>
      <c r="CH105" s="948"/>
      <c r="CI105" s="948"/>
      <c r="CJ105" s="948"/>
      <c r="CK105" s="948"/>
      <c r="CL105" s="948"/>
      <c r="CM105" s="948"/>
      <c r="CN105" s="948"/>
      <c r="CO105" s="948"/>
      <c r="CP105" s="948"/>
      <c r="CQ105" s="948"/>
      <c r="CR105" s="948"/>
      <c r="CS105" s="948"/>
      <c r="CT105" s="948"/>
      <c r="CU105" s="948"/>
      <c r="CV105" s="948"/>
      <c r="CW105" s="948"/>
      <c r="CX105" s="948"/>
      <c r="CY105" s="948"/>
      <c r="CZ105" s="948"/>
      <c r="DA105" s="948"/>
      <c r="DB105" s="948"/>
      <c r="DC105" s="948"/>
      <c r="DD105" s="948"/>
      <c r="DE105" s="948"/>
      <c r="DF105" s="948"/>
      <c r="DG105" s="948"/>
      <c r="DH105" s="948"/>
      <c r="DI105" s="948"/>
      <c r="DJ105" s="948"/>
      <c r="DK105" s="948"/>
      <c r="DL105" s="948"/>
      <c r="DM105" s="948"/>
      <c r="DN105" s="948"/>
      <c r="DO105" s="948"/>
      <c r="DP105" s="948"/>
      <c r="DQ105" s="948"/>
      <c r="DR105" s="948"/>
      <c r="DS105" s="948"/>
      <c r="DT105" s="948"/>
      <c r="DU105" s="948"/>
    </row>
    <row r="106" spans="1:126" ht="23" customHeight="1">
      <c r="A106" s="937" t="str">
        <f>'8a-Weapons'!AS119</f>
        <v/>
      </c>
      <c r="B106" s="937"/>
      <c r="C106" s="937"/>
      <c r="D106" s="937"/>
      <c r="E106" s="937"/>
      <c r="F106" s="937"/>
      <c r="G106" s="937"/>
      <c r="H106" s="937"/>
      <c r="I106" s="937"/>
      <c r="J106" s="937"/>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37"/>
      <c r="AJ106" s="937"/>
      <c r="AK106" s="937"/>
      <c r="AL106" s="937"/>
      <c r="AM106" s="937"/>
      <c r="AN106" s="937"/>
      <c r="AO106" s="937"/>
      <c r="AP106" s="937"/>
      <c r="AQ106" s="937"/>
      <c r="AR106" s="937"/>
      <c r="AS106" s="937"/>
      <c r="AT106" s="937"/>
      <c r="AU106" s="937"/>
      <c r="AV106" s="939" t="str">
        <f>'8a-Weapons'!AQ34</f>
        <v/>
      </c>
      <c r="AW106" s="939"/>
      <c r="AX106" s="939"/>
      <c r="AY106" s="939"/>
      <c r="AZ106" s="939"/>
      <c r="BA106" s="939"/>
      <c r="BB106" s="939"/>
      <c r="BC106" s="939"/>
      <c r="BD106" s="939"/>
      <c r="BE106" s="939"/>
      <c r="BF106" s="939"/>
      <c r="BG106" s="939"/>
      <c r="BH106" s="954" t="str">
        <f>'8a-Weapons'!AR34</f>
        <v/>
      </c>
      <c r="BI106" s="954"/>
      <c r="BJ106" s="954"/>
      <c r="BK106" s="954"/>
      <c r="BL106" s="954"/>
      <c r="BM106" s="954"/>
      <c r="BN106" s="954"/>
      <c r="BO106" s="954"/>
      <c r="BP106" s="954"/>
      <c r="BQ106" s="954"/>
      <c r="BR106" s="954"/>
      <c r="BS106" s="947" t="str">
        <f>'8a-Weapons'!AU119</f>
        <v/>
      </c>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c r="CU106" s="947"/>
      <c r="CV106" s="947"/>
      <c r="CW106" s="947"/>
      <c r="CX106" s="947"/>
      <c r="CY106" s="947"/>
      <c r="CZ106" s="947"/>
      <c r="DA106" s="947"/>
      <c r="DB106" s="947"/>
      <c r="DC106" s="947"/>
      <c r="DD106" s="947"/>
      <c r="DE106" s="947"/>
      <c r="DF106" s="947"/>
      <c r="DG106" s="947"/>
      <c r="DH106" s="947"/>
      <c r="DI106" s="947"/>
      <c r="DJ106" s="947"/>
      <c r="DK106" s="947"/>
      <c r="DL106" s="947"/>
      <c r="DM106" s="947"/>
      <c r="DN106" s="947"/>
      <c r="DO106" s="947"/>
      <c r="DP106" s="947"/>
      <c r="DQ106" s="947"/>
      <c r="DR106" s="947"/>
      <c r="DS106" s="947"/>
      <c r="DT106" s="947"/>
      <c r="DU106" s="947"/>
    </row>
    <row r="107" spans="1:126" ht="23" customHeight="1">
      <c r="A107" s="938" t="str">
        <f>'8a-Weapons'!AS120</f>
        <v/>
      </c>
      <c r="B107" s="938"/>
      <c r="C107" s="938"/>
      <c r="D107" s="938"/>
      <c r="E107" s="938"/>
      <c r="F107" s="938"/>
      <c r="G107" s="938"/>
      <c r="H107" s="938"/>
      <c r="I107" s="938"/>
      <c r="J107" s="938"/>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38"/>
      <c r="AJ107" s="938"/>
      <c r="AK107" s="938"/>
      <c r="AL107" s="938"/>
      <c r="AM107" s="938"/>
      <c r="AN107" s="938"/>
      <c r="AO107" s="938"/>
      <c r="AP107" s="938"/>
      <c r="AQ107" s="938"/>
      <c r="AR107" s="938"/>
      <c r="AS107" s="938"/>
      <c r="AT107" s="938"/>
      <c r="AU107" s="938"/>
      <c r="AV107" s="940" t="str">
        <f>'8a-Weapons'!AQ35</f>
        <v/>
      </c>
      <c r="AW107" s="940"/>
      <c r="AX107" s="940"/>
      <c r="AY107" s="940"/>
      <c r="AZ107" s="940"/>
      <c r="BA107" s="940"/>
      <c r="BB107" s="940"/>
      <c r="BC107" s="940"/>
      <c r="BD107" s="940"/>
      <c r="BE107" s="940"/>
      <c r="BF107" s="940"/>
      <c r="BG107" s="940"/>
      <c r="BH107" s="949" t="str">
        <f>'8a-Weapons'!AR35</f>
        <v/>
      </c>
      <c r="BI107" s="949"/>
      <c r="BJ107" s="949"/>
      <c r="BK107" s="949"/>
      <c r="BL107" s="949"/>
      <c r="BM107" s="949"/>
      <c r="BN107" s="949"/>
      <c r="BO107" s="949"/>
      <c r="BP107" s="949"/>
      <c r="BQ107" s="949"/>
      <c r="BR107" s="949"/>
      <c r="BS107" s="948" t="str">
        <f>'8a-Weapons'!AU120</f>
        <v/>
      </c>
      <c r="BT107" s="948"/>
      <c r="BU107" s="948"/>
      <c r="BV107" s="948"/>
      <c r="BW107" s="948"/>
      <c r="BX107" s="948"/>
      <c r="BY107" s="948"/>
      <c r="BZ107" s="948"/>
      <c r="CA107" s="948"/>
      <c r="CB107" s="948"/>
      <c r="CC107" s="948"/>
      <c r="CD107" s="948"/>
      <c r="CE107" s="948"/>
      <c r="CF107" s="948"/>
      <c r="CG107" s="948"/>
      <c r="CH107" s="948"/>
      <c r="CI107" s="948"/>
      <c r="CJ107" s="948"/>
      <c r="CK107" s="948"/>
      <c r="CL107" s="948"/>
      <c r="CM107" s="948"/>
      <c r="CN107" s="948"/>
      <c r="CO107" s="948"/>
      <c r="CP107" s="948"/>
      <c r="CQ107" s="948"/>
      <c r="CR107" s="948"/>
      <c r="CS107" s="948"/>
      <c r="CT107" s="948"/>
      <c r="CU107" s="948"/>
      <c r="CV107" s="948"/>
      <c r="CW107" s="948"/>
      <c r="CX107" s="948"/>
      <c r="CY107" s="948"/>
      <c r="CZ107" s="948"/>
      <c r="DA107" s="948"/>
      <c r="DB107" s="948"/>
      <c r="DC107" s="948"/>
      <c r="DD107" s="948"/>
      <c r="DE107" s="948"/>
      <c r="DF107" s="948"/>
      <c r="DG107" s="948"/>
      <c r="DH107" s="948"/>
      <c r="DI107" s="948"/>
      <c r="DJ107" s="948"/>
      <c r="DK107" s="948"/>
      <c r="DL107" s="948"/>
      <c r="DM107" s="948"/>
      <c r="DN107" s="948"/>
      <c r="DO107" s="948"/>
      <c r="DP107" s="948"/>
      <c r="DQ107" s="948"/>
      <c r="DR107" s="948"/>
      <c r="DS107" s="948"/>
      <c r="DT107" s="948"/>
      <c r="DU107" s="948"/>
    </row>
    <row r="108" spans="1:126" ht="23" customHeight="1">
      <c r="A108" s="937" t="str">
        <f>'8a-Weapons'!AS121</f>
        <v/>
      </c>
      <c r="B108" s="937"/>
      <c r="C108" s="937"/>
      <c r="D108" s="937"/>
      <c r="E108" s="937"/>
      <c r="F108" s="937"/>
      <c r="G108" s="937"/>
      <c r="H108" s="937"/>
      <c r="I108" s="937"/>
      <c r="J108" s="937"/>
      <c r="K108" s="937"/>
      <c r="L108" s="937"/>
      <c r="M108" s="937"/>
      <c r="N108" s="937"/>
      <c r="O108" s="937"/>
      <c r="P108" s="937"/>
      <c r="Q108" s="937"/>
      <c r="R108" s="937"/>
      <c r="S108" s="937"/>
      <c r="T108" s="937"/>
      <c r="U108" s="937"/>
      <c r="V108" s="937"/>
      <c r="W108" s="937"/>
      <c r="X108" s="937"/>
      <c r="Y108" s="937"/>
      <c r="Z108" s="937"/>
      <c r="AA108" s="937"/>
      <c r="AB108" s="937"/>
      <c r="AC108" s="937"/>
      <c r="AD108" s="937"/>
      <c r="AE108" s="937"/>
      <c r="AF108" s="937"/>
      <c r="AG108" s="937"/>
      <c r="AH108" s="937"/>
      <c r="AI108" s="937"/>
      <c r="AJ108" s="937"/>
      <c r="AK108" s="937"/>
      <c r="AL108" s="937"/>
      <c r="AM108" s="937"/>
      <c r="AN108" s="937"/>
      <c r="AO108" s="937"/>
      <c r="AP108" s="937"/>
      <c r="AQ108" s="937"/>
      <c r="AR108" s="937"/>
      <c r="AS108" s="937"/>
      <c r="AT108" s="937"/>
      <c r="AU108" s="937"/>
      <c r="AV108" s="939" t="str">
        <f>'8a-Weapons'!AQ36</f>
        <v/>
      </c>
      <c r="AW108" s="939"/>
      <c r="AX108" s="939"/>
      <c r="AY108" s="939"/>
      <c r="AZ108" s="939"/>
      <c r="BA108" s="939"/>
      <c r="BB108" s="939"/>
      <c r="BC108" s="939"/>
      <c r="BD108" s="939"/>
      <c r="BE108" s="939"/>
      <c r="BF108" s="939"/>
      <c r="BG108" s="939"/>
      <c r="BH108" s="954" t="str">
        <f>'8a-Weapons'!AR36</f>
        <v/>
      </c>
      <c r="BI108" s="954"/>
      <c r="BJ108" s="954"/>
      <c r="BK108" s="954"/>
      <c r="BL108" s="954"/>
      <c r="BM108" s="954"/>
      <c r="BN108" s="954"/>
      <c r="BO108" s="954"/>
      <c r="BP108" s="954"/>
      <c r="BQ108" s="954"/>
      <c r="BR108" s="954"/>
      <c r="BS108" s="947" t="str">
        <f>'8a-Weapons'!AU121</f>
        <v/>
      </c>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c r="CU108" s="947"/>
      <c r="CV108" s="947"/>
      <c r="CW108" s="947"/>
      <c r="CX108" s="947"/>
      <c r="CY108" s="947"/>
      <c r="CZ108" s="947"/>
      <c r="DA108" s="947"/>
      <c r="DB108" s="947"/>
      <c r="DC108" s="947"/>
      <c r="DD108" s="947"/>
      <c r="DE108" s="947"/>
      <c r="DF108" s="947"/>
      <c r="DG108" s="947"/>
      <c r="DH108" s="947"/>
      <c r="DI108" s="947"/>
      <c r="DJ108" s="947"/>
      <c r="DK108" s="947"/>
      <c r="DL108" s="947"/>
      <c r="DM108" s="947"/>
      <c r="DN108" s="947"/>
      <c r="DO108" s="947"/>
      <c r="DP108" s="947"/>
      <c r="DQ108" s="947"/>
      <c r="DR108" s="947"/>
      <c r="DS108" s="947"/>
      <c r="DT108" s="947"/>
      <c r="DU108" s="947"/>
    </row>
    <row r="109" spans="1:126" ht="23" customHeight="1">
      <c r="A109" s="938" t="str">
        <f>'8a-Weapons'!AS122</f>
        <v/>
      </c>
      <c r="B109" s="938"/>
      <c r="C109" s="938"/>
      <c r="D109" s="938"/>
      <c r="E109" s="938"/>
      <c r="F109" s="938"/>
      <c r="G109" s="938"/>
      <c r="H109" s="938"/>
      <c r="I109" s="938"/>
      <c r="J109" s="938"/>
      <c r="K109" s="938"/>
      <c r="L109" s="938"/>
      <c r="M109" s="938"/>
      <c r="N109" s="938"/>
      <c r="O109" s="938"/>
      <c r="P109" s="938"/>
      <c r="Q109" s="938"/>
      <c r="R109" s="938"/>
      <c r="S109" s="938"/>
      <c r="T109" s="938"/>
      <c r="U109" s="938"/>
      <c r="V109" s="938"/>
      <c r="W109" s="938"/>
      <c r="X109" s="938"/>
      <c r="Y109" s="938"/>
      <c r="Z109" s="938"/>
      <c r="AA109" s="938"/>
      <c r="AB109" s="938"/>
      <c r="AC109" s="938"/>
      <c r="AD109" s="938"/>
      <c r="AE109" s="938"/>
      <c r="AF109" s="938"/>
      <c r="AG109" s="938"/>
      <c r="AH109" s="938"/>
      <c r="AI109" s="938"/>
      <c r="AJ109" s="938"/>
      <c r="AK109" s="938"/>
      <c r="AL109" s="938"/>
      <c r="AM109" s="938"/>
      <c r="AN109" s="938"/>
      <c r="AO109" s="938"/>
      <c r="AP109" s="938"/>
      <c r="AQ109" s="938"/>
      <c r="AR109" s="938"/>
      <c r="AS109" s="938"/>
      <c r="AT109" s="938"/>
      <c r="AU109" s="938"/>
      <c r="AV109" s="940" t="str">
        <f>'8a-Weapons'!AQ37</f>
        <v/>
      </c>
      <c r="AW109" s="940"/>
      <c r="AX109" s="940"/>
      <c r="AY109" s="940"/>
      <c r="AZ109" s="940"/>
      <c r="BA109" s="940"/>
      <c r="BB109" s="940"/>
      <c r="BC109" s="940"/>
      <c r="BD109" s="940"/>
      <c r="BE109" s="940"/>
      <c r="BF109" s="940"/>
      <c r="BG109" s="940"/>
      <c r="BH109" s="949" t="str">
        <f>'8a-Weapons'!AR37</f>
        <v/>
      </c>
      <c r="BI109" s="949"/>
      <c r="BJ109" s="949"/>
      <c r="BK109" s="949"/>
      <c r="BL109" s="949"/>
      <c r="BM109" s="949"/>
      <c r="BN109" s="949"/>
      <c r="BO109" s="949"/>
      <c r="BP109" s="949"/>
      <c r="BQ109" s="949"/>
      <c r="BR109" s="949"/>
      <c r="BS109" s="948" t="str">
        <f>'8a-Weapons'!AU122</f>
        <v/>
      </c>
      <c r="BT109" s="948"/>
      <c r="BU109" s="948"/>
      <c r="BV109" s="948"/>
      <c r="BW109" s="948"/>
      <c r="BX109" s="948"/>
      <c r="BY109" s="948"/>
      <c r="BZ109" s="948"/>
      <c r="CA109" s="948"/>
      <c r="CB109" s="948"/>
      <c r="CC109" s="948"/>
      <c r="CD109" s="948"/>
      <c r="CE109" s="948"/>
      <c r="CF109" s="948"/>
      <c r="CG109" s="948"/>
      <c r="CH109" s="948"/>
      <c r="CI109" s="948"/>
      <c r="CJ109" s="948"/>
      <c r="CK109" s="948"/>
      <c r="CL109" s="948"/>
      <c r="CM109" s="948"/>
      <c r="CN109" s="948"/>
      <c r="CO109" s="948"/>
      <c r="CP109" s="948"/>
      <c r="CQ109" s="948"/>
      <c r="CR109" s="948"/>
      <c r="CS109" s="948"/>
      <c r="CT109" s="948"/>
      <c r="CU109" s="948"/>
      <c r="CV109" s="948"/>
      <c r="CW109" s="948"/>
      <c r="CX109" s="948"/>
      <c r="CY109" s="948"/>
      <c r="CZ109" s="948"/>
      <c r="DA109" s="948"/>
      <c r="DB109" s="948"/>
      <c r="DC109" s="948"/>
      <c r="DD109" s="948"/>
      <c r="DE109" s="948"/>
      <c r="DF109" s="948"/>
      <c r="DG109" s="948"/>
      <c r="DH109" s="948"/>
      <c r="DI109" s="948"/>
      <c r="DJ109" s="948"/>
      <c r="DK109" s="948"/>
      <c r="DL109" s="948"/>
      <c r="DM109" s="948"/>
      <c r="DN109" s="948"/>
      <c r="DO109" s="948"/>
      <c r="DP109" s="948"/>
      <c r="DQ109" s="948"/>
      <c r="DR109" s="948"/>
      <c r="DS109" s="948"/>
      <c r="DT109" s="948"/>
      <c r="DU109" s="948"/>
    </row>
    <row r="110" spans="1:126" ht="23" customHeight="1">
      <c r="A110" s="937" t="str">
        <f>'8a-Weapons'!AS123</f>
        <v/>
      </c>
      <c r="B110" s="937"/>
      <c r="C110" s="937"/>
      <c r="D110" s="937"/>
      <c r="E110" s="937"/>
      <c r="F110" s="937"/>
      <c r="G110" s="937"/>
      <c r="H110" s="937"/>
      <c r="I110" s="937"/>
      <c r="J110" s="937"/>
      <c r="K110" s="937"/>
      <c r="L110" s="937"/>
      <c r="M110" s="937"/>
      <c r="N110" s="937"/>
      <c r="O110" s="937"/>
      <c r="P110" s="937"/>
      <c r="Q110" s="937"/>
      <c r="R110" s="937"/>
      <c r="S110" s="937"/>
      <c r="T110" s="937"/>
      <c r="U110" s="937"/>
      <c r="V110" s="937"/>
      <c r="W110" s="937"/>
      <c r="X110" s="937"/>
      <c r="Y110" s="937"/>
      <c r="Z110" s="937"/>
      <c r="AA110" s="937"/>
      <c r="AB110" s="937"/>
      <c r="AC110" s="937"/>
      <c r="AD110" s="937"/>
      <c r="AE110" s="937"/>
      <c r="AF110" s="937"/>
      <c r="AG110" s="937"/>
      <c r="AH110" s="937"/>
      <c r="AI110" s="937"/>
      <c r="AJ110" s="937"/>
      <c r="AK110" s="937"/>
      <c r="AL110" s="937"/>
      <c r="AM110" s="937"/>
      <c r="AN110" s="937"/>
      <c r="AO110" s="937"/>
      <c r="AP110" s="937"/>
      <c r="AQ110" s="937"/>
      <c r="AR110" s="937"/>
      <c r="AS110" s="937"/>
      <c r="AT110" s="937"/>
      <c r="AU110" s="937"/>
      <c r="AV110" s="939" t="str">
        <f>'8a-Weapons'!AQ38</f>
        <v/>
      </c>
      <c r="AW110" s="939"/>
      <c r="AX110" s="939"/>
      <c r="AY110" s="939"/>
      <c r="AZ110" s="939"/>
      <c r="BA110" s="939"/>
      <c r="BB110" s="939"/>
      <c r="BC110" s="939"/>
      <c r="BD110" s="939"/>
      <c r="BE110" s="939"/>
      <c r="BF110" s="939"/>
      <c r="BG110" s="939"/>
      <c r="BH110" s="954" t="str">
        <f>'8a-Weapons'!AR38</f>
        <v/>
      </c>
      <c r="BI110" s="954"/>
      <c r="BJ110" s="954"/>
      <c r="BK110" s="954"/>
      <c r="BL110" s="954"/>
      <c r="BM110" s="954"/>
      <c r="BN110" s="954"/>
      <c r="BO110" s="954"/>
      <c r="BP110" s="954"/>
      <c r="BQ110" s="954"/>
      <c r="BR110" s="954"/>
      <c r="BS110" s="947" t="str">
        <f>'8a-Weapons'!AU123</f>
        <v/>
      </c>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c r="CU110" s="947"/>
      <c r="CV110" s="947"/>
      <c r="CW110" s="947"/>
      <c r="CX110" s="947"/>
      <c r="CY110" s="947"/>
      <c r="CZ110" s="947"/>
      <c r="DA110" s="947"/>
      <c r="DB110" s="947"/>
      <c r="DC110" s="947"/>
      <c r="DD110" s="947"/>
      <c r="DE110" s="947"/>
      <c r="DF110" s="947"/>
      <c r="DG110" s="947"/>
      <c r="DH110" s="947"/>
      <c r="DI110" s="947"/>
      <c r="DJ110" s="947"/>
      <c r="DK110" s="947"/>
      <c r="DL110" s="947"/>
      <c r="DM110" s="947"/>
      <c r="DN110" s="947"/>
      <c r="DO110" s="947"/>
      <c r="DP110" s="947"/>
      <c r="DQ110" s="947"/>
      <c r="DR110" s="947"/>
      <c r="DS110" s="947"/>
      <c r="DT110" s="947"/>
      <c r="DU110" s="947"/>
    </row>
    <row r="111" spans="1:126" ht="23" customHeight="1">
      <c r="A111" s="938" t="str">
        <f>'8a-Weapons'!AS124</f>
        <v/>
      </c>
      <c r="B111" s="938"/>
      <c r="C111" s="938"/>
      <c r="D111" s="938"/>
      <c r="E111" s="938"/>
      <c r="F111" s="938"/>
      <c r="G111" s="938"/>
      <c r="H111" s="938"/>
      <c r="I111" s="938"/>
      <c r="J111" s="938"/>
      <c r="K111" s="938"/>
      <c r="L111" s="938"/>
      <c r="M111" s="938"/>
      <c r="N111" s="938"/>
      <c r="O111" s="938"/>
      <c r="P111" s="938"/>
      <c r="Q111" s="938"/>
      <c r="R111" s="938"/>
      <c r="S111" s="938"/>
      <c r="T111" s="938"/>
      <c r="U111" s="938"/>
      <c r="V111" s="938"/>
      <c r="W111" s="938"/>
      <c r="X111" s="938"/>
      <c r="Y111" s="938"/>
      <c r="Z111" s="938"/>
      <c r="AA111" s="938"/>
      <c r="AB111" s="938"/>
      <c r="AC111" s="938"/>
      <c r="AD111" s="938"/>
      <c r="AE111" s="938"/>
      <c r="AF111" s="938"/>
      <c r="AG111" s="938"/>
      <c r="AH111" s="938"/>
      <c r="AI111" s="938"/>
      <c r="AJ111" s="938"/>
      <c r="AK111" s="938"/>
      <c r="AL111" s="938"/>
      <c r="AM111" s="938"/>
      <c r="AN111" s="938"/>
      <c r="AO111" s="938"/>
      <c r="AP111" s="938"/>
      <c r="AQ111" s="938"/>
      <c r="AR111" s="938"/>
      <c r="AS111" s="938"/>
      <c r="AT111" s="938"/>
      <c r="AU111" s="938"/>
      <c r="AV111" s="940" t="str">
        <f>'8a-Weapons'!AQ39</f>
        <v/>
      </c>
      <c r="AW111" s="940"/>
      <c r="AX111" s="940"/>
      <c r="AY111" s="940"/>
      <c r="AZ111" s="940"/>
      <c r="BA111" s="940"/>
      <c r="BB111" s="940"/>
      <c r="BC111" s="940"/>
      <c r="BD111" s="940"/>
      <c r="BE111" s="940"/>
      <c r="BF111" s="940"/>
      <c r="BG111" s="940"/>
      <c r="BH111" s="949" t="str">
        <f>'8a-Weapons'!AR39</f>
        <v/>
      </c>
      <c r="BI111" s="949"/>
      <c r="BJ111" s="949"/>
      <c r="BK111" s="949"/>
      <c r="BL111" s="949"/>
      <c r="BM111" s="949"/>
      <c r="BN111" s="949"/>
      <c r="BO111" s="949"/>
      <c r="BP111" s="949"/>
      <c r="BQ111" s="949"/>
      <c r="BR111" s="949"/>
      <c r="BS111" s="948" t="str">
        <f>'8a-Weapons'!AU124</f>
        <v/>
      </c>
      <c r="BT111" s="948"/>
      <c r="BU111" s="948"/>
      <c r="BV111" s="948"/>
      <c r="BW111" s="948"/>
      <c r="BX111" s="948"/>
      <c r="BY111" s="948"/>
      <c r="BZ111" s="948"/>
      <c r="CA111" s="948"/>
      <c r="CB111" s="948"/>
      <c r="CC111" s="948"/>
      <c r="CD111" s="948"/>
      <c r="CE111" s="948"/>
      <c r="CF111" s="948"/>
      <c r="CG111" s="948"/>
      <c r="CH111" s="948"/>
      <c r="CI111" s="948"/>
      <c r="CJ111" s="948"/>
      <c r="CK111" s="948"/>
      <c r="CL111" s="948"/>
      <c r="CM111" s="948"/>
      <c r="CN111" s="948"/>
      <c r="CO111" s="948"/>
      <c r="CP111" s="948"/>
      <c r="CQ111" s="948"/>
      <c r="CR111" s="948"/>
      <c r="CS111" s="948"/>
      <c r="CT111" s="948"/>
      <c r="CU111" s="948"/>
      <c r="CV111" s="948"/>
      <c r="CW111" s="948"/>
      <c r="CX111" s="948"/>
      <c r="CY111" s="948"/>
      <c r="CZ111" s="948"/>
      <c r="DA111" s="948"/>
      <c r="DB111" s="948"/>
      <c r="DC111" s="948"/>
      <c r="DD111" s="948"/>
      <c r="DE111" s="948"/>
      <c r="DF111" s="948"/>
      <c r="DG111" s="948"/>
      <c r="DH111" s="948"/>
      <c r="DI111" s="948"/>
      <c r="DJ111" s="948"/>
      <c r="DK111" s="948"/>
      <c r="DL111" s="948"/>
      <c r="DM111" s="948"/>
      <c r="DN111" s="948"/>
      <c r="DO111" s="948"/>
      <c r="DP111" s="948"/>
      <c r="DQ111" s="948"/>
      <c r="DR111" s="948"/>
      <c r="DS111" s="948"/>
      <c r="DT111" s="948"/>
      <c r="DU111" s="948"/>
    </row>
    <row r="112" spans="1:126" ht="23" customHeight="1">
      <c r="A112" s="937" t="str">
        <f>'8a-Weapons'!AS125</f>
        <v/>
      </c>
      <c r="B112" s="937"/>
      <c r="C112" s="937"/>
      <c r="D112" s="937"/>
      <c r="E112" s="937"/>
      <c r="F112" s="937"/>
      <c r="G112" s="937"/>
      <c r="H112" s="937"/>
      <c r="I112" s="937"/>
      <c r="J112" s="937"/>
      <c r="K112" s="937"/>
      <c r="L112" s="937"/>
      <c r="M112" s="937"/>
      <c r="N112" s="937"/>
      <c r="O112" s="937"/>
      <c r="P112" s="937"/>
      <c r="Q112" s="937"/>
      <c r="R112" s="937"/>
      <c r="S112" s="937"/>
      <c r="T112" s="937"/>
      <c r="U112" s="937"/>
      <c r="V112" s="937"/>
      <c r="W112" s="937"/>
      <c r="X112" s="937"/>
      <c r="Y112" s="937"/>
      <c r="Z112" s="937"/>
      <c r="AA112" s="937"/>
      <c r="AB112" s="937"/>
      <c r="AC112" s="937"/>
      <c r="AD112" s="937"/>
      <c r="AE112" s="937"/>
      <c r="AF112" s="937"/>
      <c r="AG112" s="937"/>
      <c r="AH112" s="937"/>
      <c r="AI112" s="937"/>
      <c r="AJ112" s="937"/>
      <c r="AK112" s="937"/>
      <c r="AL112" s="937"/>
      <c r="AM112" s="937"/>
      <c r="AN112" s="937"/>
      <c r="AO112" s="937"/>
      <c r="AP112" s="937"/>
      <c r="AQ112" s="937"/>
      <c r="AR112" s="937"/>
      <c r="AS112" s="937"/>
      <c r="AT112" s="937"/>
      <c r="AU112" s="937"/>
      <c r="AV112" s="939" t="str">
        <f>'8a-Weapons'!AQ40</f>
        <v/>
      </c>
      <c r="AW112" s="939"/>
      <c r="AX112" s="939"/>
      <c r="AY112" s="939"/>
      <c r="AZ112" s="939"/>
      <c r="BA112" s="939"/>
      <c r="BB112" s="939"/>
      <c r="BC112" s="939"/>
      <c r="BD112" s="939"/>
      <c r="BE112" s="939"/>
      <c r="BF112" s="939"/>
      <c r="BG112" s="939"/>
      <c r="BH112" s="954" t="str">
        <f>'8a-Weapons'!AR40</f>
        <v/>
      </c>
      <c r="BI112" s="954"/>
      <c r="BJ112" s="954"/>
      <c r="BK112" s="954"/>
      <c r="BL112" s="954"/>
      <c r="BM112" s="954"/>
      <c r="BN112" s="954"/>
      <c r="BO112" s="954"/>
      <c r="BP112" s="954"/>
      <c r="BQ112" s="954"/>
      <c r="BR112" s="954"/>
      <c r="BS112" s="947" t="str">
        <f>'8a-Weapons'!AU125</f>
        <v/>
      </c>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c r="CU112" s="947"/>
      <c r="CV112" s="947"/>
      <c r="CW112" s="947"/>
      <c r="CX112" s="947"/>
      <c r="CY112" s="947"/>
      <c r="CZ112" s="947"/>
      <c r="DA112" s="947"/>
      <c r="DB112" s="947"/>
      <c r="DC112" s="947"/>
      <c r="DD112" s="947"/>
      <c r="DE112" s="947"/>
      <c r="DF112" s="947"/>
      <c r="DG112" s="947"/>
      <c r="DH112" s="947"/>
      <c r="DI112" s="947"/>
      <c r="DJ112" s="947"/>
      <c r="DK112" s="947"/>
      <c r="DL112" s="947"/>
      <c r="DM112" s="947"/>
      <c r="DN112" s="947"/>
      <c r="DO112" s="947"/>
      <c r="DP112" s="947"/>
      <c r="DQ112" s="947"/>
      <c r="DR112" s="947"/>
      <c r="DS112" s="947"/>
      <c r="DT112" s="947"/>
      <c r="DU112" s="947"/>
    </row>
    <row r="113" spans="1:126" ht="23" customHeight="1">
      <c r="A113" s="938" t="str">
        <f>'8a-Weapons'!AS126</f>
        <v/>
      </c>
      <c r="B113" s="938"/>
      <c r="C113" s="938"/>
      <c r="D113" s="938"/>
      <c r="E113" s="938"/>
      <c r="F113" s="938"/>
      <c r="G113" s="938"/>
      <c r="H113" s="938"/>
      <c r="I113" s="938"/>
      <c r="J113" s="938"/>
      <c r="K113" s="938"/>
      <c r="L113" s="938"/>
      <c r="M113" s="938"/>
      <c r="N113" s="938"/>
      <c r="O113" s="938"/>
      <c r="P113" s="938"/>
      <c r="Q113" s="938"/>
      <c r="R113" s="938"/>
      <c r="S113" s="938"/>
      <c r="T113" s="938"/>
      <c r="U113" s="938"/>
      <c r="V113" s="938"/>
      <c r="W113" s="938"/>
      <c r="X113" s="938"/>
      <c r="Y113" s="938"/>
      <c r="Z113" s="938"/>
      <c r="AA113" s="938"/>
      <c r="AB113" s="938"/>
      <c r="AC113" s="938"/>
      <c r="AD113" s="938"/>
      <c r="AE113" s="938"/>
      <c r="AF113" s="938"/>
      <c r="AG113" s="938"/>
      <c r="AH113" s="938"/>
      <c r="AI113" s="938"/>
      <c r="AJ113" s="938"/>
      <c r="AK113" s="938"/>
      <c r="AL113" s="938"/>
      <c r="AM113" s="938"/>
      <c r="AN113" s="938"/>
      <c r="AO113" s="938"/>
      <c r="AP113" s="938"/>
      <c r="AQ113" s="938"/>
      <c r="AR113" s="938"/>
      <c r="AS113" s="938"/>
      <c r="AT113" s="938"/>
      <c r="AU113" s="938"/>
      <c r="AV113" s="940" t="str">
        <f>'8a-Weapons'!AQ41</f>
        <v/>
      </c>
      <c r="AW113" s="940"/>
      <c r="AX113" s="940"/>
      <c r="AY113" s="940"/>
      <c r="AZ113" s="940"/>
      <c r="BA113" s="940"/>
      <c r="BB113" s="940"/>
      <c r="BC113" s="940"/>
      <c r="BD113" s="940"/>
      <c r="BE113" s="940"/>
      <c r="BF113" s="940"/>
      <c r="BG113" s="940"/>
      <c r="BH113" s="949" t="str">
        <f>'8a-Weapons'!AR41</f>
        <v/>
      </c>
      <c r="BI113" s="949"/>
      <c r="BJ113" s="949"/>
      <c r="BK113" s="949"/>
      <c r="BL113" s="949"/>
      <c r="BM113" s="949"/>
      <c r="BN113" s="949"/>
      <c r="BO113" s="949"/>
      <c r="BP113" s="949"/>
      <c r="BQ113" s="949"/>
      <c r="BR113" s="949"/>
      <c r="BS113" s="948" t="str">
        <f>'8a-Weapons'!AU126</f>
        <v/>
      </c>
      <c r="BT113" s="948"/>
      <c r="BU113" s="948"/>
      <c r="BV113" s="948"/>
      <c r="BW113" s="948"/>
      <c r="BX113" s="948"/>
      <c r="BY113" s="948"/>
      <c r="BZ113" s="948"/>
      <c r="CA113" s="948"/>
      <c r="CB113" s="948"/>
      <c r="CC113" s="948"/>
      <c r="CD113" s="948"/>
      <c r="CE113" s="948"/>
      <c r="CF113" s="948"/>
      <c r="CG113" s="948"/>
      <c r="CH113" s="948"/>
      <c r="CI113" s="948"/>
      <c r="CJ113" s="948"/>
      <c r="CK113" s="948"/>
      <c r="CL113" s="948"/>
      <c r="CM113" s="948"/>
      <c r="CN113" s="948"/>
      <c r="CO113" s="948"/>
      <c r="CP113" s="948"/>
      <c r="CQ113" s="948"/>
      <c r="CR113" s="948"/>
      <c r="CS113" s="948"/>
      <c r="CT113" s="948"/>
      <c r="CU113" s="948"/>
      <c r="CV113" s="948"/>
      <c r="CW113" s="948"/>
      <c r="CX113" s="948"/>
      <c r="CY113" s="948"/>
      <c r="CZ113" s="948"/>
      <c r="DA113" s="948"/>
      <c r="DB113" s="948"/>
      <c r="DC113" s="948"/>
      <c r="DD113" s="948"/>
      <c r="DE113" s="948"/>
      <c r="DF113" s="948"/>
      <c r="DG113" s="948"/>
      <c r="DH113" s="948"/>
      <c r="DI113" s="948"/>
      <c r="DJ113" s="948"/>
      <c r="DK113" s="948"/>
      <c r="DL113" s="948"/>
      <c r="DM113" s="948"/>
      <c r="DN113" s="948"/>
      <c r="DO113" s="948"/>
      <c r="DP113" s="948"/>
      <c r="DQ113" s="948"/>
      <c r="DR113" s="948"/>
      <c r="DS113" s="948"/>
      <c r="DT113" s="948"/>
      <c r="DU113" s="948"/>
    </row>
    <row r="114" spans="1:126" ht="23" customHeight="1">
      <c r="A114" s="937" t="str">
        <f>'8a-Weapons'!AS127</f>
        <v/>
      </c>
      <c r="B114" s="937"/>
      <c r="C114" s="937"/>
      <c r="D114" s="937"/>
      <c r="E114" s="937"/>
      <c r="F114" s="937"/>
      <c r="G114" s="937"/>
      <c r="H114" s="937"/>
      <c r="I114" s="937"/>
      <c r="J114" s="937"/>
      <c r="K114" s="937"/>
      <c r="L114" s="937"/>
      <c r="M114" s="937"/>
      <c r="N114" s="937"/>
      <c r="O114" s="937"/>
      <c r="P114" s="937"/>
      <c r="Q114" s="937"/>
      <c r="R114" s="937"/>
      <c r="S114" s="937"/>
      <c r="T114" s="937"/>
      <c r="U114" s="937"/>
      <c r="V114" s="937"/>
      <c r="W114" s="937"/>
      <c r="X114" s="937"/>
      <c r="Y114" s="937"/>
      <c r="Z114" s="937"/>
      <c r="AA114" s="937"/>
      <c r="AB114" s="937"/>
      <c r="AC114" s="937"/>
      <c r="AD114" s="937"/>
      <c r="AE114" s="937"/>
      <c r="AF114" s="937"/>
      <c r="AG114" s="937"/>
      <c r="AH114" s="937"/>
      <c r="AI114" s="937"/>
      <c r="AJ114" s="937"/>
      <c r="AK114" s="937"/>
      <c r="AL114" s="937"/>
      <c r="AM114" s="937"/>
      <c r="AN114" s="937"/>
      <c r="AO114" s="937"/>
      <c r="AP114" s="937"/>
      <c r="AQ114" s="937"/>
      <c r="AR114" s="937"/>
      <c r="AS114" s="937"/>
      <c r="AT114" s="937"/>
      <c r="AU114" s="937"/>
      <c r="AV114" s="939" t="str">
        <f>'8a-Weapons'!AQ42</f>
        <v/>
      </c>
      <c r="AW114" s="939"/>
      <c r="AX114" s="939"/>
      <c r="AY114" s="939"/>
      <c r="AZ114" s="939"/>
      <c r="BA114" s="939"/>
      <c r="BB114" s="939"/>
      <c r="BC114" s="939"/>
      <c r="BD114" s="939"/>
      <c r="BE114" s="939"/>
      <c r="BF114" s="939"/>
      <c r="BG114" s="939"/>
      <c r="BH114" s="954" t="str">
        <f>'8a-Weapons'!AR42</f>
        <v/>
      </c>
      <c r="BI114" s="954"/>
      <c r="BJ114" s="954"/>
      <c r="BK114" s="954"/>
      <c r="BL114" s="954"/>
      <c r="BM114" s="954"/>
      <c r="BN114" s="954"/>
      <c r="BO114" s="954"/>
      <c r="BP114" s="954"/>
      <c r="BQ114" s="954"/>
      <c r="BR114" s="954"/>
      <c r="BS114" s="947" t="str">
        <f>'8a-Weapons'!AU127</f>
        <v/>
      </c>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c r="CU114" s="947"/>
      <c r="CV114" s="947"/>
      <c r="CW114" s="947"/>
      <c r="CX114" s="947"/>
      <c r="CY114" s="947"/>
      <c r="CZ114" s="947"/>
      <c r="DA114" s="947"/>
      <c r="DB114" s="947"/>
      <c r="DC114" s="947"/>
      <c r="DD114" s="947"/>
      <c r="DE114" s="947"/>
      <c r="DF114" s="947"/>
      <c r="DG114" s="947"/>
      <c r="DH114" s="947"/>
      <c r="DI114" s="947"/>
      <c r="DJ114" s="947"/>
      <c r="DK114" s="947"/>
      <c r="DL114" s="947"/>
      <c r="DM114" s="947"/>
      <c r="DN114" s="947"/>
      <c r="DO114" s="947"/>
      <c r="DP114" s="947"/>
      <c r="DQ114" s="947"/>
      <c r="DR114" s="947"/>
      <c r="DS114" s="947"/>
      <c r="DT114" s="947"/>
      <c r="DU114" s="947"/>
    </row>
    <row r="115" spans="1:126" ht="23" customHeight="1">
      <c r="A115" s="938" t="str">
        <f>'8a-Weapons'!AS128</f>
        <v/>
      </c>
      <c r="B115" s="938"/>
      <c r="C115" s="938"/>
      <c r="D115" s="938"/>
      <c r="E115" s="938"/>
      <c r="F115" s="938"/>
      <c r="G115" s="938"/>
      <c r="H115" s="938"/>
      <c r="I115" s="938"/>
      <c r="J115" s="938"/>
      <c r="K115" s="938"/>
      <c r="L115" s="938"/>
      <c r="M115" s="938"/>
      <c r="N115" s="938"/>
      <c r="O115" s="938"/>
      <c r="P115" s="938"/>
      <c r="Q115" s="938"/>
      <c r="R115" s="938"/>
      <c r="S115" s="938"/>
      <c r="T115" s="938"/>
      <c r="U115" s="938"/>
      <c r="V115" s="938"/>
      <c r="W115" s="938"/>
      <c r="X115" s="938"/>
      <c r="Y115" s="938"/>
      <c r="Z115" s="938"/>
      <c r="AA115" s="938"/>
      <c r="AB115" s="938"/>
      <c r="AC115" s="938"/>
      <c r="AD115" s="938"/>
      <c r="AE115" s="938"/>
      <c r="AF115" s="938"/>
      <c r="AG115" s="938"/>
      <c r="AH115" s="938"/>
      <c r="AI115" s="938"/>
      <c r="AJ115" s="938"/>
      <c r="AK115" s="938"/>
      <c r="AL115" s="938"/>
      <c r="AM115" s="938"/>
      <c r="AN115" s="938"/>
      <c r="AO115" s="938"/>
      <c r="AP115" s="938"/>
      <c r="AQ115" s="938"/>
      <c r="AR115" s="938"/>
      <c r="AS115" s="938"/>
      <c r="AT115" s="938"/>
      <c r="AU115" s="938"/>
      <c r="AV115" s="940" t="str">
        <f>'8a-Weapons'!AQ43</f>
        <v/>
      </c>
      <c r="AW115" s="940"/>
      <c r="AX115" s="940"/>
      <c r="AY115" s="940"/>
      <c r="AZ115" s="940"/>
      <c r="BA115" s="940"/>
      <c r="BB115" s="940"/>
      <c r="BC115" s="940"/>
      <c r="BD115" s="940"/>
      <c r="BE115" s="940"/>
      <c r="BF115" s="940"/>
      <c r="BG115" s="940"/>
      <c r="BH115" s="949" t="str">
        <f>'8a-Weapons'!AR43</f>
        <v/>
      </c>
      <c r="BI115" s="949"/>
      <c r="BJ115" s="949"/>
      <c r="BK115" s="949"/>
      <c r="BL115" s="949"/>
      <c r="BM115" s="949"/>
      <c r="BN115" s="949"/>
      <c r="BO115" s="949"/>
      <c r="BP115" s="949"/>
      <c r="BQ115" s="949"/>
      <c r="BR115" s="949"/>
      <c r="BS115" s="948" t="str">
        <f>'8a-Weapons'!AU128</f>
        <v/>
      </c>
      <c r="BT115" s="948"/>
      <c r="BU115" s="948"/>
      <c r="BV115" s="948"/>
      <c r="BW115" s="948"/>
      <c r="BX115" s="948"/>
      <c r="BY115" s="948"/>
      <c r="BZ115" s="948"/>
      <c r="CA115" s="948"/>
      <c r="CB115" s="948"/>
      <c r="CC115" s="948"/>
      <c r="CD115" s="948"/>
      <c r="CE115" s="948"/>
      <c r="CF115" s="948"/>
      <c r="CG115" s="948"/>
      <c r="CH115" s="948"/>
      <c r="CI115" s="948"/>
      <c r="CJ115" s="948"/>
      <c r="CK115" s="948"/>
      <c r="CL115" s="948"/>
      <c r="CM115" s="948"/>
      <c r="CN115" s="948"/>
      <c r="CO115" s="948"/>
      <c r="CP115" s="948"/>
      <c r="CQ115" s="948"/>
      <c r="CR115" s="948"/>
      <c r="CS115" s="948"/>
      <c r="CT115" s="948"/>
      <c r="CU115" s="948"/>
      <c r="CV115" s="948"/>
      <c r="CW115" s="948"/>
      <c r="CX115" s="948"/>
      <c r="CY115" s="948"/>
      <c r="CZ115" s="948"/>
      <c r="DA115" s="948"/>
      <c r="DB115" s="948"/>
      <c r="DC115" s="948"/>
      <c r="DD115" s="948"/>
      <c r="DE115" s="948"/>
      <c r="DF115" s="948"/>
      <c r="DG115" s="948"/>
      <c r="DH115" s="948"/>
      <c r="DI115" s="948"/>
      <c r="DJ115" s="948"/>
      <c r="DK115" s="948"/>
      <c r="DL115" s="948"/>
      <c r="DM115" s="948"/>
      <c r="DN115" s="948"/>
      <c r="DO115" s="948"/>
      <c r="DP115" s="948"/>
      <c r="DQ115" s="948"/>
      <c r="DR115" s="948"/>
      <c r="DS115" s="948"/>
      <c r="DT115" s="948"/>
      <c r="DU115" s="948"/>
    </row>
    <row r="116" spans="1:126" ht="23" customHeight="1">
      <c r="A116" s="937" t="str">
        <f>'8a-Weapons'!AS129</f>
        <v/>
      </c>
      <c r="B116" s="937"/>
      <c r="C116" s="937"/>
      <c r="D116" s="937"/>
      <c r="E116" s="937"/>
      <c r="F116" s="937"/>
      <c r="G116" s="937"/>
      <c r="H116" s="937"/>
      <c r="I116" s="937"/>
      <c r="J116" s="937"/>
      <c r="K116" s="937"/>
      <c r="L116" s="937"/>
      <c r="M116" s="937"/>
      <c r="N116" s="937"/>
      <c r="O116" s="937"/>
      <c r="P116" s="937"/>
      <c r="Q116" s="937"/>
      <c r="R116" s="937"/>
      <c r="S116" s="937"/>
      <c r="T116" s="937"/>
      <c r="U116" s="937"/>
      <c r="V116" s="937"/>
      <c r="W116" s="937"/>
      <c r="X116" s="937"/>
      <c r="Y116" s="937"/>
      <c r="Z116" s="937"/>
      <c r="AA116" s="937"/>
      <c r="AB116" s="937"/>
      <c r="AC116" s="937"/>
      <c r="AD116" s="937"/>
      <c r="AE116" s="937"/>
      <c r="AF116" s="937"/>
      <c r="AG116" s="937"/>
      <c r="AH116" s="937"/>
      <c r="AI116" s="937"/>
      <c r="AJ116" s="937"/>
      <c r="AK116" s="937"/>
      <c r="AL116" s="937"/>
      <c r="AM116" s="937"/>
      <c r="AN116" s="937"/>
      <c r="AO116" s="937"/>
      <c r="AP116" s="937"/>
      <c r="AQ116" s="937"/>
      <c r="AR116" s="937"/>
      <c r="AS116" s="937"/>
      <c r="AT116" s="937"/>
      <c r="AU116" s="937"/>
      <c r="AV116" s="939" t="str">
        <f>'8a-Weapons'!AQ44</f>
        <v/>
      </c>
      <c r="AW116" s="939"/>
      <c r="AX116" s="939"/>
      <c r="AY116" s="939"/>
      <c r="AZ116" s="939"/>
      <c r="BA116" s="939"/>
      <c r="BB116" s="939"/>
      <c r="BC116" s="939"/>
      <c r="BD116" s="939"/>
      <c r="BE116" s="939"/>
      <c r="BF116" s="939"/>
      <c r="BG116" s="939"/>
      <c r="BH116" s="954" t="str">
        <f>'8a-Weapons'!AR44</f>
        <v/>
      </c>
      <c r="BI116" s="954"/>
      <c r="BJ116" s="954"/>
      <c r="BK116" s="954"/>
      <c r="BL116" s="954"/>
      <c r="BM116" s="954"/>
      <c r="BN116" s="954"/>
      <c r="BO116" s="954"/>
      <c r="BP116" s="954"/>
      <c r="BQ116" s="954"/>
      <c r="BR116" s="954"/>
      <c r="BS116" s="947" t="str">
        <f>'8a-Weapons'!AU129</f>
        <v/>
      </c>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c r="CU116" s="947"/>
      <c r="CV116" s="947"/>
      <c r="CW116" s="947"/>
      <c r="CX116" s="947"/>
      <c r="CY116" s="947"/>
      <c r="CZ116" s="947"/>
      <c r="DA116" s="947"/>
      <c r="DB116" s="947"/>
      <c r="DC116" s="947"/>
      <c r="DD116" s="947"/>
      <c r="DE116" s="947"/>
      <c r="DF116" s="947"/>
      <c r="DG116" s="947"/>
      <c r="DH116" s="947"/>
      <c r="DI116" s="947"/>
      <c r="DJ116" s="947"/>
      <c r="DK116" s="947"/>
      <c r="DL116" s="947"/>
      <c r="DM116" s="947"/>
      <c r="DN116" s="947"/>
      <c r="DO116" s="947"/>
      <c r="DP116" s="947"/>
      <c r="DQ116" s="947"/>
      <c r="DR116" s="947"/>
      <c r="DS116" s="947"/>
      <c r="DT116" s="947"/>
      <c r="DU116" s="947"/>
    </row>
    <row r="117" spans="1:126" ht="23" customHeight="1">
      <c r="A117" s="938" t="str">
        <f>'8a-Weapons'!AS130</f>
        <v/>
      </c>
      <c r="B117" s="938"/>
      <c r="C117" s="938"/>
      <c r="D117" s="938"/>
      <c r="E117" s="938"/>
      <c r="F117" s="938"/>
      <c r="G117" s="938"/>
      <c r="H117" s="938"/>
      <c r="I117" s="938"/>
      <c r="J117" s="938"/>
      <c r="K117" s="938"/>
      <c r="L117" s="938"/>
      <c r="M117" s="938"/>
      <c r="N117" s="938"/>
      <c r="O117" s="938"/>
      <c r="P117" s="938"/>
      <c r="Q117" s="938"/>
      <c r="R117" s="938"/>
      <c r="S117" s="938"/>
      <c r="T117" s="938"/>
      <c r="U117" s="938"/>
      <c r="V117" s="938"/>
      <c r="W117" s="938"/>
      <c r="X117" s="938"/>
      <c r="Y117" s="938"/>
      <c r="Z117" s="938"/>
      <c r="AA117" s="938"/>
      <c r="AB117" s="938"/>
      <c r="AC117" s="938"/>
      <c r="AD117" s="938"/>
      <c r="AE117" s="938"/>
      <c r="AF117" s="938"/>
      <c r="AG117" s="938"/>
      <c r="AH117" s="938"/>
      <c r="AI117" s="938"/>
      <c r="AJ117" s="938"/>
      <c r="AK117" s="938"/>
      <c r="AL117" s="938"/>
      <c r="AM117" s="938"/>
      <c r="AN117" s="938"/>
      <c r="AO117" s="938"/>
      <c r="AP117" s="938"/>
      <c r="AQ117" s="938"/>
      <c r="AR117" s="938"/>
      <c r="AS117" s="938"/>
      <c r="AT117" s="938"/>
      <c r="AU117" s="938"/>
      <c r="AV117" s="940" t="str">
        <f>'8a-Weapons'!AQ45</f>
        <v/>
      </c>
      <c r="AW117" s="940"/>
      <c r="AX117" s="940"/>
      <c r="AY117" s="940"/>
      <c r="AZ117" s="940"/>
      <c r="BA117" s="940"/>
      <c r="BB117" s="940"/>
      <c r="BC117" s="940"/>
      <c r="BD117" s="940"/>
      <c r="BE117" s="940"/>
      <c r="BF117" s="940"/>
      <c r="BG117" s="940"/>
      <c r="BH117" s="949" t="str">
        <f>'8a-Weapons'!AR45</f>
        <v/>
      </c>
      <c r="BI117" s="949"/>
      <c r="BJ117" s="949"/>
      <c r="BK117" s="949"/>
      <c r="BL117" s="949"/>
      <c r="BM117" s="949"/>
      <c r="BN117" s="949"/>
      <c r="BO117" s="949"/>
      <c r="BP117" s="949"/>
      <c r="BQ117" s="949"/>
      <c r="BR117" s="949"/>
      <c r="BS117" s="948" t="str">
        <f>'8a-Weapons'!AU130</f>
        <v/>
      </c>
      <c r="BT117" s="948"/>
      <c r="BU117" s="948"/>
      <c r="BV117" s="948"/>
      <c r="BW117" s="948"/>
      <c r="BX117" s="948"/>
      <c r="BY117" s="948"/>
      <c r="BZ117" s="948"/>
      <c r="CA117" s="948"/>
      <c r="CB117" s="948"/>
      <c r="CC117" s="948"/>
      <c r="CD117" s="948"/>
      <c r="CE117" s="948"/>
      <c r="CF117" s="948"/>
      <c r="CG117" s="948"/>
      <c r="CH117" s="948"/>
      <c r="CI117" s="948"/>
      <c r="CJ117" s="948"/>
      <c r="CK117" s="948"/>
      <c r="CL117" s="948"/>
      <c r="CM117" s="948"/>
      <c r="CN117" s="948"/>
      <c r="CO117" s="948"/>
      <c r="CP117" s="948"/>
      <c r="CQ117" s="948"/>
      <c r="CR117" s="948"/>
      <c r="CS117" s="948"/>
      <c r="CT117" s="948"/>
      <c r="CU117" s="948"/>
      <c r="CV117" s="948"/>
      <c r="CW117" s="948"/>
      <c r="CX117" s="948"/>
      <c r="CY117" s="948"/>
      <c r="CZ117" s="948"/>
      <c r="DA117" s="948"/>
      <c r="DB117" s="948"/>
      <c r="DC117" s="948"/>
      <c r="DD117" s="948"/>
      <c r="DE117" s="948"/>
      <c r="DF117" s="948"/>
      <c r="DG117" s="948"/>
      <c r="DH117" s="948"/>
      <c r="DI117" s="948"/>
      <c r="DJ117" s="948"/>
      <c r="DK117" s="948"/>
      <c r="DL117" s="948"/>
      <c r="DM117" s="948"/>
      <c r="DN117" s="948"/>
      <c r="DO117" s="948"/>
      <c r="DP117" s="948"/>
      <c r="DQ117" s="948"/>
      <c r="DR117" s="948"/>
      <c r="DS117" s="948"/>
      <c r="DT117" s="948"/>
      <c r="DU117" s="948"/>
    </row>
    <row r="118" spans="1:126" ht="23" customHeight="1">
      <c r="A118" s="937" t="str">
        <f>'8a-Weapons'!AS131</f>
        <v/>
      </c>
      <c r="B118" s="937"/>
      <c r="C118" s="937"/>
      <c r="D118" s="937"/>
      <c r="E118" s="937"/>
      <c r="F118" s="937"/>
      <c r="G118" s="937"/>
      <c r="H118" s="937"/>
      <c r="I118" s="937"/>
      <c r="J118" s="937"/>
      <c r="K118" s="937"/>
      <c r="L118" s="937"/>
      <c r="M118" s="937"/>
      <c r="N118" s="937"/>
      <c r="O118" s="937"/>
      <c r="P118" s="937"/>
      <c r="Q118" s="937"/>
      <c r="R118" s="937"/>
      <c r="S118" s="937"/>
      <c r="T118" s="937"/>
      <c r="U118" s="937"/>
      <c r="V118" s="937"/>
      <c r="W118" s="937"/>
      <c r="X118" s="937"/>
      <c r="Y118" s="937"/>
      <c r="Z118" s="937"/>
      <c r="AA118" s="937"/>
      <c r="AB118" s="937"/>
      <c r="AC118" s="937"/>
      <c r="AD118" s="937"/>
      <c r="AE118" s="937"/>
      <c r="AF118" s="937"/>
      <c r="AG118" s="937"/>
      <c r="AH118" s="937"/>
      <c r="AI118" s="937"/>
      <c r="AJ118" s="937"/>
      <c r="AK118" s="937"/>
      <c r="AL118" s="937"/>
      <c r="AM118" s="937"/>
      <c r="AN118" s="937"/>
      <c r="AO118" s="937"/>
      <c r="AP118" s="937"/>
      <c r="AQ118" s="937"/>
      <c r="AR118" s="937"/>
      <c r="AS118" s="937"/>
      <c r="AT118" s="937"/>
      <c r="AU118" s="937"/>
      <c r="AV118" s="939" t="str">
        <f>'8a-Weapons'!AQ46</f>
        <v/>
      </c>
      <c r="AW118" s="939"/>
      <c r="AX118" s="939"/>
      <c r="AY118" s="939"/>
      <c r="AZ118" s="939"/>
      <c r="BA118" s="939"/>
      <c r="BB118" s="939"/>
      <c r="BC118" s="939"/>
      <c r="BD118" s="939"/>
      <c r="BE118" s="939"/>
      <c r="BF118" s="939"/>
      <c r="BG118" s="939"/>
      <c r="BH118" s="954" t="str">
        <f>'8a-Weapons'!AR46</f>
        <v/>
      </c>
      <c r="BI118" s="954"/>
      <c r="BJ118" s="954"/>
      <c r="BK118" s="954"/>
      <c r="BL118" s="954"/>
      <c r="BM118" s="954"/>
      <c r="BN118" s="954"/>
      <c r="BO118" s="954"/>
      <c r="BP118" s="954"/>
      <c r="BQ118" s="954"/>
      <c r="BR118" s="954"/>
      <c r="BS118" s="947" t="str">
        <f>'8a-Weapons'!AU131</f>
        <v/>
      </c>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c r="CU118" s="947"/>
      <c r="CV118" s="947"/>
      <c r="CW118" s="947"/>
      <c r="CX118" s="947"/>
      <c r="CY118" s="947"/>
      <c r="CZ118" s="947"/>
      <c r="DA118" s="947"/>
      <c r="DB118" s="947"/>
      <c r="DC118" s="947"/>
      <c r="DD118" s="947"/>
      <c r="DE118" s="947"/>
      <c r="DF118" s="947"/>
      <c r="DG118" s="947"/>
      <c r="DH118" s="947"/>
      <c r="DI118" s="947"/>
      <c r="DJ118" s="947"/>
      <c r="DK118" s="947"/>
      <c r="DL118" s="947"/>
      <c r="DM118" s="947"/>
      <c r="DN118" s="947"/>
      <c r="DO118" s="947"/>
      <c r="DP118" s="947"/>
      <c r="DQ118" s="947"/>
      <c r="DR118" s="947"/>
      <c r="DS118" s="947"/>
      <c r="DT118" s="947"/>
      <c r="DU118" s="947"/>
    </row>
    <row r="119" spans="1:126" ht="23" customHeight="1" thickBot="1">
      <c r="A119" s="981" t="str">
        <f>'8a-Weapons'!AS132</f>
        <v/>
      </c>
      <c r="B119" s="981"/>
      <c r="C119" s="981"/>
      <c r="D119" s="981"/>
      <c r="E119" s="981"/>
      <c r="F119" s="981"/>
      <c r="G119" s="981"/>
      <c r="H119" s="981"/>
      <c r="I119" s="981"/>
      <c r="J119" s="981"/>
      <c r="K119" s="981"/>
      <c r="L119" s="981"/>
      <c r="M119" s="981"/>
      <c r="N119" s="981"/>
      <c r="O119" s="981"/>
      <c r="P119" s="981"/>
      <c r="Q119" s="981"/>
      <c r="R119" s="981"/>
      <c r="S119" s="981"/>
      <c r="T119" s="981"/>
      <c r="U119" s="981"/>
      <c r="V119" s="981"/>
      <c r="W119" s="981"/>
      <c r="X119" s="981"/>
      <c r="Y119" s="981"/>
      <c r="Z119" s="981"/>
      <c r="AA119" s="981"/>
      <c r="AB119" s="981"/>
      <c r="AC119" s="981"/>
      <c r="AD119" s="981"/>
      <c r="AE119" s="981"/>
      <c r="AF119" s="981"/>
      <c r="AG119" s="981"/>
      <c r="AH119" s="981"/>
      <c r="AI119" s="981"/>
      <c r="AJ119" s="981"/>
      <c r="AK119" s="981"/>
      <c r="AL119" s="981"/>
      <c r="AM119" s="981"/>
      <c r="AN119" s="981"/>
      <c r="AO119" s="981"/>
      <c r="AP119" s="981"/>
      <c r="AQ119" s="981"/>
      <c r="AR119" s="981"/>
      <c r="AS119" s="981"/>
      <c r="AT119" s="981"/>
      <c r="AU119" s="981"/>
      <c r="AV119" s="1025" t="str">
        <f>'8a-Weapons'!AQ47</f>
        <v/>
      </c>
      <c r="AW119" s="1025"/>
      <c r="AX119" s="1025"/>
      <c r="AY119" s="1025"/>
      <c r="AZ119" s="1025"/>
      <c r="BA119" s="1025"/>
      <c r="BB119" s="1025"/>
      <c r="BC119" s="1025"/>
      <c r="BD119" s="1025"/>
      <c r="BE119" s="1025"/>
      <c r="BF119" s="1025"/>
      <c r="BG119" s="1025"/>
      <c r="BH119" s="983" t="str">
        <f>'8a-Weapons'!AR47</f>
        <v/>
      </c>
      <c r="BI119" s="983"/>
      <c r="BJ119" s="983"/>
      <c r="BK119" s="983"/>
      <c r="BL119" s="983"/>
      <c r="BM119" s="983"/>
      <c r="BN119" s="983"/>
      <c r="BO119" s="983"/>
      <c r="BP119" s="983"/>
      <c r="BQ119" s="983"/>
      <c r="BR119" s="983"/>
      <c r="BS119" s="982" t="str">
        <f>'8a-Weapons'!AU132</f>
        <v/>
      </c>
      <c r="BT119" s="982"/>
      <c r="BU119" s="982"/>
      <c r="BV119" s="982"/>
      <c r="BW119" s="982"/>
      <c r="BX119" s="982"/>
      <c r="BY119" s="982"/>
      <c r="BZ119" s="982"/>
      <c r="CA119" s="982"/>
      <c r="CB119" s="982"/>
      <c r="CC119" s="982"/>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row>
    <row r="120" spans="1:126" ht="23" customHeight="1" thickBot="1">
      <c r="A120" s="1026" t="s">
        <v>636</v>
      </c>
      <c r="B120" s="1026"/>
      <c r="C120" s="1026"/>
      <c r="D120" s="1026"/>
      <c r="E120" s="1026"/>
      <c r="F120" s="1026"/>
      <c r="G120" s="1026"/>
      <c r="H120" s="1026"/>
      <c r="I120" s="1026"/>
      <c r="J120" s="1026"/>
      <c r="K120" s="1026"/>
      <c r="L120" s="1026"/>
      <c r="M120" s="1026"/>
      <c r="N120" s="1026"/>
      <c r="O120" s="1026"/>
      <c r="P120" s="1026"/>
      <c r="Q120" s="1026"/>
      <c r="R120" s="1026"/>
      <c r="S120" s="1026"/>
      <c r="T120" s="1026"/>
      <c r="U120" s="1026"/>
      <c r="V120" s="1026"/>
      <c r="W120" s="1026"/>
      <c r="X120" s="1026"/>
      <c r="Y120" s="1026"/>
      <c r="Z120" s="1026"/>
      <c r="AA120" s="1026"/>
      <c r="AB120" s="1026"/>
      <c r="AC120" s="1026"/>
      <c r="AD120" s="1026"/>
      <c r="AE120" s="1026"/>
      <c r="AF120" s="1026"/>
      <c r="AG120" s="1026"/>
      <c r="AH120" s="1026"/>
      <c r="AI120" s="1026"/>
      <c r="AJ120" s="1026"/>
      <c r="AK120" s="1026"/>
      <c r="AL120" s="1026"/>
      <c r="AM120" s="1026"/>
      <c r="AN120" s="1026"/>
      <c r="AO120" s="1026"/>
      <c r="AP120" s="1026"/>
      <c r="AQ120" s="1026"/>
      <c r="AR120" s="1026"/>
      <c r="AS120" s="1026"/>
      <c r="AT120" s="1026"/>
      <c r="AU120" s="1026"/>
      <c r="AV120" s="367"/>
      <c r="AW120" s="367"/>
      <c r="AX120" s="367"/>
      <c r="AY120" s="367"/>
      <c r="AZ120" s="367"/>
      <c r="BA120" s="367"/>
      <c r="BB120" s="367"/>
      <c r="BC120" s="367"/>
      <c r="BD120" s="367"/>
      <c r="BE120" s="367"/>
      <c r="BF120" s="367"/>
      <c r="BG120" s="368"/>
      <c r="BH120" s="369"/>
      <c r="BI120" s="369"/>
      <c r="BJ120" s="369"/>
      <c r="BK120" s="369"/>
      <c r="BL120" s="369"/>
      <c r="BM120" s="369"/>
      <c r="BN120" s="369"/>
      <c r="BO120" s="369"/>
      <c r="BP120" s="369"/>
      <c r="BQ120" s="369"/>
      <c r="BR120" s="369"/>
      <c r="BS120" s="370"/>
      <c r="BT120" s="370"/>
      <c r="BU120" s="370"/>
      <c r="BV120" s="370"/>
      <c r="BW120" s="370"/>
      <c r="BX120" s="370"/>
      <c r="BY120" s="370"/>
      <c r="BZ120" s="370"/>
      <c r="CA120" s="370"/>
      <c r="CB120" s="370"/>
      <c r="CC120" s="370"/>
      <c r="CD120" s="370"/>
      <c r="CE120" s="370"/>
      <c r="CF120" s="370"/>
      <c r="CG120" s="370"/>
      <c r="CH120" s="370"/>
      <c r="CI120" s="370"/>
      <c r="CJ120" s="370"/>
      <c r="CK120" s="370"/>
      <c r="CL120" s="370"/>
      <c r="CM120" s="368"/>
      <c r="CN120" s="368"/>
      <c r="CO120" s="368"/>
      <c r="CP120" s="368"/>
      <c r="CQ120" s="368"/>
      <c r="CR120" s="368"/>
      <c r="CS120" s="368"/>
      <c r="CT120" s="368"/>
      <c r="CU120" s="368"/>
      <c r="CV120" s="368"/>
      <c r="CW120" s="368"/>
      <c r="CX120" s="368"/>
      <c r="CY120" s="368"/>
      <c r="CZ120" s="368"/>
      <c r="DA120" s="368"/>
      <c r="DB120" s="368"/>
      <c r="DC120" s="368"/>
      <c r="DD120" s="368"/>
      <c r="DE120" s="368"/>
      <c r="DF120" s="368"/>
      <c r="DG120" s="368"/>
      <c r="DH120" s="368"/>
      <c r="DI120" s="368"/>
      <c r="DJ120" s="368"/>
      <c r="DK120" s="368"/>
      <c r="DL120" s="368"/>
      <c r="DM120" s="368"/>
      <c r="DN120" s="368"/>
      <c r="DO120" s="368"/>
      <c r="DP120" s="368"/>
      <c r="DQ120" s="368"/>
      <c r="DR120" s="368"/>
      <c r="DS120" s="368"/>
      <c r="DT120" s="368"/>
      <c r="DU120" s="371"/>
    </row>
    <row r="121" spans="1:126" ht="23" customHeight="1" thickTop="1" thickBot="1">
      <c r="A121" s="985" t="str">
        <f>'8a-Weapons'!AS136</f>
        <v/>
      </c>
      <c r="B121" s="985"/>
      <c r="C121" s="985"/>
      <c r="D121" s="985"/>
      <c r="E121" s="985"/>
      <c r="F121" s="985"/>
      <c r="G121" s="985"/>
      <c r="H121" s="985"/>
      <c r="I121" s="985"/>
      <c r="J121" s="985"/>
      <c r="K121" s="985"/>
      <c r="L121" s="985"/>
      <c r="M121" s="985"/>
      <c r="N121" s="985"/>
      <c r="O121" s="985"/>
      <c r="P121" s="985"/>
      <c r="Q121" s="985"/>
      <c r="R121" s="985"/>
      <c r="S121" s="985"/>
      <c r="T121" s="985"/>
      <c r="U121" s="985"/>
      <c r="V121" s="985"/>
      <c r="W121" s="985"/>
      <c r="X121" s="985"/>
      <c r="Y121" s="985"/>
      <c r="Z121" s="985"/>
      <c r="AA121" s="985"/>
      <c r="AB121" s="985"/>
      <c r="AC121" s="985"/>
      <c r="AD121" s="985"/>
      <c r="AE121" s="985"/>
      <c r="AF121" s="985"/>
      <c r="AG121" s="985"/>
      <c r="AH121" s="985"/>
      <c r="AI121" s="985"/>
      <c r="AJ121" s="985"/>
      <c r="AK121" s="985"/>
      <c r="AL121" s="985"/>
      <c r="AM121" s="985"/>
      <c r="AN121" s="985"/>
      <c r="AO121" s="985"/>
      <c r="AP121" s="985"/>
      <c r="AQ121" s="985"/>
      <c r="AR121" s="985"/>
      <c r="AS121" s="985"/>
      <c r="AT121" s="985"/>
      <c r="AU121" s="985"/>
      <c r="AV121" s="984" t="str">
        <f>'8a-Weapons'!AW136</f>
        <v/>
      </c>
      <c r="AW121" s="984"/>
      <c r="AX121" s="984"/>
      <c r="AY121" s="984"/>
      <c r="AZ121" s="984"/>
      <c r="BA121" s="984"/>
      <c r="BB121" s="984"/>
      <c r="BC121" s="984"/>
      <c r="BD121" s="984"/>
      <c r="BE121" s="984"/>
      <c r="BF121" s="984"/>
      <c r="BG121" s="984"/>
      <c r="BH121" s="984" t="str">
        <f>'8a-Weapons'!AX136</f>
        <v>0DD (xK)</v>
      </c>
      <c r="BI121" s="984"/>
      <c r="BJ121" s="984"/>
      <c r="BK121" s="984"/>
      <c r="BL121" s="984"/>
      <c r="BM121" s="984"/>
      <c r="BN121" s="984"/>
      <c r="BO121" s="984"/>
      <c r="BP121" s="984"/>
      <c r="BQ121" s="984"/>
      <c r="BR121" s="984"/>
      <c r="BS121" s="984" t="str">
        <f>'8a-Weapons'!AU136</f>
        <v/>
      </c>
      <c r="BT121" s="984"/>
      <c r="BU121" s="984"/>
      <c r="BV121" s="984"/>
      <c r="BW121" s="984"/>
      <c r="BX121" s="984"/>
      <c r="BY121" s="984"/>
      <c r="BZ121" s="984"/>
      <c r="CA121" s="984"/>
      <c r="CB121" s="984"/>
      <c r="CC121" s="984"/>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row>
    <row r="122" spans="1:126" ht="19">
      <c r="A122" s="586" t="str">
        <f>IF('Ship Info'!$B$4=0,"",'Ship Info'!$B$4)</f>
        <v/>
      </c>
      <c r="B122" s="586"/>
      <c r="C122" s="586"/>
      <c r="D122" s="586"/>
      <c r="E122" s="586"/>
      <c r="F122" s="586"/>
      <c r="G122" s="586"/>
      <c r="H122" s="586"/>
      <c r="I122" s="586"/>
      <c r="J122" s="586"/>
      <c r="K122" s="586"/>
      <c r="L122" s="586"/>
      <c r="M122" s="586"/>
      <c r="N122" s="586"/>
      <c r="O122" s="586"/>
      <c r="P122" s="586"/>
      <c r="Q122" s="586"/>
      <c r="R122" s="586"/>
      <c r="S122" s="586"/>
      <c r="T122" s="586"/>
      <c r="U122" s="586"/>
      <c r="V122" s="586"/>
      <c r="W122" s="586"/>
      <c r="X122" s="586"/>
      <c r="Y122" s="586"/>
      <c r="Z122" s="586"/>
      <c r="AA122" s="586"/>
      <c r="AB122" s="586"/>
      <c r="AC122" s="586"/>
      <c r="AD122" s="586"/>
      <c r="AE122" s="19"/>
      <c r="AF122" s="19"/>
      <c r="AG122" s="587" t="str">
        <f>IF('Ship Info'!$B$2=0,"",'Ship Info'!$B$2)</f>
        <v>Scout</v>
      </c>
      <c r="AH122" s="587"/>
      <c r="AI122" s="587"/>
      <c r="AJ122" s="587"/>
      <c r="AK122" s="587"/>
      <c r="AL122" s="587"/>
      <c r="AM122" s="587"/>
      <c r="AN122" s="587"/>
      <c r="AO122" s="587"/>
      <c r="AP122" s="587"/>
      <c r="AQ122" s="587"/>
      <c r="AR122" s="587"/>
      <c r="AS122" s="587"/>
      <c r="AT122" s="587"/>
      <c r="AU122" s="587"/>
      <c r="AV122" s="587"/>
      <c r="AW122" s="587"/>
      <c r="AX122" s="587"/>
      <c r="AY122" s="587"/>
      <c r="AZ122" s="587"/>
      <c r="BA122" s="587"/>
      <c r="BB122" s="587"/>
      <c r="BC122" s="587"/>
      <c r="BD122" s="587"/>
      <c r="BE122" s="587"/>
      <c r="BF122" s="587"/>
      <c r="BG122" s="587"/>
      <c r="BH122" s="587"/>
      <c r="BI122" s="587"/>
      <c r="BJ122" s="587"/>
      <c r="BK122" s="587"/>
      <c r="BL122" s="587"/>
      <c r="BM122" s="587"/>
      <c r="BN122" s="587"/>
      <c r="BO122" s="587"/>
      <c r="BP122" s="587"/>
      <c r="BQ122" s="587"/>
      <c r="BR122" s="587"/>
      <c r="BS122" s="587"/>
      <c r="BT122" s="587"/>
      <c r="BU122" s="587"/>
      <c r="BV122" s="587"/>
      <c r="BW122" s="587"/>
      <c r="BX122" s="587"/>
      <c r="BY122" s="587"/>
      <c r="BZ122" s="587"/>
      <c r="CA122" s="19"/>
      <c r="CB122" s="19"/>
      <c r="CC122" s="587" t="str">
        <f>IF('Ship Info'!$B$1=0,"",'Ship Info'!$B$1)</f>
        <v>Zhodani Long Range Scout</v>
      </c>
      <c r="CD122" s="587"/>
      <c r="CE122" s="587"/>
      <c r="CF122" s="587"/>
      <c r="CG122" s="587"/>
      <c r="CH122" s="587"/>
      <c r="CI122" s="587"/>
      <c r="CJ122" s="587"/>
      <c r="CK122" s="587"/>
      <c r="CL122" s="587"/>
      <c r="CM122" s="587"/>
      <c r="CN122" s="587"/>
      <c r="CO122" s="587"/>
      <c r="CP122" s="587"/>
      <c r="CQ122" s="587"/>
      <c r="CR122" s="587"/>
      <c r="CS122" s="587"/>
      <c r="CT122" s="587"/>
      <c r="CU122" s="587"/>
      <c r="CV122" s="587"/>
      <c r="CW122" s="587"/>
      <c r="CX122" s="587"/>
      <c r="CY122" s="587"/>
      <c r="CZ122" s="587"/>
      <c r="DA122" s="587"/>
      <c r="DB122" s="587"/>
      <c r="DC122" s="587"/>
      <c r="DD122" s="587"/>
      <c r="DE122" s="587"/>
      <c r="DF122" s="587"/>
      <c r="DG122" s="587"/>
      <c r="DH122" s="587"/>
      <c r="DI122" s="587"/>
      <c r="DJ122" s="587"/>
      <c r="DK122" s="587"/>
      <c r="DL122" s="587"/>
      <c r="DM122" s="587"/>
      <c r="DN122" s="587"/>
      <c r="DO122" s="587"/>
      <c r="DP122" s="587"/>
      <c r="DQ122" s="587"/>
      <c r="DR122" s="587"/>
      <c r="DS122" s="587"/>
      <c r="DT122" s="587"/>
      <c r="DU122" s="587"/>
    </row>
    <row r="123" spans="1:126">
      <c r="A123" s="590" t="str">
        <f>"Armor: "&amp;'1-Hull'!$D$9&amp;""&amp;IF('1-Hull'!$AB$34=TRUE,"/"&amp;'1-Hull'!$D$9+3&amp;" vs. Lasers","")</f>
        <v>Armor: 0</v>
      </c>
      <c r="B123" s="590"/>
      <c r="C123" s="590"/>
      <c r="D123" s="590"/>
      <c r="E123" s="590"/>
      <c r="F123" s="590"/>
      <c r="G123" s="590"/>
      <c r="H123" s="590"/>
      <c r="I123" s="590"/>
      <c r="J123" s="590"/>
      <c r="K123" s="590"/>
      <c r="L123" s="590"/>
      <c r="M123" s="590"/>
      <c r="N123" s="590"/>
      <c r="O123" s="590"/>
      <c r="P123" s="590"/>
      <c r="Q123" s="590"/>
      <c r="R123" s="590"/>
      <c r="S123" s="590"/>
      <c r="T123" s="590"/>
      <c r="U123" s="19"/>
      <c r="V123" s="591" t="str">
        <f>IF('1-Hull'!$AB$46=TRUE,"Rad Shields: Rads - 1000","")</f>
        <v>Rad Shields: Rads - 1000</v>
      </c>
      <c r="W123" s="591"/>
      <c r="X123" s="591"/>
      <c r="Y123" s="591"/>
      <c r="Z123" s="591"/>
      <c r="AA123" s="591"/>
      <c r="AB123" s="591"/>
      <c r="AC123" s="591"/>
      <c r="AD123" s="591"/>
      <c r="AE123" s="591"/>
      <c r="AF123" s="591"/>
      <c r="AG123" s="591"/>
      <c r="AH123" s="591"/>
      <c r="AI123" s="591"/>
      <c r="AJ123" s="591"/>
      <c r="AK123" s="591"/>
      <c r="AL123" s="591"/>
      <c r="AM123" s="591"/>
      <c r="AN123" s="591"/>
      <c r="AO123" s="19"/>
      <c r="AP123" s="590" t="str">
        <f>IF('1-Hull'!$AB$33=TRUE,"Stealth: Sensors-2",IF('1-Hull'!$AB$34=TRUE,"Stealth: Sensors-2",IF('1-Hull'!$AB$35=TRUE,"Stealth: Sensors-4",IF('1-Hull'!$AB$36=TRUE,"Stealth: Sensors-6",""))))</f>
        <v/>
      </c>
      <c r="AQ123" s="590"/>
      <c r="AR123" s="590"/>
      <c r="AS123" s="590"/>
      <c r="AT123" s="590"/>
      <c r="AU123" s="590"/>
      <c r="AV123" s="590"/>
      <c r="AW123" s="590"/>
      <c r="AX123" s="590"/>
      <c r="AY123" s="590"/>
      <c r="AZ123" s="590"/>
      <c r="BA123" s="590"/>
      <c r="BB123" s="590"/>
      <c r="BC123" s="590"/>
      <c r="BD123" s="590"/>
      <c r="BE123" s="590"/>
      <c r="BF123" s="19"/>
      <c r="BG123" s="19" t="str">
        <f>'5-Bridge'!$S$22</f>
        <v>Bridge: Initiative+2</v>
      </c>
      <c r="BH123" s="19"/>
      <c r="BI123" s="19"/>
      <c r="BJ123" s="19"/>
      <c r="BK123" s="19"/>
      <c r="BL123" s="19"/>
      <c r="BM123" s="19"/>
      <c r="BN123" s="19"/>
      <c r="BO123" s="19"/>
      <c r="BP123" s="19"/>
      <c r="BQ123" s="19"/>
      <c r="BR123" s="19"/>
      <c r="BS123" s="19"/>
      <c r="BT123" s="19"/>
      <c r="BU123" s="19"/>
      <c r="BV123" s="19"/>
      <c r="BW123" s="19"/>
      <c r="BX123" s="19"/>
      <c r="BY123" s="19"/>
      <c r="BZ123" s="591" t="str">
        <f>"TL: "&amp;Tech_Level</f>
        <v>TL: 14</v>
      </c>
      <c r="CA123" s="591"/>
      <c r="CB123" s="591"/>
      <c r="CC123" s="591"/>
      <c r="CD123" s="591"/>
      <c r="CE123" s="591"/>
      <c r="CF123" s="591"/>
      <c r="CG123" s="591"/>
      <c r="CH123" s="591"/>
      <c r="CI123" s="19"/>
      <c r="CJ123" s="19"/>
      <c r="CK123" s="19"/>
      <c r="CL123" s="590" t="str">
        <f>"Thrust: "&amp;'2-Drives'!$D$11&amp;IF('2-Drives'!$B$11='2-Drives'!$S$4,", "&amp;'4-Fuel'!$D$8&amp;" Thrust Points","")</f>
        <v>Thrust: 2</v>
      </c>
      <c r="CM123" s="590"/>
      <c r="CN123" s="590"/>
      <c r="CO123" s="590"/>
      <c r="CP123" s="590"/>
      <c r="CQ123" s="590"/>
      <c r="CR123" s="590"/>
      <c r="CS123" s="590"/>
      <c r="CT123" s="590"/>
      <c r="CU123" s="590"/>
      <c r="CV123" s="590"/>
      <c r="CW123" s="590"/>
      <c r="CX123" s="590"/>
      <c r="CY123" s="590"/>
      <c r="CZ123" s="590"/>
      <c r="DA123" s="590"/>
      <c r="DB123" s="590"/>
      <c r="DC123" s="590"/>
      <c r="DD123" s="590"/>
      <c r="DE123" s="590"/>
      <c r="DF123" s="590"/>
      <c r="DG123" s="590"/>
      <c r="DH123" s="590"/>
      <c r="DI123" s="590"/>
      <c r="DJ123" s="590"/>
      <c r="DK123" s="19"/>
      <c r="DL123" s="19" t="str">
        <f>"Jump?"&amp;IF('2-Drives'!$D$25&gt;0," Y"," N")</f>
        <v>Jump? Y</v>
      </c>
      <c r="DM123" s="19"/>
      <c r="DN123" s="19"/>
      <c r="DO123" s="19"/>
      <c r="DP123" s="19"/>
      <c r="DQ123" s="19"/>
      <c r="DR123" s="19"/>
      <c r="DS123" s="19"/>
      <c r="DT123" s="19"/>
      <c r="DU123" s="19"/>
    </row>
    <row r="124" spans="1:126" ht="16" thickBot="1">
      <c r="A124" s="588" t="str">
        <f>"Hull Points: "&amp;'1-Hull'!$D$7</f>
        <v>Hull Points: 120</v>
      </c>
      <c r="B124" s="588"/>
      <c r="C124" s="588"/>
      <c r="D124" s="588"/>
      <c r="E124" s="588"/>
      <c r="F124" s="588"/>
      <c r="G124" s="588"/>
      <c r="H124" s="588"/>
      <c r="I124" s="588"/>
      <c r="J124" s="588"/>
      <c r="K124" s="588"/>
      <c r="L124" s="588"/>
      <c r="M124" s="588"/>
      <c r="N124" s="588"/>
      <c r="O124" s="588"/>
      <c r="P124" s="588"/>
      <c r="Q124" s="588"/>
      <c r="R124" s="588"/>
      <c r="S124" s="588"/>
      <c r="T124" s="588"/>
      <c r="U124" s="362"/>
      <c r="V124" s="362"/>
      <c r="W124" s="362"/>
      <c r="X124" s="589" t="str">
        <f>"Hull Size: "&amp;'1-Hull'!$B$4&amp;" tons"</f>
        <v>Hull Size: 300 tons</v>
      </c>
      <c r="Y124" s="589"/>
      <c r="Z124" s="589"/>
      <c r="AA124" s="589"/>
      <c r="AB124" s="589"/>
      <c r="AC124" s="589"/>
      <c r="AD124" s="589"/>
      <c r="AE124" s="589"/>
      <c r="AF124" s="589"/>
      <c r="AG124" s="589"/>
      <c r="AH124" s="589"/>
      <c r="AI124" s="589"/>
      <c r="AJ124" s="589"/>
      <c r="AK124" s="589"/>
      <c r="AL124" s="589"/>
      <c r="AM124" s="589"/>
      <c r="AN124" s="589"/>
      <c r="AO124" s="589"/>
      <c r="AP124" s="589"/>
      <c r="AQ124" s="589"/>
      <c r="AR124" s="589"/>
      <c r="AS124" s="589"/>
      <c r="AT124" s="589"/>
      <c r="AU124" s="589"/>
      <c r="AV124" s="589"/>
      <c r="AW124" s="589"/>
      <c r="AX124" s="589"/>
      <c r="AY124" s="362"/>
      <c r="AZ124" s="589" t="str">
        <f>"Configuration: "&amp;'1-Hull'!$B$6</f>
        <v>Configuration: Needle</v>
      </c>
      <c r="BA124" s="589"/>
      <c r="BB124" s="589"/>
      <c r="BC124" s="589"/>
      <c r="BD124" s="589"/>
      <c r="BE124" s="589"/>
      <c r="BF124" s="589"/>
      <c r="BG124" s="589"/>
      <c r="BH124" s="589"/>
      <c r="BI124" s="589"/>
      <c r="BJ124" s="589"/>
      <c r="BK124" s="589"/>
      <c r="BL124" s="589"/>
      <c r="BM124" s="589"/>
      <c r="BN124" s="589"/>
      <c r="BO124" s="589"/>
      <c r="BP124" s="589"/>
      <c r="BQ124" s="589"/>
      <c r="BR124" s="589"/>
      <c r="BS124" s="589"/>
      <c r="BT124" s="589"/>
      <c r="BU124" s="589"/>
      <c r="BV124" s="589"/>
      <c r="BW124" s="589"/>
      <c r="BX124" s="362"/>
      <c r="BY124" s="589" t="str">
        <f>"Streamlining: "&amp;'1-Hull'!$B$7&amp;'1-Hull'!$T$64</f>
        <v>Streamlining: Streamlined</v>
      </c>
      <c r="BZ124" s="589"/>
      <c r="CA124" s="589"/>
      <c r="CB124" s="589"/>
      <c r="CC124" s="589"/>
      <c r="CD124" s="589"/>
      <c r="CE124" s="589"/>
      <c r="CF124" s="589"/>
      <c r="CG124" s="589"/>
      <c r="CH124" s="589"/>
      <c r="CI124" s="589"/>
      <c r="CJ124" s="589"/>
      <c r="CK124" s="589"/>
      <c r="CL124" s="589"/>
      <c r="CM124" s="589"/>
      <c r="CN124" s="589"/>
      <c r="CO124" s="589"/>
      <c r="CP124" s="589"/>
      <c r="CQ124" s="589"/>
      <c r="CR124" s="589"/>
      <c r="CS124" s="589"/>
      <c r="CT124" s="589"/>
      <c r="CU124" s="589"/>
      <c r="CV124" s="589"/>
      <c r="CW124" s="589"/>
      <c r="CX124" s="589"/>
      <c r="CY124" s="589"/>
      <c r="CZ124" s="589"/>
      <c r="DA124" s="589"/>
      <c r="DB124" s="362"/>
      <c r="DC124" s="592" t="s">
        <v>667</v>
      </c>
      <c r="DD124" s="592"/>
      <c r="DE124" s="592"/>
      <c r="DF124" s="592"/>
      <c r="DG124" s="592"/>
      <c r="DH124" s="592"/>
      <c r="DI124" s="592" t="str">
        <f>'10-Crew'!$E$5&amp;""&amp;IF('10-Crew'!$E$7=0,"","/"&amp;'10-Crew'!$E$7)</f>
        <v>13</v>
      </c>
      <c r="DJ124" s="592"/>
      <c r="DK124" s="592"/>
      <c r="DL124" s="592"/>
      <c r="DM124" s="592"/>
      <c r="DN124" s="592"/>
      <c r="DO124" s="592"/>
      <c r="DP124" s="592"/>
      <c r="DQ124" s="592"/>
      <c r="DR124" s="592"/>
      <c r="DS124" s="592"/>
      <c r="DT124" s="592"/>
      <c r="DU124" s="362"/>
      <c r="DV124" s="304"/>
    </row>
    <row r="125" spans="1:126" ht="14.25" customHeight="1" thickBot="1">
      <c r="A125" s="760" t="s">
        <v>408</v>
      </c>
      <c r="B125" s="760"/>
      <c r="C125" s="760"/>
      <c r="D125" s="760"/>
      <c r="E125" s="760"/>
      <c r="F125" s="760"/>
      <c r="G125" s="760"/>
      <c r="H125" s="760"/>
      <c r="I125" s="760"/>
      <c r="J125" s="760"/>
      <c r="K125" s="760"/>
      <c r="L125" s="760"/>
      <c r="M125" s="760"/>
      <c r="N125" s="761"/>
      <c r="O125" s="743" t="s">
        <v>699</v>
      </c>
      <c r="P125" s="743"/>
      <c r="Q125" s="743"/>
      <c r="R125" s="743"/>
      <c r="S125" s="743" t="s">
        <v>123</v>
      </c>
      <c r="T125" s="743"/>
      <c r="U125" s="743"/>
      <c r="V125" s="743"/>
      <c r="W125" s="743"/>
      <c r="X125" s="743"/>
      <c r="Y125" s="743"/>
      <c r="Z125" s="743"/>
      <c r="AA125" s="743"/>
      <c r="AB125" s="743"/>
      <c r="AC125" s="743"/>
      <c r="AD125" s="743"/>
      <c r="AE125" s="743"/>
      <c r="AF125" s="743"/>
      <c r="AG125" s="744"/>
      <c r="AH125" s="742" t="s">
        <v>582</v>
      </c>
      <c r="AI125" s="742"/>
      <c r="AJ125" s="742"/>
      <c r="AK125" s="742"/>
      <c r="AL125" s="742"/>
      <c r="AM125" s="742"/>
      <c r="AN125" s="742"/>
      <c r="AO125" s="742"/>
      <c r="AP125" s="742"/>
      <c r="AQ125" s="742"/>
      <c r="AR125" s="742" t="str">
        <f>"Sensors (x"&amp;'7-Sensors'!C13&amp;")"</f>
        <v>Sensors (x2)</v>
      </c>
      <c r="AS125" s="742"/>
      <c r="AT125" s="742"/>
      <c r="AU125" s="742"/>
      <c r="AV125" s="742"/>
      <c r="AW125" s="742"/>
      <c r="AX125" s="742"/>
      <c r="AY125" s="742"/>
      <c r="AZ125" s="742"/>
      <c r="BA125" s="742"/>
      <c r="BB125" s="944" t="s">
        <v>1673</v>
      </c>
      <c r="BC125" s="945"/>
      <c r="BD125" s="945"/>
      <c r="BE125" s="945"/>
      <c r="BF125" s="945"/>
      <c r="BG125" s="945"/>
      <c r="BH125" s="945"/>
      <c r="BI125" s="945"/>
      <c r="BJ125" s="945"/>
      <c r="BK125" s="945"/>
      <c r="BL125" s="945"/>
      <c r="BM125" s="945"/>
      <c r="BN125" s="803"/>
      <c r="BO125" s="1045"/>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c r="CU125" s="1046"/>
      <c r="CV125" s="1046"/>
      <c r="CW125" s="1046"/>
      <c r="CX125" s="1046"/>
      <c r="CY125" s="1046"/>
      <c r="CZ125" s="1046"/>
      <c r="DA125" s="1046"/>
      <c r="DB125" s="1046"/>
      <c r="DC125" s="1046"/>
      <c r="DD125" s="1046"/>
      <c r="DE125" s="1046"/>
      <c r="DF125" s="1046"/>
      <c r="DG125" s="1046"/>
      <c r="DH125" s="1046"/>
      <c r="DI125" s="1046"/>
      <c r="DJ125" s="1046"/>
      <c r="DK125" s="1046"/>
      <c r="DL125" s="1046"/>
      <c r="DM125" s="1046"/>
      <c r="DN125" s="1046"/>
      <c r="DO125" s="1046"/>
      <c r="DP125" s="1046"/>
      <c r="DQ125" s="1046"/>
      <c r="DR125" s="1046"/>
      <c r="DS125" s="1046"/>
      <c r="DT125" s="1046"/>
      <c r="DU125" s="1046"/>
      <c r="DV125" s="1047"/>
    </row>
    <row r="126" spans="1:126">
      <c r="A126" s="762" t="str">
        <f>'8b-Screens'!B9</f>
        <v/>
      </c>
      <c r="B126" s="745"/>
      <c r="C126" s="745"/>
      <c r="D126" s="745"/>
      <c r="E126" s="745"/>
      <c r="F126" s="745"/>
      <c r="G126" s="745"/>
      <c r="H126" s="745"/>
      <c r="I126" s="745"/>
      <c r="J126" s="745"/>
      <c r="K126" s="745"/>
      <c r="L126" s="745"/>
      <c r="M126" s="745"/>
      <c r="N126" s="745"/>
      <c r="O126" s="745">
        <f>'8b-Screens'!E9</f>
        <v>0</v>
      </c>
      <c r="P126" s="745"/>
      <c r="Q126" s="745"/>
      <c r="R126" s="745"/>
      <c r="S126" s="745" t="str">
        <f>'8b-Screens'!T60</f>
        <v xml:space="preserve">  </v>
      </c>
      <c r="T126" s="745"/>
      <c r="U126" s="745"/>
      <c r="V126" s="745"/>
      <c r="W126" s="745"/>
      <c r="X126" s="745"/>
      <c r="Y126" s="745"/>
      <c r="Z126" s="745"/>
      <c r="AA126" s="745"/>
      <c r="AB126" s="745"/>
      <c r="AC126" s="745"/>
      <c r="AD126" s="745"/>
      <c r="AE126" s="745"/>
      <c r="AF126" s="745"/>
      <c r="AG126" s="746"/>
      <c r="AH126" s="764" t="s">
        <v>700</v>
      </c>
      <c r="AI126" s="765"/>
      <c r="AJ126" s="765"/>
      <c r="AK126" s="765"/>
      <c r="AL126" s="765"/>
      <c r="AM126" s="765"/>
      <c r="AN126" s="738" t="str">
        <f>'6-Comp'!Y5</f>
        <v>Bsc+1</v>
      </c>
      <c r="AO126" s="738"/>
      <c r="AP126" s="738"/>
      <c r="AQ126" s="739"/>
      <c r="AR126" s="764" t="s">
        <v>709</v>
      </c>
      <c r="AS126" s="765"/>
      <c r="AT126" s="765"/>
      <c r="AU126" s="765"/>
      <c r="AV126" s="765"/>
      <c r="AW126" s="765"/>
      <c r="AX126" s="738" t="str">
        <f>'7-Sensors'!T24</f>
        <v>+1</v>
      </c>
      <c r="AY126" s="738"/>
      <c r="AZ126" s="738"/>
      <c r="BA126" s="739"/>
      <c r="BB126" s="941"/>
      <c r="BC126" s="942"/>
      <c r="BD126" s="942"/>
      <c r="BE126" s="942"/>
      <c r="BF126" s="942"/>
      <c r="BG126" s="942"/>
      <c r="BH126" s="942"/>
      <c r="BI126" s="942"/>
      <c r="BJ126" s="942"/>
      <c r="BK126" s="942"/>
      <c r="BL126" s="942"/>
      <c r="BM126" s="942"/>
      <c r="BN126" s="942"/>
      <c r="BO126" s="942"/>
      <c r="BP126" s="942"/>
      <c r="BQ126" s="942"/>
      <c r="BR126" s="942"/>
      <c r="BS126" s="942"/>
      <c r="BT126" s="942"/>
      <c r="BU126" s="942"/>
      <c r="BV126" s="942"/>
      <c r="BW126" s="942"/>
      <c r="BX126" s="942"/>
      <c r="BY126" s="942"/>
      <c r="BZ126" s="942"/>
      <c r="CA126" s="942"/>
      <c r="CB126" s="942"/>
      <c r="CC126" s="942"/>
      <c r="CD126" s="942"/>
      <c r="CE126" s="942"/>
      <c r="CF126" s="942"/>
      <c r="CG126" s="942"/>
      <c r="CH126" s="942"/>
      <c r="CI126" s="942"/>
      <c r="CJ126" s="942"/>
      <c r="CK126" s="942"/>
      <c r="CL126" s="942"/>
      <c r="CM126" s="942"/>
      <c r="CN126" s="942"/>
      <c r="CO126" s="942"/>
      <c r="CP126" s="942"/>
      <c r="CQ126" s="942"/>
      <c r="CR126" s="942"/>
      <c r="CS126" s="942"/>
      <c r="CT126" s="942"/>
      <c r="CU126" s="942"/>
      <c r="CV126" s="942"/>
      <c r="CW126" s="942"/>
      <c r="CX126" s="942"/>
      <c r="CY126" s="942"/>
      <c r="CZ126" s="942"/>
      <c r="DA126" s="942"/>
      <c r="DB126" s="942"/>
      <c r="DC126" s="942"/>
      <c r="DD126" s="942"/>
      <c r="DE126" s="942"/>
      <c r="DF126" s="942"/>
      <c r="DG126" s="942"/>
      <c r="DH126" s="942"/>
      <c r="DI126" s="942"/>
      <c r="DJ126" s="942"/>
      <c r="DK126" s="942"/>
      <c r="DL126" s="942"/>
      <c r="DM126" s="942"/>
      <c r="DN126" s="942"/>
      <c r="DO126" s="942"/>
      <c r="DP126" s="942"/>
      <c r="DQ126" s="942"/>
      <c r="DR126" s="942"/>
      <c r="DS126" s="942"/>
      <c r="DT126" s="942"/>
      <c r="DU126" s="942"/>
      <c r="DV126" s="943"/>
    </row>
    <row r="127" spans="1:126">
      <c r="A127" s="730" t="str">
        <f>'8b-Screens'!B14</f>
        <v/>
      </c>
      <c r="B127" s="731"/>
      <c r="C127" s="731"/>
      <c r="D127" s="731"/>
      <c r="E127" s="731"/>
      <c r="F127" s="731"/>
      <c r="G127" s="731"/>
      <c r="H127" s="731"/>
      <c r="I127" s="731"/>
      <c r="J127" s="731"/>
      <c r="K127" s="731"/>
      <c r="L127" s="731"/>
      <c r="M127" s="731"/>
      <c r="N127" s="731"/>
      <c r="O127" s="731">
        <f>'8b-Screens'!E14</f>
        <v>0</v>
      </c>
      <c r="P127" s="731"/>
      <c r="Q127" s="731"/>
      <c r="R127" s="731"/>
      <c r="S127" s="731" t="str">
        <f>'8b-Screens'!V60</f>
        <v xml:space="preserve">  </v>
      </c>
      <c r="T127" s="731"/>
      <c r="U127" s="731"/>
      <c r="V127" s="731"/>
      <c r="W127" s="731"/>
      <c r="X127" s="731"/>
      <c r="Y127" s="731"/>
      <c r="Z127" s="731"/>
      <c r="AA127" s="731"/>
      <c r="AB127" s="731"/>
      <c r="AC127" s="731"/>
      <c r="AD127" s="731"/>
      <c r="AE127" s="731"/>
      <c r="AF127" s="731"/>
      <c r="AG127" s="735"/>
      <c r="AH127" s="610" t="s">
        <v>705</v>
      </c>
      <c r="AI127" s="611"/>
      <c r="AJ127" s="611"/>
      <c r="AK127" s="611"/>
      <c r="AL127" s="611"/>
      <c r="AM127" s="611"/>
      <c r="AN127" s="731" t="str">
        <f>'6-Comp'!Y6</f>
        <v>N/A</v>
      </c>
      <c r="AO127" s="731"/>
      <c r="AP127" s="731"/>
      <c r="AQ127" s="735"/>
      <c r="AR127" s="610" t="s">
        <v>710</v>
      </c>
      <c r="AS127" s="611"/>
      <c r="AT127" s="611"/>
      <c r="AU127" s="611"/>
      <c r="AV127" s="611"/>
      <c r="AW127" s="611"/>
      <c r="AX127" s="731" t="str">
        <f>'7-Sensors'!T25</f>
        <v>0</v>
      </c>
      <c r="AY127" s="731"/>
      <c r="AZ127" s="731"/>
      <c r="BA127" s="735"/>
      <c r="BB127" s="941"/>
      <c r="BC127" s="942"/>
      <c r="BD127" s="942"/>
      <c r="BE127" s="942"/>
      <c r="BF127" s="942"/>
      <c r="BG127" s="942"/>
      <c r="BH127" s="942"/>
      <c r="BI127" s="942"/>
      <c r="BJ127" s="942"/>
      <c r="BK127" s="942"/>
      <c r="BL127" s="942"/>
      <c r="BM127" s="942"/>
      <c r="BN127" s="942"/>
      <c r="BO127" s="942"/>
      <c r="BP127" s="942"/>
      <c r="BQ127" s="942"/>
      <c r="BR127" s="942"/>
      <c r="BS127" s="942"/>
      <c r="BT127" s="942"/>
      <c r="BU127" s="942"/>
      <c r="BV127" s="942"/>
      <c r="BW127" s="942"/>
      <c r="BX127" s="942"/>
      <c r="BY127" s="942"/>
      <c r="BZ127" s="942"/>
      <c r="CA127" s="942"/>
      <c r="CB127" s="942"/>
      <c r="CC127" s="942"/>
      <c r="CD127" s="942"/>
      <c r="CE127" s="942"/>
      <c r="CF127" s="942"/>
      <c r="CG127" s="942"/>
      <c r="CH127" s="942"/>
      <c r="CI127" s="942"/>
      <c r="CJ127" s="942"/>
      <c r="CK127" s="942"/>
      <c r="CL127" s="942"/>
      <c r="CM127" s="942"/>
      <c r="CN127" s="942"/>
      <c r="CO127" s="942"/>
      <c r="CP127" s="942"/>
      <c r="CQ127" s="942"/>
      <c r="CR127" s="942"/>
      <c r="CS127" s="942"/>
      <c r="CT127" s="942"/>
      <c r="CU127" s="942"/>
      <c r="CV127" s="942"/>
      <c r="CW127" s="942"/>
      <c r="CX127" s="942"/>
      <c r="CY127" s="942"/>
      <c r="CZ127" s="942"/>
      <c r="DA127" s="942"/>
      <c r="DB127" s="942"/>
      <c r="DC127" s="942"/>
      <c r="DD127" s="942"/>
      <c r="DE127" s="942"/>
      <c r="DF127" s="942"/>
      <c r="DG127" s="942"/>
      <c r="DH127" s="942"/>
      <c r="DI127" s="942"/>
      <c r="DJ127" s="942"/>
      <c r="DK127" s="942"/>
      <c r="DL127" s="942"/>
      <c r="DM127" s="942"/>
      <c r="DN127" s="942"/>
      <c r="DO127" s="942"/>
      <c r="DP127" s="942"/>
      <c r="DQ127" s="942"/>
      <c r="DR127" s="942"/>
      <c r="DS127" s="942"/>
      <c r="DT127" s="942"/>
      <c r="DU127" s="942"/>
      <c r="DV127" s="943"/>
    </row>
    <row r="128" spans="1:126">
      <c r="A128" s="730" t="str">
        <f>'8b-Screens'!B19</f>
        <v/>
      </c>
      <c r="B128" s="731"/>
      <c r="C128" s="731"/>
      <c r="D128" s="731"/>
      <c r="E128" s="731"/>
      <c r="F128" s="731"/>
      <c r="G128" s="731"/>
      <c r="H128" s="731"/>
      <c r="I128" s="731"/>
      <c r="J128" s="731"/>
      <c r="K128" s="731"/>
      <c r="L128" s="731"/>
      <c r="M128" s="731"/>
      <c r="N128" s="731"/>
      <c r="O128" s="731">
        <f>'8b-Screens'!E19</f>
        <v>0</v>
      </c>
      <c r="P128" s="731"/>
      <c r="Q128" s="731"/>
      <c r="R128" s="731"/>
      <c r="S128" s="731" t="str">
        <f>'8b-Screens'!X60</f>
        <v xml:space="preserve">  </v>
      </c>
      <c r="T128" s="731"/>
      <c r="U128" s="731"/>
      <c r="V128" s="731"/>
      <c r="W128" s="731"/>
      <c r="X128" s="731"/>
      <c r="Y128" s="731"/>
      <c r="Z128" s="731"/>
      <c r="AA128" s="731"/>
      <c r="AB128" s="731"/>
      <c r="AC128" s="731"/>
      <c r="AD128" s="731"/>
      <c r="AE128" s="731"/>
      <c r="AF128" s="731"/>
      <c r="AG128" s="735"/>
      <c r="AH128" s="610" t="s">
        <v>708</v>
      </c>
      <c r="AI128" s="611"/>
      <c r="AJ128" s="611"/>
      <c r="AK128" s="611"/>
      <c r="AL128" s="611"/>
      <c r="AM128" s="611"/>
      <c r="AN128" s="731" t="str">
        <f>'6-Comp'!Y7</f>
        <v>N/A</v>
      </c>
      <c r="AO128" s="731"/>
      <c r="AP128" s="731"/>
      <c r="AQ128" s="735"/>
      <c r="AR128" s="610" t="s">
        <v>711</v>
      </c>
      <c r="AS128" s="611"/>
      <c r="AT128" s="611"/>
      <c r="AU128" s="611"/>
      <c r="AV128" s="611"/>
      <c r="AW128" s="611"/>
      <c r="AX128" s="731" t="str">
        <f>'7-Sensors'!T26</f>
        <v>+4</v>
      </c>
      <c r="AY128" s="731"/>
      <c r="AZ128" s="731"/>
      <c r="BA128" s="735"/>
      <c r="BB128" s="941"/>
      <c r="BC128" s="942"/>
      <c r="BD128" s="942"/>
      <c r="BE128" s="942"/>
      <c r="BF128" s="942"/>
      <c r="BG128" s="942"/>
      <c r="BH128" s="942"/>
      <c r="BI128" s="942"/>
      <c r="BJ128" s="942"/>
      <c r="BK128" s="942"/>
      <c r="BL128" s="942"/>
      <c r="BM128" s="942"/>
      <c r="BN128" s="942"/>
      <c r="BO128" s="942"/>
      <c r="BP128" s="942"/>
      <c r="BQ128" s="942"/>
      <c r="BR128" s="942"/>
      <c r="BS128" s="942"/>
      <c r="BT128" s="942"/>
      <c r="BU128" s="942"/>
      <c r="BV128" s="942"/>
      <c r="BW128" s="942"/>
      <c r="BX128" s="942"/>
      <c r="BY128" s="942"/>
      <c r="BZ128" s="942"/>
      <c r="CA128" s="942"/>
      <c r="CB128" s="942"/>
      <c r="CC128" s="942"/>
      <c r="CD128" s="942"/>
      <c r="CE128" s="942"/>
      <c r="CF128" s="942"/>
      <c r="CG128" s="942"/>
      <c r="CH128" s="942"/>
      <c r="CI128" s="942"/>
      <c r="CJ128" s="942"/>
      <c r="CK128" s="942"/>
      <c r="CL128" s="942"/>
      <c r="CM128" s="942"/>
      <c r="CN128" s="942"/>
      <c r="CO128" s="942"/>
      <c r="CP128" s="942"/>
      <c r="CQ128" s="942"/>
      <c r="CR128" s="942"/>
      <c r="CS128" s="942"/>
      <c r="CT128" s="942"/>
      <c r="CU128" s="942"/>
      <c r="CV128" s="942"/>
      <c r="CW128" s="942"/>
      <c r="CX128" s="942"/>
      <c r="CY128" s="942"/>
      <c r="CZ128" s="942"/>
      <c r="DA128" s="942"/>
      <c r="DB128" s="942"/>
      <c r="DC128" s="942"/>
      <c r="DD128" s="942"/>
      <c r="DE128" s="942"/>
      <c r="DF128" s="942"/>
      <c r="DG128" s="942"/>
      <c r="DH128" s="942"/>
      <c r="DI128" s="942"/>
      <c r="DJ128" s="942"/>
      <c r="DK128" s="942"/>
      <c r="DL128" s="942"/>
      <c r="DM128" s="942"/>
      <c r="DN128" s="942"/>
      <c r="DO128" s="942"/>
      <c r="DP128" s="942"/>
      <c r="DQ128" s="942"/>
      <c r="DR128" s="942"/>
      <c r="DS128" s="942"/>
      <c r="DT128" s="942"/>
      <c r="DU128" s="942"/>
      <c r="DV128" s="943"/>
    </row>
    <row r="129" spans="1:126" ht="16" thickBot="1">
      <c r="A129" s="730" t="str">
        <f>'8b-Screens'!B24</f>
        <v/>
      </c>
      <c r="B129" s="731"/>
      <c r="C129" s="731"/>
      <c r="D129" s="731"/>
      <c r="E129" s="731"/>
      <c r="F129" s="731"/>
      <c r="G129" s="731"/>
      <c r="H129" s="731"/>
      <c r="I129" s="731"/>
      <c r="J129" s="731"/>
      <c r="K129" s="731"/>
      <c r="L129" s="731"/>
      <c r="M129" s="731"/>
      <c r="N129" s="731"/>
      <c r="O129" s="731">
        <f>'8b-Screens'!E24</f>
        <v>0</v>
      </c>
      <c r="P129" s="731"/>
      <c r="Q129" s="731"/>
      <c r="R129" s="731"/>
      <c r="S129" s="731" t="str">
        <f>'8b-Screens'!Z60</f>
        <v xml:space="preserve">  </v>
      </c>
      <c r="T129" s="731"/>
      <c r="U129" s="731"/>
      <c r="V129" s="731"/>
      <c r="W129" s="731"/>
      <c r="X129" s="731"/>
      <c r="Y129" s="731"/>
      <c r="Z129" s="731"/>
      <c r="AA129" s="731"/>
      <c r="AB129" s="731"/>
      <c r="AC129" s="731"/>
      <c r="AD129" s="731"/>
      <c r="AE129" s="731"/>
      <c r="AF129" s="731"/>
      <c r="AG129" s="735"/>
      <c r="AH129" s="610" t="s">
        <v>253</v>
      </c>
      <c r="AI129" s="611"/>
      <c r="AJ129" s="611"/>
      <c r="AK129" s="611"/>
      <c r="AL129" s="611"/>
      <c r="AM129" s="611"/>
      <c r="AN129" s="731" t="str">
        <f>'6-Comp'!Y8</f>
        <v>-1</v>
      </c>
      <c r="AO129" s="731"/>
      <c r="AP129" s="731"/>
      <c r="AQ129" s="735"/>
      <c r="AR129" s="740" t="s">
        <v>712</v>
      </c>
      <c r="AS129" s="741"/>
      <c r="AT129" s="741"/>
      <c r="AU129" s="741"/>
      <c r="AV129" s="741"/>
      <c r="AW129" s="741"/>
      <c r="AX129" s="736" t="str">
        <f>'7-Sensors'!T27</f>
        <v>+Rng</v>
      </c>
      <c r="AY129" s="736"/>
      <c r="AZ129" s="736"/>
      <c r="BA129" s="737"/>
      <c r="BB129" s="941"/>
      <c r="BC129" s="942"/>
      <c r="BD129" s="942"/>
      <c r="BE129" s="942"/>
      <c r="BF129" s="942"/>
      <c r="BG129" s="942"/>
      <c r="BH129" s="942"/>
      <c r="BI129" s="942"/>
      <c r="BJ129" s="942"/>
      <c r="BK129" s="942"/>
      <c r="BL129" s="942"/>
      <c r="BM129" s="942"/>
      <c r="BN129" s="942"/>
      <c r="BO129" s="942"/>
      <c r="BP129" s="942"/>
      <c r="BQ129" s="942"/>
      <c r="BR129" s="942"/>
      <c r="BS129" s="942"/>
      <c r="BT129" s="942"/>
      <c r="BU129" s="942"/>
      <c r="BV129" s="942"/>
      <c r="BW129" s="942"/>
      <c r="BX129" s="942"/>
      <c r="BY129" s="942"/>
      <c r="BZ129" s="942"/>
      <c r="CA129" s="942"/>
      <c r="CB129" s="942"/>
      <c r="CC129" s="942"/>
      <c r="CD129" s="942"/>
      <c r="CE129" s="942"/>
      <c r="CF129" s="942"/>
      <c r="CG129" s="942"/>
      <c r="CH129" s="942"/>
      <c r="CI129" s="942"/>
      <c r="CJ129" s="942"/>
      <c r="CK129" s="942"/>
      <c r="CL129" s="942"/>
      <c r="CM129" s="942"/>
      <c r="CN129" s="942"/>
      <c r="CO129" s="942"/>
      <c r="CP129" s="942"/>
      <c r="CQ129" s="942"/>
      <c r="CR129" s="942"/>
      <c r="CS129" s="942"/>
      <c r="CT129" s="942"/>
      <c r="CU129" s="942"/>
      <c r="CV129" s="942"/>
      <c r="CW129" s="942"/>
      <c r="CX129" s="942"/>
      <c r="CY129" s="942"/>
      <c r="CZ129" s="942"/>
      <c r="DA129" s="942"/>
      <c r="DB129" s="942"/>
      <c r="DC129" s="942"/>
      <c r="DD129" s="942"/>
      <c r="DE129" s="942"/>
      <c r="DF129" s="942"/>
      <c r="DG129" s="942"/>
      <c r="DH129" s="942"/>
      <c r="DI129" s="942"/>
      <c r="DJ129" s="942"/>
      <c r="DK129" s="942"/>
      <c r="DL129" s="942"/>
      <c r="DM129" s="942"/>
      <c r="DN129" s="942"/>
      <c r="DO129" s="942"/>
      <c r="DP129" s="942"/>
      <c r="DQ129" s="942"/>
      <c r="DR129" s="942"/>
      <c r="DS129" s="942"/>
      <c r="DT129" s="942"/>
      <c r="DU129" s="942"/>
      <c r="DV129" s="943"/>
    </row>
    <row r="130" spans="1:126">
      <c r="A130" s="730" t="str">
        <f>IF('8b-Screens'!D34=0,"","Grav Shielding")</f>
        <v/>
      </c>
      <c r="B130" s="731"/>
      <c r="C130" s="731"/>
      <c r="D130" s="731"/>
      <c r="E130" s="731"/>
      <c r="F130" s="731"/>
      <c r="G130" s="731"/>
      <c r="H130" s="731"/>
      <c r="I130" s="731"/>
      <c r="J130" s="731"/>
      <c r="K130" s="731"/>
      <c r="L130" s="731"/>
      <c r="M130" s="731"/>
      <c r="N130" s="731"/>
      <c r="O130" s="753" t="str">
        <f>INDEX('8b-Screens'!T64:V70,MATCH('8b-Screens'!D34,'8b-Screens'!T64:T70,0),3)</f>
        <v/>
      </c>
      <c r="P130" s="753"/>
      <c r="Q130" s="753"/>
      <c r="R130" s="753"/>
      <c r="S130" s="753" t="str">
        <f>'8b-Screens'!Y52</f>
        <v xml:space="preserve">  </v>
      </c>
      <c r="T130" s="753"/>
      <c r="U130" s="753"/>
      <c r="V130" s="753"/>
      <c r="W130" s="753"/>
      <c r="X130" s="753"/>
      <c r="Y130" s="753"/>
      <c r="Z130" s="753"/>
      <c r="AA130" s="753"/>
      <c r="AB130" s="753"/>
      <c r="AC130" s="753"/>
      <c r="AD130" s="753"/>
      <c r="AE130" s="753"/>
      <c r="AF130" s="753"/>
      <c r="AG130" s="777"/>
      <c r="AH130" s="610" t="s">
        <v>703</v>
      </c>
      <c r="AI130" s="611"/>
      <c r="AJ130" s="611"/>
      <c r="AK130" s="611"/>
      <c r="AL130" s="611"/>
      <c r="AM130" s="611"/>
      <c r="AN130" s="731" t="str">
        <f>'6-Comp'!Y9</f>
        <v>N/A</v>
      </c>
      <c r="AO130" s="731"/>
      <c r="AP130" s="731"/>
      <c r="AQ130" s="735"/>
      <c r="AS130" s="774" t="s">
        <v>756</v>
      </c>
      <c r="AT130" s="775"/>
      <c r="AU130" s="775"/>
      <c r="AV130" s="775"/>
      <c r="AW130" s="775"/>
      <c r="AX130" s="775"/>
      <c r="AY130" s="775"/>
      <c r="AZ130" s="775"/>
      <c r="BA130" s="776"/>
      <c r="BB130" s="941"/>
      <c r="BC130" s="942"/>
      <c r="BD130" s="942"/>
      <c r="BE130" s="942"/>
      <c r="BF130" s="942"/>
      <c r="BG130" s="942"/>
      <c r="BH130" s="942"/>
      <c r="BI130" s="942"/>
      <c r="BJ130" s="942"/>
      <c r="BK130" s="942"/>
      <c r="BL130" s="942"/>
      <c r="BM130" s="942"/>
      <c r="BN130" s="942"/>
      <c r="BO130" s="942"/>
      <c r="BP130" s="942"/>
      <c r="BQ130" s="942"/>
      <c r="BR130" s="942"/>
      <c r="BS130" s="942"/>
      <c r="BT130" s="942"/>
      <c r="BU130" s="942"/>
      <c r="BV130" s="942"/>
      <c r="BW130" s="942"/>
      <c r="BX130" s="942"/>
      <c r="BY130" s="942"/>
      <c r="BZ130" s="942"/>
      <c r="CA130" s="942"/>
      <c r="CB130" s="942"/>
      <c r="CC130" s="942"/>
      <c r="CD130" s="942"/>
      <c r="CE130" s="942"/>
      <c r="CF130" s="942"/>
      <c r="CG130" s="942"/>
      <c r="CH130" s="942"/>
      <c r="CI130" s="942"/>
      <c r="CJ130" s="942"/>
      <c r="CK130" s="942"/>
      <c r="CL130" s="942"/>
      <c r="CM130" s="942"/>
      <c r="CN130" s="942"/>
      <c r="CO130" s="942"/>
      <c r="CP130" s="942"/>
      <c r="CQ130" s="942"/>
      <c r="CR130" s="942"/>
      <c r="CS130" s="942"/>
      <c r="CT130" s="942"/>
      <c r="CU130" s="942"/>
      <c r="CV130" s="942"/>
      <c r="CW130" s="942"/>
      <c r="CX130" s="942"/>
      <c r="CY130" s="942"/>
      <c r="CZ130" s="942"/>
      <c r="DA130" s="942"/>
      <c r="DB130" s="942"/>
      <c r="DC130" s="942"/>
      <c r="DD130" s="942"/>
      <c r="DE130" s="942"/>
      <c r="DF130" s="942"/>
      <c r="DG130" s="942"/>
      <c r="DH130" s="942"/>
      <c r="DI130" s="942"/>
      <c r="DJ130" s="942"/>
      <c r="DK130" s="942"/>
      <c r="DL130" s="942"/>
      <c r="DM130" s="942"/>
      <c r="DN130" s="942"/>
      <c r="DO130" s="942"/>
      <c r="DP130" s="942"/>
      <c r="DQ130" s="942"/>
      <c r="DR130" s="942"/>
      <c r="DS130" s="942"/>
      <c r="DT130" s="942"/>
      <c r="DU130" s="942"/>
      <c r="DV130" s="943"/>
    </row>
    <row r="131" spans="1:126" ht="16" thickBot="1">
      <c r="A131" s="752" t="str">
        <f>IF('8b-Screens'!C39='8b-Screens'!S6,"",'8b-Screens'!B39)</f>
        <v/>
      </c>
      <c r="B131" s="736"/>
      <c r="C131" s="736"/>
      <c r="D131" s="736"/>
      <c r="E131" s="736"/>
      <c r="F131" s="736"/>
      <c r="G131" s="736"/>
      <c r="H131" s="736"/>
      <c r="I131" s="736"/>
      <c r="J131" s="736"/>
      <c r="K131" s="736"/>
      <c r="L131" s="736"/>
      <c r="M131" s="736"/>
      <c r="N131" s="736"/>
      <c r="O131" s="754">
        <f>'8b-Screens'!E39</f>
        <v>0</v>
      </c>
      <c r="P131" s="754"/>
      <c r="Q131" s="754"/>
      <c r="R131" s="754"/>
      <c r="S131" s="754" t="str">
        <f>IF(O159&gt;0,"Dmg Cap:"&amp;'8b-Screens'!D42,"")</f>
        <v/>
      </c>
      <c r="T131" s="754"/>
      <c r="U131" s="754"/>
      <c r="V131" s="754"/>
      <c r="W131" s="754"/>
      <c r="X131" s="754"/>
      <c r="Y131" s="754"/>
      <c r="Z131" s="754"/>
      <c r="AA131" s="754"/>
      <c r="AB131" s="754"/>
      <c r="AC131" s="754"/>
      <c r="AD131" s="754"/>
      <c r="AE131" s="754"/>
      <c r="AF131" s="754"/>
      <c r="AG131" s="778"/>
      <c r="AH131" s="610" t="s">
        <v>704</v>
      </c>
      <c r="AI131" s="611"/>
      <c r="AJ131" s="611"/>
      <c r="AK131" s="611"/>
      <c r="AL131" s="611"/>
      <c r="AM131" s="611"/>
      <c r="AN131" s="731" t="str">
        <f>'6-Comp'!Y10</f>
        <v>N/A</v>
      </c>
      <c r="AO131" s="731"/>
      <c r="AP131" s="731"/>
      <c r="AQ131" s="735"/>
      <c r="AS131" s="732" t="s">
        <v>755</v>
      </c>
      <c r="AT131" s="733"/>
      <c r="AU131" s="733"/>
      <c r="AV131" s="733"/>
      <c r="AW131" s="733"/>
      <c r="AX131" s="733"/>
      <c r="AY131" s="733"/>
      <c r="AZ131" s="733"/>
      <c r="BA131" s="734"/>
      <c r="BB131" s="941"/>
      <c r="BC131" s="942"/>
      <c r="BD131" s="942"/>
      <c r="BE131" s="942"/>
      <c r="BF131" s="942"/>
      <c r="BG131" s="942"/>
      <c r="BH131" s="942"/>
      <c r="BI131" s="942"/>
      <c r="BJ131" s="942"/>
      <c r="BK131" s="942"/>
      <c r="BL131" s="942"/>
      <c r="BM131" s="942"/>
      <c r="BN131" s="942"/>
      <c r="BO131" s="942"/>
      <c r="BP131" s="942"/>
      <c r="BQ131" s="942"/>
      <c r="BR131" s="942"/>
      <c r="BS131" s="942"/>
      <c r="BT131" s="942"/>
      <c r="BU131" s="942"/>
      <c r="BV131" s="942"/>
      <c r="BW131" s="942"/>
      <c r="BX131" s="942"/>
      <c r="BY131" s="942"/>
      <c r="BZ131" s="942"/>
      <c r="CA131" s="942"/>
      <c r="CB131" s="942"/>
      <c r="CC131" s="942"/>
      <c r="CD131" s="942"/>
      <c r="CE131" s="942"/>
      <c r="CF131" s="942"/>
      <c r="CG131" s="942"/>
      <c r="CH131" s="942"/>
      <c r="CI131" s="942"/>
      <c r="CJ131" s="942"/>
      <c r="CK131" s="942"/>
      <c r="CL131" s="942"/>
      <c r="CM131" s="942"/>
      <c r="CN131" s="942"/>
      <c r="CO131" s="942"/>
      <c r="CP131" s="942"/>
      <c r="CQ131" s="942"/>
      <c r="CR131" s="942"/>
      <c r="CS131" s="942"/>
      <c r="CT131" s="942"/>
      <c r="CU131" s="942"/>
      <c r="CV131" s="942"/>
      <c r="CW131" s="942"/>
      <c r="CX131" s="942"/>
      <c r="CY131" s="942"/>
      <c r="CZ131" s="942"/>
      <c r="DA131" s="942"/>
      <c r="DB131" s="942"/>
      <c r="DC131" s="942"/>
      <c r="DD131" s="942"/>
      <c r="DE131" s="942"/>
      <c r="DF131" s="942"/>
      <c r="DG131" s="942"/>
      <c r="DH131" s="942"/>
      <c r="DI131" s="942"/>
      <c r="DJ131" s="942"/>
      <c r="DK131" s="942"/>
      <c r="DL131" s="942"/>
      <c r="DM131" s="942"/>
      <c r="DN131" s="942"/>
      <c r="DO131" s="942"/>
      <c r="DP131" s="942"/>
      <c r="DQ131" s="942"/>
      <c r="DR131" s="942"/>
      <c r="DS131" s="942"/>
      <c r="DT131" s="942"/>
      <c r="DU131" s="942"/>
      <c r="DV131" s="943"/>
    </row>
    <row r="132" spans="1:126" ht="17" thickBot="1">
      <c r="A132" s="1039" t="str">
        <f>'Ship Info'!G22&amp;": "&amp;'Ship Info'!I31</f>
        <v>High Automation: DM+2 on all shipboard tasks</v>
      </c>
      <c r="B132" s="1040"/>
      <c r="C132" s="1040"/>
      <c r="D132" s="1040"/>
      <c r="E132" s="1040"/>
      <c r="F132" s="1040"/>
      <c r="G132" s="1040"/>
      <c r="H132" s="1040"/>
      <c r="I132" s="1040"/>
      <c r="J132" s="1040"/>
      <c r="K132" s="1040"/>
      <c r="L132" s="1040"/>
      <c r="M132" s="1040"/>
      <c r="N132" s="1040"/>
      <c r="O132" s="1040"/>
      <c r="P132" s="1040"/>
      <c r="Q132" s="1040"/>
      <c r="R132" s="1040"/>
      <c r="S132" s="1040"/>
      <c r="T132" s="1040"/>
      <c r="U132" s="1040"/>
      <c r="V132" s="1040"/>
      <c r="W132" s="1040"/>
      <c r="X132" s="1040"/>
      <c r="Y132" s="1040"/>
      <c r="Z132" s="1040"/>
      <c r="AA132" s="1040"/>
      <c r="AB132" s="1040"/>
      <c r="AC132" s="1040"/>
      <c r="AD132" s="1040"/>
      <c r="AE132" s="1040"/>
      <c r="AF132" s="1040"/>
      <c r="AG132" s="1041"/>
      <c r="AH132" s="740" t="s">
        <v>707</v>
      </c>
      <c r="AI132" s="741"/>
      <c r="AJ132" s="741"/>
      <c r="AK132" s="741"/>
      <c r="AL132" s="741"/>
      <c r="AM132" s="741"/>
      <c r="AN132" s="736" t="str">
        <f>'6-Comp'!Y11</f>
        <v>X</v>
      </c>
      <c r="AO132" s="736"/>
      <c r="AP132" s="736"/>
      <c r="AQ132" s="737"/>
      <c r="AS132" s="771">
        <f>SUM('12-Cargo'!D38:'12-Cargo'!D48)</f>
        <v>0</v>
      </c>
      <c r="AT132" s="772"/>
      <c r="AU132" s="772"/>
      <c r="AV132" s="772"/>
      <c r="AW132" s="772"/>
      <c r="AX132" s="772"/>
      <c r="AY132" s="772"/>
      <c r="AZ132" s="772"/>
      <c r="BA132" s="773"/>
      <c r="BB132" s="1042" t="str">
        <f>IF('12-Cargo'!D38=0,"","Missile:"&amp;'12-Cargo'!D38*12)&amp;IF('12-Cargo'!D40=0,""," Torpedos:"&amp;'12-Cargo'!D40*3)&amp;IF('12-Cargo'!D42=0,""," Sand:"&amp;'12-Cargo'!D42*20)&amp;IF('12-Cargo'!D44=0,""," Special:"&amp;'12-Cargo'!D44&amp;"tons")&amp;IF('12-Cargo'!D46=0,""," Railgun:"&amp;'12-Cargo'!D46&amp;"tons")&amp;IF('12-Cargo'!D48=0,""," Mass Driver:"&amp;'12-Cargo'!D48&amp;"tons")</f>
        <v/>
      </c>
      <c r="BC132" s="1043"/>
      <c r="BD132" s="1043"/>
      <c r="BE132" s="1043"/>
      <c r="BF132" s="1043"/>
      <c r="BG132" s="1043"/>
      <c r="BH132" s="1043"/>
      <c r="BI132" s="1043"/>
      <c r="BJ132" s="1043"/>
      <c r="BK132" s="1043"/>
      <c r="BL132" s="1043"/>
      <c r="BM132" s="1043"/>
      <c r="BN132" s="1043"/>
      <c r="BO132" s="1043"/>
      <c r="BP132" s="1043"/>
      <c r="BQ132" s="1043"/>
      <c r="BR132" s="1043"/>
      <c r="BS132" s="1043"/>
      <c r="BT132" s="1043"/>
      <c r="BU132" s="1043"/>
      <c r="BV132" s="1043"/>
      <c r="BW132" s="1043"/>
      <c r="BX132" s="1043"/>
      <c r="BY132" s="1043"/>
      <c r="BZ132" s="1043"/>
      <c r="CA132" s="1043"/>
      <c r="CB132" s="1043"/>
      <c r="CC132" s="1043"/>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4"/>
    </row>
    <row r="133" spans="1:126" ht="3.5" customHeight="1" thickBot="1">
      <c r="B133" s="364"/>
      <c r="C133" s="364"/>
      <c r="D133" s="364"/>
      <c r="E133" s="364"/>
      <c r="F133" s="364"/>
      <c r="G133" s="364"/>
      <c r="H133" s="364"/>
      <c r="I133" s="364"/>
      <c r="J133" s="364"/>
      <c r="K133" s="364"/>
      <c r="L133" s="366"/>
      <c r="M133" s="366"/>
      <c r="N133" s="366"/>
      <c r="O133" s="366"/>
      <c r="P133" s="366"/>
      <c r="Q133" s="366"/>
      <c r="R133" s="366"/>
      <c r="S133" s="366"/>
      <c r="T133" s="366"/>
      <c r="U133" s="366"/>
      <c r="V133" s="366"/>
      <c r="W133" s="366"/>
      <c r="X133" s="366"/>
      <c r="Y133" s="366"/>
      <c r="Z133" s="366"/>
      <c r="AA133" s="361"/>
      <c r="AB133" s="361"/>
      <c r="AC133" s="361"/>
      <c r="AD133" s="361"/>
      <c r="AE133" s="361"/>
      <c r="AF133" s="361"/>
      <c r="AG133" s="361"/>
      <c r="AH133" s="365"/>
      <c r="AI133" s="365"/>
      <c r="AJ133" s="365"/>
      <c r="AK133" s="365"/>
      <c r="AL133" s="365"/>
      <c r="AM133" s="365"/>
      <c r="AN133" s="365"/>
      <c r="AO133" s="62"/>
      <c r="AP133" s="62"/>
      <c r="AQ133" s="62"/>
      <c r="AR133" s="62"/>
      <c r="AS133" s="62"/>
      <c r="AT133" s="62"/>
      <c r="AU133" s="62"/>
      <c r="AV133" s="62"/>
      <c r="AW133" s="62"/>
      <c r="AX133" s="62"/>
      <c r="AY133" s="62"/>
      <c r="BA133" s="62"/>
      <c r="BB133" s="62"/>
    </row>
    <row r="134" spans="1:126" ht="16" thickBot="1">
      <c r="A134" s="1031" t="s">
        <v>670</v>
      </c>
      <c r="B134" s="1032"/>
      <c r="C134" s="1032"/>
      <c r="D134" s="1032"/>
      <c r="E134" s="1032"/>
      <c r="F134" s="1032"/>
      <c r="G134" s="1032"/>
      <c r="H134" s="1032"/>
      <c r="I134" s="1032"/>
      <c r="J134" s="1032"/>
      <c r="K134" s="1032"/>
      <c r="L134" s="1032"/>
      <c r="M134" s="1032"/>
      <c r="N134" s="1032"/>
      <c r="O134" s="1032"/>
      <c r="P134" s="1032"/>
      <c r="Q134" s="1032"/>
      <c r="R134" s="1033"/>
      <c r="S134" s="1028" t="s">
        <v>669</v>
      </c>
      <c r="T134" s="1029"/>
      <c r="U134" s="1029"/>
      <c r="V134" s="1029"/>
      <c r="W134" s="1029"/>
      <c r="X134" s="1029"/>
      <c r="Y134" s="1029"/>
      <c r="Z134" s="1029"/>
      <c r="AA134" s="1029"/>
      <c r="AB134" s="1029"/>
      <c r="AC134" s="1029"/>
      <c r="AD134" s="1029"/>
      <c r="AE134" s="1029"/>
      <c r="AF134" s="1029"/>
      <c r="AG134" s="1029"/>
      <c r="AH134" s="1029"/>
      <c r="AI134" s="1029"/>
      <c r="AJ134" s="1029"/>
      <c r="AK134" s="1029"/>
      <c r="AL134" s="1029"/>
      <c r="AM134" s="1029"/>
      <c r="AN134" s="1029"/>
      <c r="AO134" s="1029"/>
      <c r="AP134" s="1029"/>
      <c r="AQ134" s="1029"/>
      <c r="AR134" s="1029"/>
      <c r="AS134" s="1029"/>
      <c r="AT134" s="1029"/>
      <c r="AU134" s="1029"/>
      <c r="AV134" s="1029"/>
      <c r="AW134" s="1029"/>
      <c r="AX134" s="1029"/>
      <c r="AY134" s="1029"/>
      <c r="AZ134" s="1029"/>
      <c r="BA134" s="1029"/>
      <c r="BB134" s="1029"/>
      <c r="BC134" s="1029"/>
      <c r="BD134" s="1029"/>
      <c r="BE134" s="1029"/>
      <c r="BF134" s="1029"/>
      <c r="BG134" s="1029"/>
      <c r="BH134" s="1029"/>
      <c r="BI134" s="1029"/>
      <c r="BJ134" s="1029"/>
      <c r="BK134" s="1029"/>
      <c r="BL134" s="1029"/>
      <c r="BM134" s="1029"/>
      <c r="BN134" s="1029"/>
      <c r="BO134" s="1029"/>
      <c r="BP134" s="1029"/>
      <c r="BQ134" s="1029"/>
      <c r="BR134" s="1029"/>
      <c r="BS134" s="1029"/>
      <c r="BT134" s="1029"/>
      <c r="BU134" s="1029"/>
      <c r="BV134" s="1029"/>
      <c r="BW134" s="1029"/>
      <c r="BX134" s="1029"/>
      <c r="BY134" s="1029"/>
      <c r="BZ134" s="1029"/>
      <c r="CA134" s="1029"/>
      <c r="CB134" s="1029"/>
      <c r="CC134" s="1029"/>
      <c r="CD134" s="1029"/>
      <c r="CE134" s="1029"/>
      <c r="CF134" s="1029"/>
      <c r="CG134" s="1029"/>
      <c r="CH134" s="1029"/>
      <c r="CI134" s="1029"/>
      <c r="CJ134" s="1029"/>
      <c r="CK134" s="1029"/>
      <c r="CL134" s="1029"/>
      <c r="CM134" s="1029"/>
      <c r="CN134" s="1029"/>
      <c r="CO134" s="1029"/>
      <c r="CP134" s="1029"/>
      <c r="CQ134" s="1029"/>
      <c r="CR134" s="1029"/>
      <c r="CS134" s="1029"/>
      <c r="CT134" s="1029"/>
      <c r="CU134" s="1029"/>
      <c r="CV134" s="1029"/>
      <c r="CW134" s="1029"/>
      <c r="CX134" s="1029"/>
      <c r="CY134" s="1029"/>
      <c r="CZ134" s="1029"/>
      <c r="DA134" s="1029"/>
      <c r="DB134" s="1029"/>
      <c r="DC134" s="1029"/>
      <c r="DD134" s="1029"/>
      <c r="DE134" s="1029"/>
      <c r="DF134" s="1029"/>
      <c r="DG134" s="1029"/>
      <c r="DH134" s="1029"/>
      <c r="DI134" s="1029"/>
      <c r="DJ134" s="1029"/>
      <c r="DK134" s="1029"/>
      <c r="DL134" s="1029"/>
      <c r="DM134" s="1029"/>
      <c r="DN134" s="1029"/>
      <c r="DO134" s="1029"/>
      <c r="DP134" s="1029"/>
      <c r="DQ134" s="1029"/>
      <c r="DR134" s="1029"/>
      <c r="DS134" s="1029"/>
      <c r="DT134" s="1029"/>
      <c r="DU134" s="1029"/>
      <c r="DV134" s="1030"/>
    </row>
    <row r="135" spans="1:126" ht="16" thickBot="1">
      <c r="A135" s="1036"/>
      <c r="B135" s="1037"/>
      <c r="C135" s="1037"/>
      <c r="D135" s="1037"/>
      <c r="E135" s="1038"/>
      <c r="F135" s="1034" t="s">
        <v>668</v>
      </c>
      <c r="G135" s="1027"/>
      <c r="H135" s="1027"/>
      <c r="I135" s="1027"/>
      <c r="J135" s="1027"/>
      <c r="K135" s="1027"/>
      <c r="L135" s="1027"/>
      <c r="M135" s="1027"/>
      <c r="N135" s="1027"/>
      <c r="O135" s="1027"/>
      <c r="P135" s="1027"/>
      <c r="Q135" s="1027"/>
      <c r="R135" s="1035"/>
      <c r="S135" s="1027">
        <v>1</v>
      </c>
      <c r="T135" s="1027"/>
      <c r="U135" s="1027"/>
      <c r="V135" s="1027"/>
      <c r="W135" s="1027"/>
      <c r="X135" s="1027"/>
      <c r="Y135" s="1027"/>
      <c r="Z135" s="1027"/>
      <c r="AA135" s="1027"/>
      <c r="AB135" s="1027"/>
      <c r="AC135" s="1027"/>
      <c r="AD135" s="1027"/>
      <c r="AE135" s="1027"/>
      <c r="AF135" s="1027"/>
      <c r="AG135" s="1027"/>
      <c r="AH135" s="1027"/>
      <c r="AI135" s="1027"/>
      <c r="AJ135" s="1035"/>
      <c r="AK135" s="1034">
        <v>2</v>
      </c>
      <c r="AL135" s="1027"/>
      <c r="AM135" s="1027"/>
      <c r="AN135" s="1027"/>
      <c r="AO135" s="1027"/>
      <c r="AP135" s="1027"/>
      <c r="AQ135" s="1027"/>
      <c r="AR135" s="1027"/>
      <c r="AS135" s="1027"/>
      <c r="AT135" s="1027"/>
      <c r="AU135" s="1027"/>
      <c r="AV135" s="1027"/>
      <c r="AW135" s="1027"/>
      <c r="AX135" s="1027"/>
      <c r="AY135" s="1027"/>
      <c r="AZ135" s="1027"/>
      <c r="BA135" s="1027"/>
      <c r="BB135" s="1035"/>
      <c r="BC135" s="1027">
        <v>3</v>
      </c>
      <c r="BD135" s="1027"/>
      <c r="BE135" s="1027"/>
      <c r="BF135" s="1027"/>
      <c r="BG135" s="1027"/>
      <c r="BH135" s="1027"/>
      <c r="BI135" s="1027"/>
      <c r="BJ135" s="1027"/>
      <c r="BK135" s="1027"/>
      <c r="BL135" s="1027"/>
      <c r="BM135" s="1027"/>
      <c r="BN135" s="1027"/>
      <c r="BO135" s="1027"/>
      <c r="BP135" s="1027"/>
      <c r="BQ135" s="1027"/>
      <c r="BR135" s="1027"/>
      <c r="BS135" s="1027"/>
      <c r="BT135" s="1027"/>
      <c r="BU135" s="1034">
        <v>4</v>
      </c>
      <c r="BV135" s="1027"/>
      <c r="BW135" s="1027"/>
      <c r="BX135" s="1027"/>
      <c r="BY135" s="1027"/>
      <c r="BZ135" s="1027"/>
      <c r="CA135" s="1027"/>
      <c r="CB135" s="1027"/>
      <c r="CC135" s="1027"/>
      <c r="CD135" s="1027"/>
      <c r="CE135" s="1027"/>
      <c r="CF135" s="1027"/>
      <c r="CG135" s="1027"/>
      <c r="CH135" s="1027"/>
      <c r="CI135" s="1027"/>
      <c r="CJ135" s="1027"/>
      <c r="CK135" s="1027"/>
      <c r="CL135" s="1035"/>
      <c r="CM135" s="1027">
        <v>5</v>
      </c>
      <c r="CN135" s="1027"/>
      <c r="CO135" s="1027"/>
      <c r="CP135" s="1027"/>
      <c r="CQ135" s="1027"/>
      <c r="CR135" s="1027"/>
      <c r="CS135" s="1027"/>
      <c r="CT135" s="1027"/>
      <c r="CU135" s="1027"/>
      <c r="CV135" s="1027"/>
      <c r="CW135" s="1027"/>
      <c r="CX135" s="1027"/>
      <c r="CY135" s="1027"/>
      <c r="CZ135" s="1027"/>
      <c r="DA135" s="1027"/>
      <c r="DB135" s="1027"/>
      <c r="DC135" s="1027"/>
      <c r="DD135" s="1027"/>
      <c r="DE135" s="1034">
        <v>6</v>
      </c>
      <c r="DF135" s="1027"/>
      <c r="DG135" s="1027"/>
      <c r="DH135" s="1027"/>
      <c r="DI135" s="1027"/>
      <c r="DJ135" s="1027"/>
      <c r="DK135" s="1027"/>
      <c r="DL135" s="1027"/>
      <c r="DM135" s="1027"/>
      <c r="DN135" s="1027"/>
      <c r="DO135" s="1027"/>
      <c r="DP135" s="1027"/>
      <c r="DQ135" s="1027"/>
      <c r="DR135" s="1027"/>
      <c r="DS135" s="1027"/>
      <c r="DT135" s="1027"/>
      <c r="DU135" s="1027"/>
      <c r="DV135" s="1035"/>
    </row>
    <row r="136" spans="1:126" ht="16">
      <c r="A136" s="925">
        <v>2</v>
      </c>
      <c r="B136" s="926"/>
      <c r="C136" s="926"/>
      <c r="D136" s="926"/>
      <c r="E136" s="927"/>
      <c r="F136" s="1019" t="str">
        <f>"Sensors"&amp;IF('7-Sensors'!B33='7-Sensors'!S11,""," (CS-1)")</f>
        <v>Sensors</v>
      </c>
      <c r="G136" s="1020"/>
      <c r="H136" s="1020"/>
      <c r="I136" s="1020"/>
      <c r="J136" s="1020"/>
      <c r="K136" s="1020"/>
      <c r="L136" s="1020"/>
      <c r="M136" s="1020"/>
      <c r="N136" s="1020"/>
      <c r="O136" s="1020"/>
      <c r="P136" s="1020"/>
      <c r="Q136" s="1020"/>
      <c r="R136" s="1021"/>
      <c r="S136" s="901" t="s">
        <v>675</v>
      </c>
      <c r="T136" s="901"/>
      <c r="U136" s="901"/>
      <c r="V136" s="901"/>
      <c r="W136" s="901"/>
      <c r="X136" s="901"/>
      <c r="Y136" s="901"/>
      <c r="Z136" s="901"/>
      <c r="AA136" s="901"/>
      <c r="AB136" s="901"/>
      <c r="AC136" s="901"/>
      <c r="AD136" s="901"/>
      <c r="AE136" s="901"/>
      <c r="AF136" s="901"/>
      <c r="AG136" s="901"/>
      <c r="AH136" s="901"/>
      <c r="AI136" s="901"/>
      <c r="AJ136" s="902"/>
      <c r="AK136" s="900" t="s">
        <v>1427</v>
      </c>
      <c r="AL136" s="901"/>
      <c r="AM136" s="901"/>
      <c r="AN136" s="901"/>
      <c r="AO136" s="901"/>
      <c r="AP136" s="901"/>
      <c r="AQ136" s="901"/>
      <c r="AR136" s="901"/>
      <c r="AS136" s="901"/>
      <c r="AT136" s="901"/>
      <c r="AU136" s="901"/>
      <c r="AV136" s="901"/>
      <c r="AW136" s="901"/>
      <c r="AX136" s="901"/>
      <c r="AY136" s="901"/>
      <c r="AZ136" s="901"/>
      <c r="BA136" s="901"/>
      <c r="BB136" s="902"/>
      <c r="BC136" s="901" t="s">
        <v>1427</v>
      </c>
      <c r="BD136" s="901"/>
      <c r="BE136" s="901"/>
      <c r="BF136" s="901"/>
      <c r="BG136" s="901"/>
      <c r="BH136" s="901"/>
      <c r="BI136" s="901"/>
      <c r="BJ136" s="901"/>
      <c r="BK136" s="901"/>
      <c r="BL136" s="901"/>
      <c r="BM136" s="901"/>
      <c r="BN136" s="901"/>
      <c r="BO136" s="901"/>
      <c r="BP136" s="901"/>
      <c r="BQ136" s="901"/>
      <c r="BR136" s="901"/>
      <c r="BS136" s="901"/>
      <c r="BT136" s="901"/>
      <c r="BU136" s="900" t="s">
        <v>1427</v>
      </c>
      <c r="BV136" s="901"/>
      <c r="BW136" s="901"/>
      <c r="BX136" s="901"/>
      <c r="BY136" s="901"/>
      <c r="BZ136" s="901"/>
      <c r="CA136" s="901"/>
      <c r="CB136" s="901"/>
      <c r="CC136" s="901"/>
      <c r="CD136" s="901"/>
      <c r="CE136" s="901"/>
      <c r="CF136" s="901"/>
      <c r="CG136" s="901"/>
      <c r="CH136" s="901"/>
      <c r="CI136" s="901"/>
      <c r="CJ136" s="901"/>
      <c r="CK136" s="901"/>
      <c r="CL136" s="902"/>
      <c r="CM136" s="901" t="s">
        <v>1427</v>
      </c>
      <c r="CN136" s="901"/>
      <c r="CO136" s="901"/>
      <c r="CP136" s="901"/>
      <c r="CQ136" s="901"/>
      <c r="CR136" s="901"/>
      <c r="CS136" s="901"/>
      <c r="CT136" s="901"/>
      <c r="CU136" s="901"/>
      <c r="CV136" s="901"/>
      <c r="CW136" s="901"/>
      <c r="CX136" s="901"/>
      <c r="CY136" s="901"/>
      <c r="CZ136" s="901"/>
      <c r="DA136" s="901"/>
      <c r="DB136" s="901"/>
      <c r="DC136" s="901"/>
      <c r="DD136" s="901"/>
      <c r="DE136" s="900" t="s">
        <v>672</v>
      </c>
      <c r="DF136" s="901"/>
      <c r="DG136" s="901"/>
      <c r="DH136" s="901"/>
      <c r="DI136" s="901"/>
      <c r="DJ136" s="901"/>
      <c r="DK136" s="901"/>
      <c r="DL136" s="901"/>
      <c r="DM136" s="901"/>
      <c r="DN136" s="901"/>
      <c r="DO136" s="901"/>
      <c r="DP136" s="901"/>
      <c r="DQ136" s="901"/>
      <c r="DR136" s="901"/>
      <c r="DS136" s="901"/>
      <c r="DT136" s="901"/>
      <c r="DU136" s="901"/>
      <c r="DV136" s="902"/>
    </row>
    <row r="137" spans="1:126" ht="17" thickBot="1">
      <c r="A137" s="928"/>
      <c r="B137" s="929"/>
      <c r="C137" s="929"/>
      <c r="D137" s="929"/>
      <c r="E137" s="930"/>
      <c r="F137" s="1022"/>
      <c r="G137" s="1023"/>
      <c r="H137" s="1023"/>
      <c r="I137" s="1023"/>
      <c r="J137" s="1023"/>
      <c r="K137" s="1023"/>
      <c r="L137" s="1023"/>
      <c r="M137" s="1023"/>
      <c r="N137" s="1023"/>
      <c r="O137" s="1023"/>
      <c r="P137" s="1023"/>
      <c r="Q137" s="1023"/>
      <c r="R137" s="1024"/>
      <c r="S137" s="904"/>
      <c r="T137" s="904"/>
      <c r="U137" s="904"/>
      <c r="V137" s="904"/>
      <c r="W137" s="904"/>
      <c r="X137" s="904"/>
      <c r="Y137" s="904"/>
      <c r="Z137" s="904"/>
      <c r="AA137" s="904"/>
      <c r="AB137" s="904"/>
      <c r="AC137" s="904"/>
      <c r="AD137" s="904"/>
      <c r="AE137" s="904"/>
      <c r="AF137" s="904"/>
      <c r="AG137" s="904"/>
      <c r="AH137" s="904"/>
      <c r="AI137" s="904"/>
      <c r="AJ137" s="905"/>
      <c r="AK137" s="903" t="s">
        <v>328</v>
      </c>
      <c r="AL137" s="904"/>
      <c r="AM137" s="904"/>
      <c r="AN137" s="904"/>
      <c r="AO137" s="904"/>
      <c r="AP137" s="904"/>
      <c r="AQ137" s="904"/>
      <c r="AR137" s="904"/>
      <c r="AS137" s="904"/>
      <c r="AT137" s="904"/>
      <c r="AU137" s="904"/>
      <c r="AV137" s="904"/>
      <c r="AW137" s="904"/>
      <c r="AX137" s="904"/>
      <c r="AY137" s="904"/>
      <c r="AZ137" s="904"/>
      <c r="BA137" s="904"/>
      <c r="BB137" s="905"/>
      <c r="BC137" s="904" t="s">
        <v>1134</v>
      </c>
      <c r="BD137" s="904"/>
      <c r="BE137" s="904"/>
      <c r="BF137" s="904"/>
      <c r="BG137" s="904"/>
      <c r="BH137" s="904"/>
      <c r="BI137" s="904"/>
      <c r="BJ137" s="904"/>
      <c r="BK137" s="904"/>
      <c r="BL137" s="904"/>
      <c r="BM137" s="904"/>
      <c r="BN137" s="904"/>
      <c r="BO137" s="904"/>
      <c r="BP137" s="904"/>
      <c r="BQ137" s="904"/>
      <c r="BR137" s="904"/>
      <c r="BS137" s="904"/>
      <c r="BT137" s="904"/>
      <c r="BU137" s="903" t="s">
        <v>633</v>
      </c>
      <c r="BV137" s="904"/>
      <c r="BW137" s="904"/>
      <c r="BX137" s="904"/>
      <c r="BY137" s="904"/>
      <c r="BZ137" s="904"/>
      <c r="CA137" s="904"/>
      <c r="CB137" s="904"/>
      <c r="CC137" s="904"/>
      <c r="CD137" s="904"/>
      <c r="CE137" s="904"/>
      <c r="CF137" s="904"/>
      <c r="CG137" s="904"/>
      <c r="CH137" s="904"/>
      <c r="CI137" s="904"/>
      <c r="CJ137" s="904"/>
      <c r="CK137" s="904"/>
      <c r="CL137" s="905"/>
      <c r="CM137" s="904" t="s">
        <v>330</v>
      </c>
      <c r="CN137" s="904"/>
      <c r="CO137" s="904"/>
      <c r="CP137" s="904"/>
      <c r="CQ137" s="904"/>
      <c r="CR137" s="904"/>
      <c r="CS137" s="904"/>
      <c r="CT137" s="904"/>
      <c r="CU137" s="904"/>
      <c r="CV137" s="904"/>
      <c r="CW137" s="904"/>
      <c r="CX137" s="904"/>
      <c r="CY137" s="904"/>
      <c r="CZ137" s="904"/>
      <c r="DA137" s="904"/>
      <c r="DB137" s="904"/>
      <c r="DC137" s="904"/>
      <c r="DD137" s="904"/>
      <c r="DE137" s="903"/>
      <c r="DF137" s="904"/>
      <c r="DG137" s="904"/>
      <c r="DH137" s="904"/>
      <c r="DI137" s="904"/>
      <c r="DJ137" s="904"/>
      <c r="DK137" s="904"/>
      <c r="DL137" s="904"/>
      <c r="DM137" s="904"/>
      <c r="DN137" s="904"/>
      <c r="DO137" s="904"/>
      <c r="DP137" s="904"/>
      <c r="DQ137" s="904"/>
      <c r="DR137" s="904"/>
      <c r="DS137" s="904"/>
      <c r="DT137" s="904"/>
      <c r="DU137" s="904"/>
      <c r="DV137" s="905"/>
    </row>
    <row r="138" spans="1:126" ht="15.75" customHeight="1">
      <c r="A138" s="1013">
        <v>3</v>
      </c>
      <c r="B138" s="1014"/>
      <c r="C138" s="1014"/>
      <c r="D138" s="1014"/>
      <c r="E138" s="1015"/>
      <c r="F138" s="931" t="str">
        <f>"Pwr Plant"&amp;IF('3-Pwr Plant'!C16="No",""," (CS-1)")</f>
        <v>Pwr Plant</v>
      </c>
      <c r="G138" s="932"/>
      <c r="H138" s="932"/>
      <c r="I138" s="932"/>
      <c r="J138" s="932"/>
      <c r="K138" s="932"/>
      <c r="L138" s="932"/>
      <c r="M138" s="932"/>
      <c r="N138" s="932"/>
      <c r="O138" s="932"/>
      <c r="P138" s="932"/>
      <c r="Q138" s="932"/>
      <c r="R138" s="933"/>
      <c r="S138" s="906" t="s">
        <v>1423</v>
      </c>
      <c r="T138" s="907"/>
      <c r="U138" s="907"/>
      <c r="V138" s="907"/>
      <c r="W138" s="907"/>
      <c r="X138" s="907"/>
      <c r="Y138" s="907"/>
      <c r="Z138" s="907"/>
      <c r="AA138" s="907"/>
      <c r="AB138" s="907"/>
      <c r="AC138" s="907"/>
      <c r="AD138" s="907"/>
      <c r="AE138" s="907"/>
      <c r="AF138" s="907"/>
      <c r="AG138" s="907"/>
      <c r="AH138" s="907"/>
      <c r="AI138" s="907"/>
      <c r="AJ138" s="908"/>
      <c r="AK138" s="906" t="s">
        <v>1423</v>
      </c>
      <c r="AL138" s="907"/>
      <c r="AM138" s="907"/>
      <c r="AN138" s="907"/>
      <c r="AO138" s="907"/>
      <c r="AP138" s="907"/>
      <c r="AQ138" s="907"/>
      <c r="AR138" s="907"/>
      <c r="AS138" s="907"/>
      <c r="AT138" s="907"/>
      <c r="AU138" s="907"/>
      <c r="AV138" s="907"/>
      <c r="AW138" s="907"/>
      <c r="AX138" s="907"/>
      <c r="AY138" s="907"/>
      <c r="AZ138" s="907"/>
      <c r="BA138" s="907"/>
      <c r="BB138" s="908"/>
      <c r="BC138" s="906" t="s">
        <v>1424</v>
      </c>
      <c r="BD138" s="907"/>
      <c r="BE138" s="907"/>
      <c r="BF138" s="907"/>
      <c r="BG138" s="907"/>
      <c r="BH138" s="907"/>
      <c r="BI138" s="907"/>
      <c r="BJ138" s="907"/>
      <c r="BK138" s="907"/>
      <c r="BL138" s="907"/>
      <c r="BM138" s="907"/>
      <c r="BN138" s="907"/>
      <c r="BO138" s="907"/>
      <c r="BP138" s="907"/>
      <c r="BQ138" s="907"/>
      <c r="BR138" s="907"/>
      <c r="BS138" s="907"/>
      <c r="BT138" s="908"/>
      <c r="BU138" s="906" t="s">
        <v>1425</v>
      </c>
      <c r="BV138" s="907"/>
      <c r="BW138" s="907"/>
      <c r="BX138" s="907"/>
      <c r="BY138" s="907"/>
      <c r="BZ138" s="907"/>
      <c r="CA138" s="907"/>
      <c r="CB138" s="907"/>
      <c r="CC138" s="907"/>
      <c r="CD138" s="907"/>
      <c r="CE138" s="907"/>
      <c r="CF138" s="907"/>
      <c r="CG138" s="907"/>
      <c r="CH138" s="907"/>
      <c r="CI138" s="907"/>
      <c r="CJ138" s="907"/>
      <c r="CK138" s="907"/>
      <c r="CL138" s="908"/>
      <c r="CM138" s="906" t="s">
        <v>673</v>
      </c>
      <c r="CN138" s="907"/>
      <c r="CO138" s="907"/>
      <c r="CP138" s="907"/>
      <c r="CQ138" s="907"/>
      <c r="CR138" s="907"/>
      <c r="CS138" s="907"/>
      <c r="CT138" s="907"/>
      <c r="CU138" s="907"/>
      <c r="CV138" s="907"/>
      <c r="CW138" s="907"/>
      <c r="CX138" s="907"/>
      <c r="CY138" s="907"/>
      <c r="CZ138" s="907"/>
      <c r="DA138" s="907"/>
      <c r="DB138" s="907"/>
      <c r="DC138" s="907"/>
      <c r="DD138" s="908"/>
      <c r="DE138" s="906" t="s">
        <v>674</v>
      </c>
      <c r="DF138" s="907"/>
      <c r="DG138" s="907"/>
      <c r="DH138" s="907"/>
      <c r="DI138" s="907"/>
      <c r="DJ138" s="907"/>
      <c r="DK138" s="907"/>
      <c r="DL138" s="907"/>
      <c r="DM138" s="907"/>
      <c r="DN138" s="907"/>
      <c r="DO138" s="907"/>
      <c r="DP138" s="907"/>
      <c r="DQ138" s="907"/>
      <c r="DR138" s="907"/>
      <c r="DS138" s="907"/>
      <c r="DT138" s="907"/>
      <c r="DU138" s="907"/>
      <c r="DV138" s="908"/>
    </row>
    <row r="139" spans="1:126" ht="16" thickBot="1">
      <c r="A139" s="1016"/>
      <c r="B139" s="1017"/>
      <c r="C139" s="1017"/>
      <c r="D139" s="1017"/>
      <c r="E139" s="1018"/>
      <c r="F139" s="934"/>
      <c r="G139" s="935"/>
      <c r="H139" s="935"/>
      <c r="I139" s="935"/>
      <c r="J139" s="935"/>
      <c r="K139" s="935"/>
      <c r="L139" s="935"/>
      <c r="M139" s="935"/>
      <c r="N139" s="935"/>
      <c r="O139" s="935"/>
      <c r="P139" s="935"/>
      <c r="Q139" s="935"/>
      <c r="R139" s="936"/>
      <c r="S139" s="897"/>
      <c r="T139" s="898"/>
      <c r="U139" s="898"/>
      <c r="V139" s="898"/>
      <c r="W139" s="898"/>
      <c r="X139" s="898"/>
      <c r="Y139" s="898"/>
      <c r="Z139" s="898"/>
      <c r="AA139" s="898"/>
      <c r="AB139" s="898"/>
      <c r="AC139" s="898"/>
      <c r="AD139" s="898"/>
      <c r="AE139" s="898"/>
      <c r="AF139" s="898"/>
      <c r="AG139" s="898"/>
      <c r="AH139" s="898"/>
      <c r="AI139" s="898"/>
      <c r="AJ139" s="899"/>
      <c r="AK139" s="897"/>
      <c r="AL139" s="898"/>
      <c r="AM139" s="898"/>
      <c r="AN139" s="898"/>
      <c r="AO139" s="898"/>
      <c r="AP139" s="898"/>
      <c r="AQ139" s="898"/>
      <c r="AR139" s="898"/>
      <c r="AS139" s="898"/>
      <c r="AT139" s="898"/>
      <c r="AU139" s="898"/>
      <c r="AV139" s="898"/>
      <c r="AW139" s="898"/>
      <c r="AX139" s="898"/>
      <c r="AY139" s="898"/>
      <c r="AZ139" s="898"/>
      <c r="BA139" s="898"/>
      <c r="BB139" s="899"/>
      <c r="BC139" s="897"/>
      <c r="BD139" s="898"/>
      <c r="BE139" s="898"/>
      <c r="BF139" s="898"/>
      <c r="BG139" s="898"/>
      <c r="BH139" s="898"/>
      <c r="BI139" s="898"/>
      <c r="BJ139" s="898"/>
      <c r="BK139" s="898"/>
      <c r="BL139" s="898"/>
      <c r="BM139" s="898"/>
      <c r="BN139" s="898"/>
      <c r="BO139" s="898"/>
      <c r="BP139" s="898"/>
      <c r="BQ139" s="898"/>
      <c r="BR139" s="898"/>
      <c r="BS139" s="898"/>
      <c r="BT139" s="899"/>
      <c r="BU139" s="897"/>
      <c r="BV139" s="898"/>
      <c r="BW139" s="898"/>
      <c r="BX139" s="898"/>
      <c r="BY139" s="898"/>
      <c r="BZ139" s="898"/>
      <c r="CA139" s="898"/>
      <c r="CB139" s="898"/>
      <c r="CC139" s="898"/>
      <c r="CD139" s="898"/>
      <c r="CE139" s="898"/>
      <c r="CF139" s="898"/>
      <c r="CG139" s="898"/>
      <c r="CH139" s="898"/>
      <c r="CI139" s="898"/>
      <c r="CJ139" s="898"/>
      <c r="CK139" s="898"/>
      <c r="CL139" s="899"/>
      <c r="CM139" s="897"/>
      <c r="CN139" s="898"/>
      <c r="CO139" s="898"/>
      <c r="CP139" s="898"/>
      <c r="CQ139" s="898"/>
      <c r="CR139" s="898"/>
      <c r="CS139" s="898"/>
      <c r="CT139" s="898"/>
      <c r="CU139" s="898"/>
      <c r="CV139" s="898"/>
      <c r="CW139" s="898"/>
      <c r="CX139" s="898"/>
      <c r="CY139" s="898"/>
      <c r="CZ139" s="898"/>
      <c r="DA139" s="898"/>
      <c r="DB139" s="898"/>
      <c r="DC139" s="898"/>
      <c r="DD139" s="899"/>
      <c r="DE139" s="897"/>
      <c r="DF139" s="898"/>
      <c r="DG139" s="898"/>
      <c r="DH139" s="898"/>
      <c r="DI139" s="898"/>
      <c r="DJ139" s="898"/>
      <c r="DK139" s="898"/>
      <c r="DL139" s="898"/>
      <c r="DM139" s="898"/>
      <c r="DN139" s="898"/>
      <c r="DO139" s="898"/>
      <c r="DP139" s="898"/>
      <c r="DQ139" s="898"/>
      <c r="DR139" s="898"/>
      <c r="DS139" s="898"/>
      <c r="DT139" s="898"/>
      <c r="DU139" s="898"/>
      <c r="DV139" s="899"/>
    </row>
    <row r="140" spans="1:126" ht="16">
      <c r="A140" s="925">
        <v>4</v>
      </c>
      <c r="B140" s="926"/>
      <c r="C140" s="926"/>
      <c r="D140" s="926"/>
      <c r="E140" s="927"/>
      <c r="F140" s="989" t="str">
        <f>"Fuel"&amp;IF('4-Fuel'!C12='4-Fuel'!T8," (CS-1)","")</f>
        <v>Fuel</v>
      </c>
      <c r="G140" s="990"/>
      <c r="H140" s="990"/>
      <c r="I140" s="990"/>
      <c r="J140" s="990"/>
      <c r="K140" s="990"/>
      <c r="L140" s="990"/>
      <c r="M140" s="990"/>
      <c r="N140" s="990"/>
      <c r="O140" s="990"/>
      <c r="P140" s="990"/>
      <c r="Q140" s="990"/>
      <c r="R140" s="991"/>
      <c r="S140" s="901" t="s">
        <v>1684</v>
      </c>
      <c r="T140" s="901"/>
      <c r="U140" s="901"/>
      <c r="V140" s="901"/>
      <c r="W140" s="901"/>
      <c r="X140" s="901"/>
      <c r="Y140" s="901"/>
      <c r="Z140" s="901"/>
      <c r="AA140" s="901"/>
      <c r="AB140" s="901"/>
      <c r="AC140" s="901"/>
      <c r="AD140" s="901"/>
      <c r="AE140" s="901"/>
      <c r="AF140" s="901"/>
      <c r="AG140" s="901"/>
      <c r="AH140" s="901"/>
      <c r="AI140" s="901"/>
      <c r="AJ140" s="902"/>
      <c r="AK140" s="900" t="s">
        <v>1686</v>
      </c>
      <c r="AL140" s="901"/>
      <c r="AM140" s="901"/>
      <c r="AN140" s="901"/>
      <c r="AO140" s="901"/>
      <c r="AP140" s="901"/>
      <c r="AQ140" s="901"/>
      <c r="AR140" s="901"/>
      <c r="AS140" s="901"/>
      <c r="AT140" s="901"/>
      <c r="AU140" s="901"/>
      <c r="AV140" s="901"/>
      <c r="AW140" s="901"/>
      <c r="AX140" s="901"/>
      <c r="AY140" s="901"/>
      <c r="AZ140" s="901"/>
      <c r="BA140" s="901"/>
      <c r="BB140" s="902"/>
      <c r="BC140" s="900" t="s">
        <v>678</v>
      </c>
      <c r="BD140" s="901"/>
      <c r="BE140" s="901"/>
      <c r="BF140" s="901"/>
      <c r="BG140" s="901"/>
      <c r="BH140" s="901"/>
      <c r="BI140" s="901"/>
      <c r="BJ140" s="901"/>
      <c r="BK140" s="901"/>
      <c r="BL140" s="901"/>
      <c r="BM140" s="901"/>
      <c r="BN140" s="901"/>
      <c r="BO140" s="901"/>
      <c r="BP140" s="901"/>
      <c r="BQ140" s="901"/>
      <c r="BR140" s="901"/>
      <c r="BS140" s="901"/>
      <c r="BT140" s="902"/>
      <c r="BU140" s="900" t="s">
        <v>578</v>
      </c>
      <c r="BV140" s="901"/>
      <c r="BW140" s="901"/>
      <c r="BX140" s="901"/>
      <c r="BY140" s="901"/>
      <c r="BZ140" s="901"/>
      <c r="CA140" s="901"/>
      <c r="CB140" s="901"/>
      <c r="CC140" s="901"/>
      <c r="CD140" s="901"/>
      <c r="CE140" s="901"/>
      <c r="CF140" s="901"/>
      <c r="CG140" s="901"/>
      <c r="CH140" s="901"/>
      <c r="CI140" s="901"/>
      <c r="CJ140" s="901"/>
      <c r="CK140" s="901"/>
      <c r="CL140" s="902"/>
      <c r="CM140" s="900" t="s">
        <v>673</v>
      </c>
      <c r="CN140" s="901"/>
      <c r="CO140" s="901"/>
      <c r="CP140" s="901"/>
      <c r="CQ140" s="901"/>
      <c r="CR140" s="901"/>
      <c r="CS140" s="901"/>
      <c r="CT140" s="901"/>
      <c r="CU140" s="901"/>
      <c r="CV140" s="901"/>
      <c r="CW140" s="901"/>
      <c r="CX140" s="901"/>
      <c r="CY140" s="901"/>
      <c r="CZ140" s="901"/>
      <c r="DA140" s="901"/>
      <c r="DB140" s="901"/>
      <c r="DC140" s="901"/>
      <c r="DD140" s="902"/>
      <c r="DE140" s="900" t="s">
        <v>674</v>
      </c>
      <c r="DF140" s="901"/>
      <c r="DG140" s="901"/>
      <c r="DH140" s="901"/>
      <c r="DI140" s="901"/>
      <c r="DJ140" s="901"/>
      <c r="DK140" s="901"/>
      <c r="DL140" s="901"/>
      <c r="DM140" s="901"/>
      <c r="DN140" s="901"/>
      <c r="DO140" s="901"/>
      <c r="DP140" s="901"/>
      <c r="DQ140" s="901"/>
      <c r="DR140" s="901"/>
      <c r="DS140" s="901"/>
      <c r="DT140" s="901"/>
      <c r="DU140" s="901"/>
      <c r="DV140" s="902"/>
    </row>
    <row r="141" spans="1:126" ht="17" thickBot="1">
      <c r="A141" s="928"/>
      <c r="B141" s="929"/>
      <c r="C141" s="929"/>
      <c r="D141" s="929"/>
      <c r="E141" s="930"/>
      <c r="F141" s="992"/>
      <c r="G141" s="993"/>
      <c r="H141" s="993"/>
      <c r="I141" s="993"/>
      <c r="J141" s="993"/>
      <c r="K141" s="993"/>
      <c r="L141" s="993"/>
      <c r="M141" s="993"/>
      <c r="N141" s="993"/>
      <c r="O141" s="993"/>
      <c r="P141" s="993"/>
      <c r="Q141" s="993"/>
      <c r="R141" s="994"/>
      <c r="S141" s="904" t="s">
        <v>1685</v>
      </c>
      <c r="T141" s="904"/>
      <c r="U141" s="904"/>
      <c r="V141" s="904"/>
      <c r="W141" s="904"/>
      <c r="X141" s="904"/>
      <c r="Y141" s="904"/>
      <c r="Z141" s="904"/>
      <c r="AA141" s="904"/>
      <c r="AB141" s="904"/>
      <c r="AC141" s="904"/>
      <c r="AD141" s="904"/>
      <c r="AE141" s="904"/>
      <c r="AF141" s="904"/>
      <c r="AG141" s="904"/>
      <c r="AH141" s="904"/>
      <c r="AI141" s="904"/>
      <c r="AJ141" s="905"/>
      <c r="AK141" s="903" t="s">
        <v>1687</v>
      </c>
      <c r="AL141" s="904"/>
      <c r="AM141" s="904"/>
      <c r="AN141" s="904"/>
      <c r="AO141" s="904"/>
      <c r="AP141" s="904"/>
      <c r="AQ141" s="904"/>
      <c r="AR141" s="904"/>
      <c r="AS141" s="904"/>
      <c r="AT141" s="904"/>
      <c r="AU141" s="904"/>
      <c r="AV141" s="904"/>
      <c r="AW141" s="904"/>
      <c r="AX141" s="904"/>
      <c r="AY141" s="904"/>
      <c r="AZ141" s="904"/>
      <c r="BA141" s="904"/>
      <c r="BB141" s="905"/>
      <c r="BC141" s="903"/>
      <c r="BD141" s="904"/>
      <c r="BE141" s="904"/>
      <c r="BF141" s="904"/>
      <c r="BG141" s="904"/>
      <c r="BH141" s="904"/>
      <c r="BI141" s="904"/>
      <c r="BJ141" s="904"/>
      <c r="BK141" s="904"/>
      <c r="BL141" s="904"/>
      <c r="BM141" s="904"/>
      <c r="BN141" s="904"/>
      <c r="BO141" s="904"/>
      <c r="BP141" s="904"/>
      <c r="BQ141" s="904"/>
      <c r="BR141" s="904"/>
      <c r="BS141" s="904"/>
      <c r="BT141" s="905"/>
      <c r="BU141" s="903" t="s">
        <v>679</v>
      </c>
      <c r="BV141" s="904"/>
      <c r="BW141" s="904"/>
      <c r="BX141" s="904"/>
      <c r="BY141" s="904"/>
      <c r="BZ141" s="904"/>
      <c r="CA141" s="904"/>
      <c r="CB141" s="904"/>
      <c r="CC141" s="904"/>
      <c r="CD141" s="904"/>
      <c r="CE141" s="904"/>
      <c r="CF141" s="904"/>
      <c r="CG141" s="904"/>
      <c r="CH141" s="904"/>
      <c r="CI141" s="904"/>
      <c r="CJ141" s="904"/>
      <c r="CK141" s="904"/>
      <c r="CL141" s="905"/>
      <c r="CM141" s="903"/>
      <c r="CN141" s="904"/>
      <c r="CO141" s="904"/>
      <c r="CP141" s="904"/>
      <c r="CQ141" s="904"/>
      <c r="CR141" s="904"/>
      <c r="CS141" s="904"/>
      <c r="CT141" s="904"/>
      <c r="CU141" s="904"/>
      <c r="CV141" s="904"/>
      <c r="CW141" s="904"/>
      <c r="CX141" s="904"/>
      <c r="CY141" s="904"/>
      <c r="CZ141" s="904"/>
      <c r="DA141" s="904"/>
      <c r="DB141" s="904"/>
      <c r="DC141" s="904"/>
      <c r="DD141" s="905"/>
      <c r="DE141" s="903"/>
      <c r="DF141" s="904"/>
      <c r="DG141" s="904"/>
      <c r="DH141" s="904"/>
      <c r="DI141" s="904"/>
      <c r="DJ141" s="904"/>
      <c r="DK141" s="904"/>
      <c r="DL141" s="904"/>
      <c r="DM141" s="904"/>
      <c r="DN141" s="904"/>
      <c r="DO141" s="904"/>
      <c r="DP141" s="904"/>
      <c r="DQ141" s="904"/>
      <c r="DR141" s="904"/>
      <c r="DS141" s="904"/>
      <c r="DT141" s="904"/>
      <c r="DU141" s="904"/>
      <c r="DV141" s="905"/>
    </row>
    <row r="142" spans="1:126" ht="16">
      <c r="A142" s="1013">
        <v>5</v>
      </c>
      <c r="B142" s="1014"/>
      <c r="C142" s="1014"/>
      <c r="D142" s="1014"/>
      <c r="E142" s="1015"/>
      <c r="F142" s="995" t="str">
        <f>"Weapon*"</f>
        <v>Weapon*</v>
      </c>
      <c r="G142" s="996"/>
      <c r="H142" s="996"/>
      <c r="I142" s="996"/>
      <c r="J142" s="996"/>
      <c r="K142" s="996"/>
      <c r="L142" s="996"/>
      <c r="M142" s="996"/>
      <c r="N142" s="996"/>
      <c r="O142" s="996"/>
      <c r="P142" s="996"/>
      <c r="Q142" s="996"/>
      <c r="R142" s="997"/>
      <c r="S142" s="907" t="s">
        <v>1428</v>
      </c>
      <c r="T142" s="907"/>
      <c r="U142" s="907"/>
      <c r="V142" s="907"/>
      <c r="W142" s="907"/>
      <c r="X142" s="907"/>
      <c r="Y142" s="907"/>
      <c r="Z142" s="907"/>
      <c r="AA142" s="907"/>
      <c r="AB142" s="907"/>
      <c r="AC142" s="907"/>
      <c r="AD142" s="907"/>
      <c r="AE142" s="907"/>
      <c r="AF142" s="907"/>
      <c r="AG142" s="907"/>
      <c r="AH142" s="907"/>
      <c r="AI142" s="907"/>
      <c r="AJ142" s="908"/>
      <c r="AK142" s="906" t="s">
        <v>1428</v>
      </c>
      <c r="AL142" s="907"/>
      <c r="AM142" s="907"/>
      <c r="AN142" s="907"/>
      <c r="AO142" s="907"/>
      <c r="AP142" s="907"/>
      <c r="AQ142" s="907"/>
      <c r="AR142" s="907"/>
      <c r="AS142" s="907"/>
      <c r="AT142" s="907"/>
      <c r="AU142" s="907"/>
      <c r="AV142" s="907"/>
      <c r="AW142" s="907"/>
      <c r="AX142" s="907"/>
      <c r="AY142" s="907"/>
      <c r="AZ142" s="907"/>
      <c r="BA142" s="907"/>
      <c r="BB142" s="908"/>
      <c r="BC142" s="907" t="s">
        <v>1430</v>
      </c>
      <c r="BD142" s="907"/>
      <c r="BE142" s="907"/>
      <c r="BF142" s="907"/>
      <c r="BG142" s="907"/>
      <c r="BH142" s="907"/>
      <c r="BI142" s="907"/>
      <c r="BJ142" s="907"/>
      <c r="BK142" s="907"/>
      <c r="BL142" s="907"/>
      <c r="BM142" s="907"/>
      <c r="BN142" s="907"/>
      <c r="BO142" s="907"/>
      <c r="BP142" s="907"/>
      <c r="BQ142" s="907"/>
      <c r="BR142" s="907"/>
      <c r="BS142" s="907"/>
      <c r="BT142" s="907"/>
      <c r="BU142" s="906" t="s">
        <v>1431</v>
      </c>
      <c r="BV142" s="907"/>
      <c r="BW142" s="907"/>
      <c r="BX142" s="907"/>
      <c r="BY142" s="907"/>
      <c r="BZ142" s="907"/>
      <c r="CA142" s="907"/>
      <c r="CB142" s="907"/>
      <c r="CC142" s="907"/>
      <c r="CD142" s="907"/>
      <c r="CE142" s="907"/>
      <c r="CF142" s="907"/>
      <c r="CG142" s="907"/>
      <c r="CH142" s="907"/>
      <c r="CI142" s="907"/>
      <c r="CJ142" s="907"/>
      <c r="CK142" s="907"/>
      <c r="CL142" s="908"/>
      <c r="CM142" s="907" t="s">
        <v>1432</v>
      </c>
      <c r="CN142" s="907"/>
      <c r="CO142" s="907"/>
      <c r="CP142" s="907"/>
      <c r="CQ142" s="907"/>
      <c r="CR142" s="907"/>
      <c r="CS142" s="907"/>
      <c r="CT142" s="907"/>
      <c r="CU142" s="907"/>
      <c r="CV142" s="907"/>
      <c r="CW142" s="907"/>
      <c r="CX142" s="907"/>
      <c r="CY142" s="907"/>
      <c r="CZ142" s="907"/>
      <c r="DA142" s="907"/>
      <c r="DB142" s="907"/>
      <c r="DC142" s="907"/>
      <c r="DD142" s="907"/>
      <c r="DE142" s="906" t="s">
        <v>1433</v>
      </c>
      <c r="DF142" s="907"/>
      <c r="DG142" s="907"/>
      <c r="DH142" s="907"/>
      <c r="DI142" s="907"/>
      <c r="DJ142" s="907"/>
      <c r="DK142" s="907"/>
      <c r="DL142" s="907"/>
      <c r="DM142" s="907"/>
      <c r="DN142" s="907"/>
      <c r="DO142" s="907"/>
      <c r="DP142" s="907"/>
      <c r="DQ142" s="907"/>
      <c r="DR142" s="907"/>
      <c r="DS142" s="907"/>
      <c r="DT142" s="907"/>
      <c r="DU142" s="907"/>
      <c r="DV142" s="908"/>
    </row>
    <row r="143" spans="1:126" ht="17" thickBot="1">
      <c r="A143" s="1016"/>
      <c r="B143" s="1017"/>
      <c r="C143" s="1017"/>
      <c r="D143" s="1017"/>
      <c r="E143" s="1018"/>
      <c r="F143" s="998"/>
      <c r="G143" s="999"/>
      <c r="H143" s="999"/>
      <c r="I143" s="999"/>
      <c r="J143" s="999"/>
      <c r="K143" s="999"/>
      <c r="L143" s="999"/>
      <c r="M143" s="999"/>
      <c r="N143" s="999"/>
      <c r="O143" s="999"/>
      <c r="P143" s="999"/>
      <c r="Q143" s="999"/>
      <c r="R143" s="1000"/>
      <c r="S143" s="898" t="s">
        <v>1426</v>
      </c>
      <c r="T143" s="898"/>
      <c r="U143" s="898"/>
      <c r="V143" s="898"/>
      <c r="W143" s="898"/>
      <c r="X143" s="898"/>
      <c r="Y143" s="898"/>
      <c r="Z143" s="898"/>
      <c r="AA143" s="898"/>
      <c r="AB143" s="898"/>
      <c r="AC143" s="898"/>
      <c r="AD143" s="898"/>
      <c r="AE143" s="898"/>
      <c r="AF143" s="898"/>
      <c r="AG143" s="898"/>
      <c r="AH143" s="898"/>
      <c r="AI143" s="898"/>
      <c r="AJ143" s="899"/>
      <c r="AK143" s="897" t="s">
        <v>1429</v>
      </c>
      <c r="AL143" s="898"/>
      <c r="AM143" s="898"/>
      <c r="AN143" s="898"/>
      <c r="AO143" s="898"/>
      <c r="AP143" s="898"/>
      <c r="AQ143" s="898"/>
      <c r="AR143" s="898"/>
      <c r="AS143" s="898"/>
      <c r="AT143" s="898"/>
      <c r="AU143" s="898"/>
      <c r="AV143" s="898"/>
      <c r="AW143" s="898"/>
      <c r="AX143" s="898"/>
      <c r="AY143" s="898"/>
      <c r="AZ143" s="898"/>
      <c r="BA143" s="898"/>
      <c r="BB143" s="899"/>
      <c r="BC143" s="898" t="s">
        <v>679</v>
      </c>
      <c r="BD143" s="898"/>
      <c r="BE143" s="898"/>
      <c r="BF143" s="898"/>
      <c r="BG143" s="898"/>
      <c r="BH143" s="898"/>
      <c r="BI143" s="898"/>
      <c r="BJ143" s="898"/>
      <c r="BK143" s="898"/>
      <c r="BL143" s="898"/>
      <c r="BM143" s="898"/>
      <c r="BN143" s="898"/>
      <c r="BO143" s="898"/>
      <c r="BP143" s="898"/>
      <c r="BQ143" s="898"/>
      <c r="BR143" s="898"/>
      <c r="BS143" s="898"/>
      <c r="BT143" s="898"/>
      <c r="BU143" s="897" t="s">
        <v>673</v>
      </c>
      <c r="BV143" s="898"/>
      <c r="BW143" s="898"/>
      <c r="BX143" s="898"/>
      <c r="BY143" s="898"/>
      <c r="BZ143" s="898"/>
      <c r="CA143" s="898"/>
      <c r="CB143" s="898"/>
      <c r="CC143" s="898"/>
      <c r="CD143" s="898"/>
      <c r="CE143" s="898"/>
      <c r="CF143" s="898"/>
      <c r="CG143" s="898"/>
      <c r="CH143" s="898"/>
      <c r="CI143" s="898"/>
      <c r="CJ143" s="898"/>
      <c r="CK143" s="898"/>
      <c r="CL143" s="899"/>
      <c r="CM143" s="898" t="s">
        <v>673</v>
      </c>
      <c r="CN143" s="898"/>
      <c r="CO143" s="898"/>
      <c r="CP143" s="898"/>
      <c r="CQ143" s="898"/>
      <c r="CR143" s="898"/>
      <c r="CS143" s="898"/>
      <c r="CT143" s="898"/>
      <c r="CU143" s="898"/>
      <c r="CV143" s="898"/>
      <c r="CW143" s="898"/>
      <c r="CX143" s="898"/>
      <c r="CY143" s="898"/>
      <c r="CZ143" s="898"/>
      <c r="DA143" s="898"/>
      <c r="DB143" s="898"/>
      <c r="DC143" s="898"/>
      <c r="DD143" s="898"/>
      <c r="DE143" s="897" t="s">
        <v>673</v>
      </c>
      <c r="DF143" s="898"/>
      <c r="DG143" s="898"/>
      <c r="DH143" s="898"/>
      <c r="DI143" s="898"/>
      <c r="DJ143" s="898"/>
      <c r="DK143" s="898"/>
      <c r="DL143" s="898"/>
      <c r="DM143" s="898"/>
      <c r="DN143" s="898"/>
      <c r="DO143" s="898"/>
      <c r="DP143" s="898"/>
      <c r="DQ143" s="898"/>
      <c r="DR143" s="898"/>
      <c r="DS143" s="898"/>
      <c r="DT143" s="898"/>
      <c r="DU143" s="898"/>
      <c r="DV143" s="899"/>
    </row>
    <row r="144" spans="1:126" ht="16">
      <c r="A144" s="925">
        <v>6</v>
      </c>
      <c r="B144" s="926"/>
      <c r="C144" s="926"/>
      <c r="D144" s="926"/>
      <c r="E144" s="927"/>
      <c r="F144" s="1019" t="s">
        <v>577</v>
      </c>
      <c r="G144" s="1020"/>
      <c r="H144" s="1020"/>
      <c r="I144" s="1020"/>
      <c r="J144" s="1020"/>
      <c r="K144" s="1020"/>
      <c r="L144" s="1020"/>
      <c r="M144" s="1020"/>
      <c r="N144" s="1020"/>
      <c r="O144" s="1020"/>
      <c r="P144" s="1020"/>
      <c r="Q144" s="1020"/>
      <c r="R144" s="1021"/>
      <c r="S144" s="901" t="s">
        <v>680</v>
      </c>
      <c r="T144" s="901"/>
      <c r="U144" s="901"/>
      <c r="V144" s="901"/>
      <c r="W144" s="901"/>
      <c r="X144" s="901"/>
      <c r="Y144" s="901"/>
      <c r="Z144" s="901"/>
      <c r="AA144" s="901"/>
      <c r="AB144" s="901"/>
      <c r="AC144" s="901"/>
      <c r="AD144" s="901"/>
      <c r="AE144" s="901"/>
      <c r="AF144" s="901"/>
      <c r="AG144" s="901"/>
      <c r="AH144" s="901"/>
      <c r="AI144" s="901"/>
      <c r="AJ144" s="902"/>
      <c r="AK144" s="900" t="s">
        <v>681</v>
      </c>
      <c r="AL144" s="901"/>
      <c r="AM144" s="901"/>
      <c r="AN144" s="901"/>
      <c r="AO144" s="901"/>
      <c r="AP144" s="901"/>
      <c r="AQ144" s="901"/>
      <c r="AR144" s="901"/>
      <c r="AS144" s="901"/>
      <c r="AT144" s="901"/>
      <c r="AU144" s="901"/>
      <c r="AV144" s="901"/>
      <c r="AW144" s="901"/>
      <c r="AX144" s="901"/>
      <c r="AY144" s="901"/>
      <c r="AZ144" s="901"/>
      <c r="BA144" s="901"/>
      <c r="BB144" s="902"/>
      <c r="BC144" s="900" t="s">
        <v>682</v>
      </c>
      <c r="BD144" s="901"/>
      <c r="BE144" s="901"/>
      <c r="BF144" s="901"/>
      <c r="BG144" s="901"/>
      <c r="BH144" s="901"/>
      <c r="BI144" s="901"/>
      <c r="BJ144" s="901"/>
      <c r="BK144" s="901"/>
      <c r="BL144" s="901"/>
      <c r="BM144" s="901"/>
      <c r="BN144" s="901"/>
      <c r="BO144" s="901"/>
      <c r="BP144" s="901"/>
      <c r="BQ144" s="901"/>
      <c r="BR144" s="901"/>
      <c r="BS144" s="901"/>
      <c r="BT144" s="902"/>
      <c r="BU144" s="900" t="s">
        <v>682</v>
      </c>
      <c r="BV144" s="901"/>
      <c r="BW144" s="901"/>
      <c r="BX144" s="901"/>
      <c r="BY144" s="901"/>
      <c r="BZ144" s="901"/>
      <c r="CA144" s="901"/>
      <c r="CB144" s="901"/>
      <c r="CC144" s="901"/>
      <c r="CD144" s="901"/>
      <c r="CE144" s="901"/>
      <c r="CF144" s="901"/>
      <c r="CG144" s="901"/>
      <c r="CH144" s="901"/>
      <c r="CI144" s="901"/>
      <c r="CJ144" s="901"/>
      <c r="CK144" s="901"/>
      <c r="CL144" s="902"/>
      <c r="CM144" s="901" t="s">
        <v>1434</v>
      </c>
      <c r="CN144" s="901"/>
      <c r="CO144" s="901"/>
      <c r="CP144" s="901"/>
      <c r="CQ144" s="901"/>
      <c r="CR144" s="901"/>
      <c r="CS144" s="901"/>
      <c r="CT144" s="901"/>
      <c r="CU144" s="901"/>
      <c r="CV144" s="901"/>
      <c r="CW144" s="901"/>
      <c r="CX144" s="901"/>
      <c r="CY144" s="901"/>
      <c r="CZ144" s="901"/>
      <c r="DA144" s="901"/>
      <c r="DB144" s="901"/>
      <c r="DC144" s="901"/>
      <c r="DD144" s="901"/>
      <c r="DE144" s="900" t="s">
        <v>1434</v>
      </c>
      <c r="DF144" s="901"/>
      <c r="DG144" s="901"/>
      <c r="DH144" s="901"/>
      <c r="DI144" s="901"/>
      <c r="DJ144" s="901"/>
      <c r="DK144" s="901"/>
      <c r="DL144" s="901"/>
      <c r="DM144" s="901"/>
      <c r="DN144" s="901"/>
      <c r="DO144" s="901"/>
      <c r="DP144" s="901"/>
      <c r="DQ144" s="901"/>
      <c r="DR144" s="901"/>
      <c r="DS144" s="901"/>
      <c r="DT144" s="901"/>
      <c r="DU144" s="901"/>
      <c r="DV144" s="902"/>
    </row>
    <row r="145" spans="1:126" ht="17" thickBot="1">
      <c r="A145" s="928"/>
      <c r="B145" s="929"/>
      <c r="C145" s="929"/>
      <c r="D145" s="929"/>
      <c r="E145" s="930"/>
      <c r="F145" s="1022"/>
      <c r="G145" s="1023"/>
      <c r="H145" s="1023"/>
      <c r="I145" s="1023"/>
      <c r="J145" s="1023"/>
      <c r="K145" s="1023"/>
      <c r="L145" s="1023"/>
      <c r="M145" s="1023"/>
      <c r="N145" s="1023"/>
      <c r="O145" s="1023"/>
      <c r="P145" s="1023"/>
      <c r="Q145" s="1023"/>
      <c r="R145" s="1024"/>
      <c r="S145" s="904"/>
      <c r="T145" s="904"/>
      <c r="U145" s="904"/>
      <c r="V145" s="904"/>
      <c r="W145" s="904"/>
      <c r="X145" s="904"/>
      <c r="Y145" s="904"/>
      <c r="Z145" s="904"/>
      <c r="AA145" s="904"/>
      <c r="AB145" s="904"/>
      <c r="AC145" s="904"/>
      <c r="AD145" s="904"/>
      <c r="AE145" s="904"/>
      <c r="AF145" s="904"/>
      <c r="AG145" s="904"/>
      <c r="AH145" s="904"/>
      <c r="AI145" s="904"/>
      <c r="AJ145" s="905"/>
      <c r="AK145" s="903"/>
      <c r="AL145" s="904"/>
      <c r="AM145" s="904"/>
      <c r="AN145" s="904"/>
      <c r="AO145" s="904"/>
      <c r="AP145" s="904"/>
      <c r="AQ145" s="904"/>
      <c r="AR145" s="904"/>
      <c r="AS145" s="904"/>
      <c r="AT145" s="904"/>
      <c r="AU145" s="904"/>
      <c r="AV145" s="904"/>
      <c r="AW145" s="904"/>
      <c r="AX145" s="904"/>
      <c r="AY145" s="904"/>
      <c r="AZ145" s="904"/>
      <c r="BA145" s="904"/>
      <c r="BB145" s="905"/>
      <c r="BC145" s="903"/>
      <c r="BD145" s="904"/>
      <c r="BE145" s="904"/>
      <c r="BF145" s="904"/>
      <c r="BG145" s="904"/>
      <c r="BH145" s="904"/>
      <c r="BI145" s="904"/>
      <c r="BJ145" s="904"/>
      <c r="BK145" s="904"/>
      <c r="BL145" s="904"/>
      <c r="BM145" s="904"/>
      <c r="BN145" s="904"/>
      <c r="BO145" s="904"/>
      <c r="BP145" s="904"/>
      <c r="BQ145" s="904"/>
      <c r="BR145" s="904"/>
      <c r="BS145" s="904"/>
      <c r="BT145" s="905"/>
      <c r="BU145" s="903"/>
      <c r="BV145" s="904"/>
      <c r="BW145" s="904"/>
      <c r="BX145" s="904"/>
      <c r="BY145" s="904"/>
      <c r="BZ145" s="904"/>
      <c r="CA145" s="904"/>
      <c r="CB145" s="904"/>
      <c r="CC145" s="904"/>
      <c r="CD145" s="904"/>
      <c r="CE145" s="904"/>
      <c r="CF145" s="904"/>
      <c r="CG145" s="904"/>
      <c r="CH145" s="904"/>
      <c r="CI145" s="904"/>
      <c r="CJ145" s="904"/>
      <c r="CK145" s="904"/>
      <c r="CL145" s="905"/>
      <c r="CM145" s="904" t="s">
        <v>673</v>
      </c>
      <c r="CN145" s="904"/>
      <c r="CO145" s="904"/>
      <c r="CP145" s="904"/>
      <c r="CQ145" s="904"/>
      <c r="CR145" s="904"/>
      <c r="CS145" s="904"/>
      <c r="CT145" s="904"/>
      <c r="CU145" s="904"/>
      <c r="CV145" s="904"/>
      <c r="CW145" s="904"/>
      <c r="CX145" s="904"/>
      <c r="CY145" s="904"/>
      <c r="CZ145" s="904"/>
      <c r="DA145" s="904"/>
      <c r="DB145" s="904"/>
      <c r="DC145" s="904"/>
      <c r="DD145" s="904"/>
      <c r="DE145" s="903" t="s">
        <v>673</v>
      </c>
      <c r="DF145" s="904"/>
      <c r="DG145" s="904"/>
      <c r="DH145" s="904"/>
      <c r="DI145" s="904"/>
      <c r="DJ145" s="904"/>
      <c r="DK145" s="904"/>
      <c r="DL145" s="904"/>
      <c r="DM145" s="904"/>
      <c r="DN145" s="904"/>
      <c r="DO145" s="904"/>
      <c r="DP145" s="904"/>
      <c r="DQ145" s="904"/>
      <c r="DR145" s="904"/>
      <c r="DS145" s="904"/>
      <c r="DT145" s="904"/>
      <c r="DU145" s="904"/>
      <c r="DV145" s="905"/>
    </row>
    <row r="146" spans="1:126" ht="16">
      <c r="A146" s="1013">
        <v>7</v>
      </c>
      <c r="B146" s="1014"/>
      <c r="C146" s="1014"/>
      <c r="D146" s="1014"/>
      <c r="E146" s="1015"/>
      <c r="F146" s="931" t="s">
        <v>574</v>
      </c>
      <c r="G146" s="932"/>
      <c r="H146" s="932"/>
      <c r="I146" s="932"/>
      <c r="J146" s="932"/>
      <c r="K146" s="932"/>
      <c r="L146" s="932"/>
      <c r="M146" s="932"/>
      <c r="N146" s="932"/>
      <c r="O146" s="932"/>
      <c r="P146" s="932"/>
      <c r="Q146" s="932"/>
      <c r="R146" s="933"/>
      <c r="S146" s="907" t="s">
        <v>683</v>
      </c>
      <c r="T146" s="907"/>
      <c r="U146" s="907"/>
      <c r="V146" s="907"/>
      <c r="W146" s="907"/>
      <c r="X146" s="907"/>
      <c r="Y146" s="907"/>
      <c r="Z146" s="907"/>
      <c r="AA146" s="907"/>
      <c r="AB146" s="907"/>
      <c r="AC146" s="907"/>
      <c r="AD146" s="907"/>
      <c r="AE146" s="907"/>
      <c r="AF146" s="907"/>
      <c r="AG146" s="907"/>
      <c r="AH146" s="907"/>
      <c r="AI146" s="907"/>
      <c r="AJ146" s="908"/>
      <c r="AK146" s="906" t="s">
        <v>684</v>
      </c>
      <c r="AL146" s="907"/>
      <c r="AM146" s="907"/>
      <c r="AN146" s="907"/>
      <c r="AO146" s="907"/>
      <c r="AP146" s="907"/>
      <c r="AQ146" s="907"/>
      <c r="AR146" s="907"/>
      <c r="AS146" s="907"/>
      <c r="AT146" s="907"/>
      <c r="AU146" s="907"/>
      <c r="AV146" s="907"/>
      <c r="AW146" s="907"/>
      <c r="AX146" s="907"/>
      <c r="AY146" s="907"/>
      <c r="AZ146" s="907"/>
      <c r="BA146" s="907"/>
      <c r="BB146" s="908"/>
      <c r="BC146" s="907" t="s">
        <v>685</v>
      </c>
      <c r="BD146" s="907"/>
      <c r="BE146" s="907"/>
      <c r="BF146" s="907"/>
      <c r="BG146" s="907"/>
      <c r="BH146" s="907"/>
      <c r="BI146" s="907"/>
      <c r="BJ146" s="907"/>
      <c r="BK146" s="907"/>
      <c r="BL146" s="907"/>
      <c r="BM146" s="907"/>
      <c r="BN146" s="907"/>
      <c r="BO146" s="907"/>
      <c r="BP146" s="907"/>
      <c r="BQ146" s="907"/>
      <c r="BR146" s="907"/>
      <c r="BS146" s="907"/>
      <c r="BT146" s="907"/>
      <c r="BU146" s="906" t="s">
        <v>686</v>
      </c>
      <c r="BV146" s="907"/>
      <c r="BW146" s="907"/>
      <c r="BX146" s="907"/>
      <c r="BY146" s="907"/>
      <c r="BZ146" s="907"/>
      <c r="CA146" s="907"/>
      <c r="CB146" s="907"/>
      <c r="CC146" s="907"/>
      <c r="CD146" s="907"/>
      <c r="CE146" s="907"/>
      <c r="CF146" s="907"/>
      <c r="CG146" s="907"/>
      <c r="CH146" s="907"/>
      <c r="CI146" s="907"/>
      <c r="CJ146" s="907"/>
      <c r="CK146" s="907"/>
      <c r="CL146" s="908"/>
      <c r="CM146" s="907" t="s">
        <v>687</v>
      </c>
      <c r="CN146" s="907"/>
      <c r="CO146" s="907"/>
      <c r="CP146" s="907"/>
      <c r="CQ146" s="907"/>
      <c r="CR146" s="907"/>
      <c r="CS146" s="907"/>
      <c r="CT146" s="907"/>
      <c r="CU146" s="907"/>
      <c r="CV146" s="907"/>
      <c r="CW146" s="907"/>
      <c r="CX146" s="907"/>
      <c r="CY146" s="907"/>
      <c r="CZ146" s="907"/>
      <c r="DA146" s="907"/>
      <c r="DB146" s="907"/>
      <c r="DC146" s="907"/>
      <c r="DD146" s="907"/>
      <c r="DE146" s="906" t="s">
        <v>688</v>
      </c>
      <c r="DF146" s="907"/>
      <c r="DG146" s="907"/>
      <c r="DH146" s="907"/>
      <c r="DI146" s="907"/>
      <c r="DJ146" s="907"/>
      <c r="DK146" s="907"/>
      <c r="DL146" s="907"/>
      <c r="DM146" s="907"/>
      <c r="DN146" s="907"/>
      <c r="DO146" s="907"/>
      <c r="DP146" s="907"/>
      <c r="DQ146" s="907"/>
      <c r="DR146" s="907"/>
      <c r="DS146" s="907"/>
      <c r="DT146" s="907"/>
      <c r="DU146" s="907"/>
      <c r="DV146" s="908"/>
    </row>
    <row r="147" spans="1:126" ht="17" thickBot="1">
      <c r="A147" s="1016"/>
      <c r="B147" s="1017"/>
      <c r="C147" s="1017"/>
      <c r="D147" s="1017"/>
      <c r="E147" s="1018"/>
      <c r="F147" s="934"/>
      <c r="G147" s="935"/>
      <c r="H147" s="935"/>
      <c r="I147" s="935"/>
      <c r="J147" s="935"/>
      <c r="K147" s="935"/>
      <c r="L147" s="935"/>
      <c r="M147" s="935"/>
      <c r="N147" s="935"/>
      <c r="O147" s="935"/>
      <c r="P147" s="935"/>
      <c r="Q147" s="935"/>
      <c r="R147" s="936"/>
      <c r="S147" s="898"/>
      <c r="T147" s="898"/>
      <c r="U147" s="898"/>
      <c r="V147" s="898"/>
      <c r="W147" s="898"/>
      <c r="X147" s="898"/>
      <c r="Y147" s="898"/>
      <c r="Z147" s="898"/>
      <c r="AA147" s="898"/>
      <c r="AB147" s="898"/>
      <c r="AC147" s="898"/>
      <c r="AD147" s="898"/>
      <c r="AE147" s="898"/>
      <c r="AF147" s="898"/>
      <c r="AG147" s="898"/>
      <c r="AH147" s="898"/>
      <c r="AI147" s="898"/>
      <c r="AJ147" s="899"/>
      <c r="AK147" s="897"/>
      <c r="AL147" s="898"/>
      <c r="AM147" s="898"/>
      <c r="AN147" s="898"/>
      <c r="AO147" s="898"/>
      <c r="AP147" s="898"/>
      <c r="AQ147" s="898"/>
      <c r="AR147" s="898"/>
      <c r="AS147" s="898"/>
      <c r="AT147" s="898"/>
      <c r="AU147" s="898"/>
      <c r="AV147" s="898"/>
      <c r="AW147" s="898"/>
      <c r="AX147" s="898"/>
      <c r="AY147" s="898"/>
      <c r="AZ147" s="898"/>
      <c r="BA147" s="898"/>
      <c r="BB147" s="899"/>
      <c r="BC147" s="898"/>
      <c r="BD147" s="898"/>
      <c r="BE147" s="898"/>
      <c r="BF147" s="898"/>
      <c r="BG147" s="898"/>
      <c r="BH147" s="898"/>
      <c r="BI147" s="898"/>
      <c r="BJ147" s="898"/>
      <c r="BK147" s="898"/>
      <c r="BL147" s="898"/>
      <c r="BM147" s="898"/>
      <c r="BN147" s="898"/>
      <c r="BO147" s="898"/>
      <c r="BP147" s="898"/>
      <c r="BQ147" s="898"/>
      <c r="BR147" s="898"/>
      <c r="BS147" s="898"/>
      <c r="BT147" s="898"/>
      <c r="BU147" s="897"/>
      <c r="BV147" s="898"/>
      <c r="BW147" s="898"/>
      <c r="BX147" s="898"/>
      <c r="BY147" s="898"/>
      <c r="BZ147" s="898"/>
      <c r="CA147" s="898"/>
      <c r="CB147" s="898"/>
      <c r="CC147" s="898"/>
      <c r="CD147" s="898"/>
      <c r="CE147" s="898"/>
      <c r="CF147" s="898"/>
      <c r="CG147" s="898"/>
      <c r="CH147" s="898"/>
      <c r="CI147" s="898"/>
      <c r="CJ147" s="898"/>
      <c r="CK147" s="898"/>
      <c r="CL147" s="899"/>
      <c r="CM147" s="898"/>
      <c r="CN147" s="898"/>
      <c r="CO147" s="898"/>
      <c r="CP147" s="898"/>
      <c r="CQ147" s="898"/>
      <c r="CR147" s="898"/>
      <c r="CS147" s="898"/>
      <c r="CT147" s="898"/>
      <c r="CU147" s="898"/>
      <c r="CV147" s="898"/>
      <c r="CW147" s="898"/>
      <c r="CX147" s="898"/>
      <c r="CY147" s="898"/>
      <c r="CZ147" s="898"/>
      <c r="DA147" s="898"/>
      <c r="DB147" s="898"/>
      <c r="DC147" s="898"/>
      <c r="DD147" s="898"/>
      <c r="DE147" s="897"/>
      <c r="DF147" s="898"/>
      <c r="DG147" s="898"/>
      <c r="DH147" s="898"/>
      <c r="DI147" s="898"/>
      <c r="DJ147" s="898"/>
      <c r="DK147" s="898"/>
      <c r="DL147" s="898"/>
      <c r="DM147" s="898"/>
      <c r="DN147" s="898"/>
      <c r="DO147" s="898"/>
      <c r="DP147" s="898"/>
      <c r="DQ147" s="898"/>
      <c r="DR147" s="898"/>
      <c r="DS147" s="898"/>
      <c r="DT147" s="898"/>
      <c r="DU147" s="898"/>
      <c r="DV147" s="899"/>
    </row>
    <row r="148" spans="1:126" ht="16">
      <c r="A148" s="925">
        <v>8</v>
      </c>
      <c r="B148" s="926"/>
      <c r="C148" s="926"/>
      <c r="D148" s="926"/>
      <c r="E148" s="927"/>
      <c r="F148" s="989" t="str">
        <f>"M-Drive"&amp;IF('2-Drives'!C13="No",""," (CS-1)")</f>
        <v>M-Drive</v>
      </c>
      <c r="G148" s="990"/>
      <c r="H148" s="990"/>
      <c r="I148" s="990"/>
      <c r="J148" s="990"/>
      <c r="K148" s="990"/>
      <c r="L148" s="990"/>
      <c r="M148" s="990"/>
      <c r="N148" s="990"/>
      <c r="O148" s="990"/>
      <c r="P148" s="990"/>
      <c r="Q148" s="990"/>
      <c r="R148" s="991"/>
      <c r="S148" s="900" t="s">
        <v>689</v>
      </c>
      <c r="T148" s="901"/>
      <c r="U148" s="901"/>
      <c r="V148" s="901"/>
      <c r="W148" s="901"/>
      <c r="X148" s="901"/>
      <c r="Y148" s="901"/>
      <c r="Z148" s="901"/>
      <c r="AA148" s="901"/>
      <c r="AB148" s="901"/>
      <c r="AC148" s="901"/>
      <c r="AD148" s="901"/>
      <c r="AE148" s="901"/>
      <c r="AF148" s="901"/>
      <c r="AG148" s="901"/>
      <c r="AH148" s="901"/>
      <c r="AI148" s="901"/>
      <c r="AJ148" s="902"/>
      <c r="AK148" s="900" t="s">
        <v>1681</v>
      </c>
      <c r="AL148" s="901"/>
      <c r="AM148" s="901"/>
      <c r="AN148" s="901"/>
      <c r="AO148" s="901"/>
      <c r="AP148" s="901"/>
      <c r="AQ148" s="901"/>
      <c r="AR148" s="901"/>
      <c r="AS148" s="901"/>
      <c r="AT148" s="901"/>
      <c r="AU148" s="901"/>
      <c r="AV148" s="901"/>
      <c r="AW148" s="901"/>
      <c r="AX148" s="901"/>
      <c r="AY148" s="901"/>
      <c r="AZ148" s="901"/>
      <c r="BA148" s="901"/>
      <c r="BB148" s="902"/>
      <c r="BC148" s="901" t="s">
        <v>1682</v>
      </c>
      <c r="BD148" s="901"/>
      <c r="BE148" s="901"/>
      <c r="BF148" s="901"/>
      <c r="BG148" s="901"/>
      <c r="BH148" s="901"/>
      <c r="BI148" s="901"/>
      <c r="BJ148" s="901"/>
      <c r="BK148" s="901"/>
      <c r="BL148" s="901"/>
      <c r="BM148" s="901"/>
      <c r="BN148" s="901"/>
      <c r="BO148" s="901"/>
      <c r="BP148" s="901"/>
      <c r="BQ148" s="901"/>
      <c r="BR148" s="901"/>
      <c r="BS148" s="901"/>
      <c r="BT148" s="901"/>
      <c r="BU148" s="900" t="s">
        <v>1683</v>
      </c>
      <c r="BV148" s="901"/>
      <c r="BW148" s="901"/>
      <c r="BX148" s="901"/>
      <c r="BY148" s="901"/>
      <c r="BZ148" s="901"/>
      <c r="CA148" s="901"/>
      <c r="CB148" s="901"/>
      <c r="CC148" s="901"/>
      <c r="CD148" s="901"/>
      <c r="CE148" s="901"/>
      <c r="CF148" s="901"/>
      <c r="CG148" s="901"/>
      <c r="CH148" s="901"/>
      <c r="CI148" s="901"/>
      <c r="CJ148" s="901"/>
      <c r="CK148" s="901"/>
      <c r="CL148" s="902"/>
      <c r="CM148" s="900" t="s">
        <v>693</v>
      </c>
      <c r="CN148" s="901"/>
      <c r="CO148" s="901"/>
      <c r="CP148" s="901"/>
      <c r="CQ148" s="901"/>
      <c r="CR148" s="901"/>
      <c r="CS148" s="901"/>
      <c r="CT148" s="901"/>
      <c r="CU148" s="901"/>
      <c r="CV148" s="901"/>
      <c r="CW148" s="901"/>
      <c r="CX148" s="901"/>
      <c r="CY148" s="901"/>
      <c r="CZ148" s="901"/>
      <c r="DA148" s="901"/>
      <c r="DB148" s="901"/>
      <c r="DC148" s="901"/>
      <c r="DD148" s="902"/>
      <c r="DE148" s="900" t="s">
        <v>673</v>
      </c>
      <c r="DF148" s="901"/>
      <c r="DG148" s="901"/>
      <c r="DH148" s="901"/>
      <c r="DI148" s="901"/>
      <c r="DJ148" s="901"/>
      <c r="DK148" s="901"/>
      <c r="DL148" s="901"/>
      <c r="DM148" s="901"/>
      <c r="DN148" s="901"/>
      <c r="DO148" s="901"/>
      <c r="DP148" s="901"/>
      <c r="DQ148" s="901"/>
      <c r="DR148" s="901"/>
      <c r="DS148" s="901"/>
      <c r="DT148" s="901"/>
      <c r="DU148" s="901"/>
      <c r="DV148" s="902"/>
    </row>
    <row r="149" spans="1:126" ht="17" thickBot="1">
      <c r="A149" s="928"/>
      <c r="B149" s="929"/>
      <c r="C149" s="929"/>
      <c r="D149" s="929"/>
      <c r="E149" s="930"/>
      <c r="F149" s="992"/>
      <c r="G149" s="993"/>
      <c r="H149" s="993"/>
      <c r="I149" s="993"/>
      <c r="J149" s="993"/>
      <c r="K149" s="993"/>
      <c r="L149" s="993"/>
      <c r="M149" s="993"/>
      <c r="N149" s="993"/>
      <c r="O149" s="993"/>
      <c r="P149" s="993"/>
      <c r="Q149" s="993"/>
      <c r="R149" s="994"/>
      <c r="S149" s="903"/>
      <c r="T149" s="904"/>
      <c r="U149" s="904"/>
      <c r="V149" s="904"/>
      <c r="W149" s="904"/>
      <c r="X149" s="904"/>
      <c r="Y149" s="904"/>
      <c r="Z149" s="904"/>
      <c r="AA149" s="904"/>
      <c r="AB149" s="904"/>
      <c r="AC149" s="904"/>
      <c r="AD149" s="904"/>
      <c r="AE149" s="904"/>
      <c r="AF149" s="904"/>
      <c r="AG149" s="904"/>
      <c r="AH149" s="904"/>
      <c r="AI149" s="904"/>
      <c r="AJ149" s="905"/>
      <c r="AK149" s="903" t="s">
        <v>1680</v>
      </c>
      <c r="AL149" s="904"/>
      <c r="AM149" s="904"/>
      <c r="AN149" s="904"/>
      <c r="AO149" s="904"/>
      <c r="AP149" s="904"/>
      <c r="AQ149" s="904"/>
      <c r="AR149" s="904"/>
      <c r="AS149" s="904"/>
      <c r="AT149" s="904"/>
      <c r="AU149" s="904"/>
      <c r="AV149" s="904"/>
      <c r="AW149" s="904"/>
      <c r="AX149" s="904"/>
      <c r="AY149" s="904"/>
      <c r="AZ149" s="904"/>
      <c r="BA149" s="904"/>
      <c r="BB149" s="905"/>
      <c r="BC149" s="904" t="s">
        <v>1680</v>
      </c>
      <c r="BD149" s="904"/>
      <c r="BE149" s="904"/>
      <c r="BF149" s="904"/>
      <c r="BG149" s="904"/>
      <c r="BH149" s="904"/>
      <c r="BI149" s="904"/>
      <c r="BJ149" s="904"/>
      <c r="BK149" s="904"/>
      <c r="BL149" s="904"/>
      <c r="BM149" s="904"/>
      <c r="BN149" s="904"/>
      <c r="BO149" s="904"/>
      <c r="BP149" s="904"/>
      <c r="BQ149" s="904"/>
      <c r="BR149" s="904"/>
      <c r="BS149" s="904"/>
      <c r="BT149" s="904"/>
      <c r="BU149" s="903" t="s">
        <v>1680</v>
      </c>
      <c r="BV149" s="904"/>
      <c r="BW149" s="904"/>
      <c r="BX149" s="904"/>
      <c r="BY149" s="904"/>
      <c r="BZ149" s="904"/>
      <c r="CA149" s="904"/>
      <c r="CB149" s="904"/>
      <c r="CC149" s="904"/>
      <c r="CD149" s="904"/>
      <c r="CE149" s="904"/>
      <c r="CF149" s="904"/>
      <c r="CG149" s="904"/>
      <c r="CH149" s="904"/>
      <c r="CI149" s="904"/>
      <c r="CJ149" s="904"/>
      <c r="CK149" s="904"/>
      <c r="CL149" s="905"/>
      <c r="CM149" s="903"/>
      <c r="CN149" s="904"/>
      <c r="CO149" s="904"/>
      <c r="CP149" s="904"/>
      <c r="CQ149" s="904"/>
      <c r="CR149" s="904"/>
      <c r="CS149" s="904"/>
      <c r="CT149" s="904"/>
      <c r="CU149" s="904"/>
      <c r="CV149" s="904"/>
      <c r="CW149" s="904"/>
      <c r="CX149" s="904"/>
      <c r="CY149" s="904"/>
      <c r="CZ149" s="904"/>
      <c r="DA149" s="904"/>
      <c r="DB149" s="904"/>
      <c r="DC149" s="904"/>
      <c r="DD149" s="905"/>
      <c r="DE149" s="903"/>
      <c r="DF149" s="904"/>
      <c r="DG149" s="904"/>
      <c r="DH149" s="904"/>
      <c r="DI149" s="904"/>
      <c r="DJ149" s="904"/>
      <c r="DK149" s="904"/>
      <c r="DL149" s="904"/>
      <c r="DM149" s="904"/>
      <c r="DN149" s="904"/>
      <c r="DO149" s="904"/>
      <c r="DP149" s="904"/>
      <c r="DQ149" s="904"/>
      <c r="DR149" s="904"/>
      <c r="DS149" s="904"/>
      <c r="DT149" s="904"/>
      <c r="DU149" s="904"/>
      <c r="DV149" s="905"/>
    </row>
    <row r="150" spans="1:126" ht="16">
      <c r="A150" s="1013">
        <v>9</v>
      </c>
      <c r="B150" s="1014"/>
      <c r="C150" s="1014"/>
      <c r="D150" s="1014"/>
      <c r="E150" s="1015"/>
      <c r="F150" s="995" t="str">
        <f>"Cargo"&amp;IF('12-Cargo'!D50="Yes"," (CS-1*)","")</f>
        <v>Cargo</v>
      </c>
      <c r="G150" s="996"/>
      <c r="H150" s="996"/>
      <c r="I150" s="996"/>
      <c r="J150" s="996"/>
      <c r="K150" s="996"/>
      <c r="L150" s="996"/>
      <c r="M150" s="996"/>
      <c r="N150" s="996"/>
      <c r="O150" s="996"/>
      <c r="P150" s="996"/>
      <c r="Q150" s="996"/>
      <c r="R150" s="997"/>
      <c r="S150" s="907" t="s">
        <v>694</v>
      </c>
      <c r="T150" s="907"/>
      <c r="U150" s="907"/>
      <c r="V150" s="907"/>
      <c r="W150" s="907"/>
      <c r="X150" s="907"/>
      <c r="Y150" s="907"/>
      <c r="Z150" s="907"/>
      <c r="AA150" s="907"/>
      <c r="AB150" s="907"/>
      <c r="AC150" s="907"/>
      <c r="AD150" s="907"/>
      <c r="AE150" s="907"/>
      <c r="AF150" s="907"/>
      <c r="AG150" s="907"/>
      <c r="AH150" s="907"/>
      <c r="AI150" s="907"/>
      <c r="AJ150" s="908"/>
      <c r="AK150" s="906" t="str">
        <f>"- 1D*10%"</f>
        <v>- 1D*10%</v>
      </c>
      <c r="AL150" s="907"/>
      <c r="AM150" s="907"/>
      <c r="AN150" s="907"/>
      <c r="AO150" s="907"/>
      <c r="AP150" s="907"/>
      <c r="AQ150" s="907"/>
      <c r="AR150" s="907"/>
      <c r="AS150" s="907"/>
      <c r="AT150" s="907"/>
      <c r="AU150" s="907"/>
      <c r="AV150" s="907"/>
      <c r="AW150" s="907"/>
      <c r="AX150" s="907"/>
      <c r="AY150" s="907"/>
      <c r="AZ150" s="907"/>
      <c r="BA150" s="907"/>
      <c r="BB150" s="908"/>
      <c r="BC150" s="907" t="str">
        <f>"-2D*10%"</f>
        <v>-2D*10%</v>
      </c>
      <c r="BD150" s="907"/>
      <c r="BE150" s="907"/>
      <c r="BF150" s="907"/>
      <c r="BG150" s="907"/>
      <c r="BH150" s="907"/>
      <c r="BI150" s="907"/>
      <c r="BJ150" s="907"/>
      <c r="BK150" s="907"/>
      <c r="BL150" s="907"/>
      <c r="BM150" s="907"/>
      <c r="BN150" s="907"/>
      <c r="BO150" s="907"/>
      <c r="BP150" s="907"/>
      <c r="BQ150" s="907"/>
      <c r="BR150" s="907"/>
      <c r="BS150" s="907"/>
      <c r="BT150" s="907"/>
      <c r="BU150" s="906" t="str">
        <f>" All Cargo"</f>
        <v xml:space="preserve"> All Cargo</v>
      </c>
      <c r="BV150" s="907"/>
      <c r="BW150" s="907"/>
      <c r="BX150" s="907"/>
      <c r="BY150" s="907"/>
      <c r="BZ150" s="907"/>
      <c r="CA150" s="907"/>
      <c r="CB150" s="907"/>
      <c r="CC150" s="907"/>
      <c r="CD150" s="907"/>
      <c r="CE150" s="907"/>
      <c r="CF150" s="907"/>
      <c r="CG150" s="907"/>
      <c r="CH150" s="907"/>
      <c r="CI150" s="907"/>
      <c r="CJ150" s="907"/>
      <c r="CK150" s="907"/>
      <c r="CL150" s="908"/>
      <c r="CM150" s="906" t="s">
        <v>673</v>
      </c>
      <c r="CN150" s="907"/>
      <c r="CO150" s="907"/>
      <c r="CP150" s="907"/>
      <c r="CQ150" s="907"/>
      <c r="CR150" s="907"/>
      <c r="CS150" s="907"/>
      <c r="CT150" s="907"/>
      <c r="CU150" s="907"/>
      <c r="CV150" s="907"/>
      <c r="CW150" s="907"/>
      <c r="CX150" s="907"/>
      <c r="CY150" s="907"/>
      <c r="CZ150" s="907"/>
      <c r="DA150" s="907"/>
      <c r="DB150" s="907"/>
      <c r="DC150" s="907"/>
      <c r="DD150" s="908"/>
      <c r="DE150" s="906" t="s">
        <v>673</v>
      </c>
      <c r="DF150" s="907"/>
      <c r="DG150" s="907"/>
      <c r="DH150" s="907"/>
      <c r="DI150" s="907"/>
      <c r="DJ150" s="907"/>
      <c r="DK150" s="907"/>
      <c r="DL150" s="907"/>
      <c r="DM150" s="907"/>
      <c r="DN150" s="907"/>
      <c r="DO150" s="907"/>
      <c r="DP150" s="907"/>
      <c r="DQ150" s="907"/>
      <c r="DR150" s="907"/>
      <c r="DS150" s="907"/>
      <c r="DT150" s="907"/>
      <c r="DU150" s="907"/>
      <c r="DV150" s="908"/>
    </row>
    <row r="151" spans="1:126" ht="17" thickBot="1">
      <c r="A151" s="1016"/>
      <c r="B151" s="1017"/>
      <c r="C151" s="1017"/>
      <c r="D151" s="1017"/>
      <c r="E151" s="1018"/>
      <c r="F151" s="998"/>
      <c r="G151" s="999"/>
      <c r="H151" s="999"/>
      <c r="I151" s="999"/>
      <c r="J151" s="999"/>
      <c r="K151" s="999"/>
      <c r="L151" s="999"/>
      <c r="M151" s="999"/>
      <c r="N151" s="999"/>
      <c r="O151" s="999"/>
      <c r="P151" s="999"/>
      <c r="Q151" s="999"/>
      <c r="R151" s="1000"/>
      <c r="S151" s="898" t="s">
        <v>610</v>
      </c>
      <c r="T151" s="898"/>
      <c r="U151" s="898"/>
      <c r="V151" s="898"/>
      <c r="W151" s="898"/>
      <c r="X151" s="898"/>
      <c r="Y151" s="898"/>
      <c r="Z151" s="898"/>
      <c r="AA151" s="898"/>
      <c r="AB151" s="898"/>
      <c r="AC151" s="898"/>
      <c r="AD151" s="898"/>
      <c r="AE151" s="898"/>
      <c r="AF151" s="898"/>
      <c r="AG151" s="898"/>
      <c r="AH151" s="898"/>
      <c r="AI151" s="898"/>
      <c r="AJ151" s="899"/>
      <c r="AK151" s="897" t="s">
        <v>610</v>
      </c>
      <c r="AL151" s="898"/>
      <c r="AM151" s="898"/>
      <c r="AN151" s="898"/>
      <c r="AO151" s="898"/>
      <c r="AP151" s="898"/>
      <c r="AQ151" s="898"/>
      <c r="AR151" s="898"/>
      <c r="AS151" s="898"/>
      <c r="AT151" s="898"/>
      <c r="AU151" s="898"/>
      <c r="AV151" s="898"/>
      <c r="AW151" s="898"/>
      <c r="AX151" s="898"/>
      <c r="AY151" s="898"/>
      <c r="AZ151" s="898"/>
      <c r="BA151" s="898"/>
      <c r="BB151" s="899"/>
      <c r="BC151" s="898" t="s">
        <v>610</v>
      </c>
      <c r="BD151" s="898"/>
      <c r="BE151" s="898"/>
      <c r="BF151" s="898"/>
      <c r="BG151" s="898"/>
      <c r="BH151" s="898"/>
      <c r="BI151" s="898"/>
      <c r="BJ151" s="898"/>
      <c r="BK151" s="898"/>
      <c r="BL151" s="898"/>
      <c r="BM151" s="898"/>
      <c r="BN151" s="898"/>
      <c r="BO151" s="898"/>
      <c r="BP151" s="898"/>
      <c r="BQ151" s="898"/>
      <c r="BR151" s="898"/>
      <c r="BS151" s="898"/>
      <c r="BT151" s="898"/>
      <c r="BU151" s="897" t="s">
        <v>679</v>
      </c>
      <c r="BV151" s="898"/>
      <c r="BW151" s="898"/>
      <c r="BX151" s="898"/>
      <c r="BY151" s="898"/>
      <c r="BZ151" s="898"/>
      <c r="CA151" s="898"/>
      <c r="CB151" s="898"/>
      <c r="CC151" s="898"/>
      <c r="CD151" s="898"/>
      <c r="CE151" s="898"/>
      <c r="CF151" s="898"/>
      <c r="CG151" s="898"/>
      <c r="CH151" s="898"/>
      <c r="CI151" s="898"/>
      <c r="CJ151" s="898"/>
      <c r="CK151" s="898"/>
      <c r="CL151" s="899"/>
      <c r="CM151" s="897"/>
      <c r="CN151" s="898"/>
      <c r="CO151" s="898"/>
      <c r="CP151" s="898"/>
      <c r="CQ151" s="898"/>
      <c r="CR151" s="898"/>
      <c r="CS151" s="898"/>
      <c r="CT151" s="898"/>
      <c r="CU151" s="898"/>
      <c r="CV151" s="898"/>
      <c r="CW151" s="898"/>
      <c r="CX151" s="898"/>
      <c r="CY151" s="898"/>
      <c r="CZ151" s="898"/>
      <c r="DA151" s="898"/>
      <c r="DB151" s="898"/>
      <c r="DC151" s="898"/>
      <c r="DD151" s="899"/>
      <c r="DE151" s="897"/>
      <c r="DF151" s="898"/>
      <c r="DG151" s="898"/>
      <c r="DH151" s="898"/>
      <c r="DI151" s="898"/>
      <c r="DJ151" s="898"/>
      <c r="DK151" s="898"/>
      <c r="DL151" s="898"/>
      <c r="DM151" s="898"/>
      <c r="DN151" s="898"/>
      <c r="DO151" s="898"/>
      <c r="DP151" s="898"/>
      <c r="DQ151" s="898"/>
      <c r="DR151" s="898"/>
      <c r="DS151" s="898"/>
      <c r="DT151" s="898"/>
      <c r="DU151" s="898"/>
      <c r="DV151" s="899"/>
    </row>
    <row r="152" spans="1:126" ht="15.75" customHeight="1">
      <c r="A152" s="1007">
        <v>10</v>
      </c>
      <c r="B152" s="1008"/>
      <c r="C152" s="1008"/>
      <c r="D152" s="1008"/>
      <c r="E152" s="1009"/>
      <c r="F152" s="989" t="str">
        <f>"J-Drive"&amp;IF('2-Drives'!C27="No",""," (CS-1)")</f>
        <v>J-Drive</v>
      </c>
      <c r="G152" s="990"/>
      <c r="H152" s="990"/>
      <c r="I152" s="990"/>
      <c r="J152" s="990"/>
      <c r="K152" s="990"/>
      <c r="L152" s="990"/>
      <c r="M152" s="990"/>
      <c r="N152" s="990"/>
      <c r="O152" s="990"/>
      <c r="P152" s="990"/>
      <c r="Q152" s="990"/>
      <c r="R152" s="991"/>
      <c r="S152" s="909" t="s">
        <v>695</v>
      </c>
      <c r="T152" s="910"/>
      <c r="U152" s="910"/>
      <c r="V152" s="910"/>
      <c r="W152" s="910"/>
      <c r="X152" s="910"/>
      <c r="Y152" s="910"/>
      <c r="Z152" s="910"/>
      <c r="AA152" s="910"/>
      <c r="AB152" s="910"/>
      <c r="AC152" s="910"/>
      <c r="AD152" s="910"/>
      <c r="AE152" s="910"/>
      <c r="AF152" s="910"/>
      <c r="AG152" s="910"/>
      <c r="AH152" s="910"/>
      <c r="AI152" s="910"/>
      <c r="AJ152" s="911"/>
      <c r="AK152" s="909" t="s">
        <v>672</v>
      </c>
      <c r="AL152" s="910"/>
      <c r="AM152" s="910"/>
      <c r="AN152" s="910"/>
      <c r="AO152" s="910"/>
      <c r="AP152" s="910"/>
      <c r="AQ152" s="910"/>
      <c r="AR152" s="910"/>
      <c r="AS152" s="910"/>
      <c r="AT152" s="910"/>
      <c r="AU152" s="910"/>
      <c r="AV152" s="910"/>
      <c r="AW152" s="910"/>
      <c r="AX152" s="910"/>
      <c r="AY152" s="910"/>
      <c r="AZ152" s="910"/>
      <c r="BA152" s="910"/>
      <c r="BB152" s="911"/>
      <c r="BC152" s="909" t="s">
        <v>679</v>
      </c>
      <c r="BD152" s="910"/>
      <c r="BE152" s="910"/>
      <c r="BF152" s="910"/>
      <c r="BG152" s="910"/>
      <c r="BH152" s="910"/>
      <c r="BI152" s="910"/>
      <c r="BJ152" s="910"/>
      <c r="BK152" s="910"/>
      <c r="BL152" s="910"/>
      <c r="BM152" s="910"/>
      <c r="BN152" s="910"/>
      <c r="BO152" s="910"/>
      <c r="BP152" s="910"/>
      <c r="BQ152" s="910"/>
      <c r="BR152" s="910"/>
      <c r="BS152" s="910"/>
      <c r="BT152" s="911"/>
      <c r="BU152" s="909" t="s">
        <v>673</v>
      </c>
      <c r="BV152" s="910"/>
      <c r="BW152" s="910"/>
      <c r="BX152" s="910"/>
      <c r="BY152" s="910"/>
      <c r="BZ152" s="910"/>
      <c r="CA152" s="910"/>
      <c r="CB152" s="910"/>
      <c r="CC152" s="910"/>
      <c r="CD152" s="910"/>
      <c r="CE152" s="910"/>
      <c r="CF152" s="910"/>
      <c r="CG152" s="910"/>
      <c r="CH152" s="910"/>
      <c r="CI152" s="910"/>
      <c r="CJ152" s="910"/>
      <c r="CK152" s="910"/>
      <c r="CL152" s="911"/>
      <c r="CM152" s="909" t="s">
        <v>673</v>
      </c>
      <c r="CN152" s="910"/>
      <c r="CO152" s="910"/>
      <c r="CP152" s="910"/>
      <c r="CQ152" s="910"/>
      <c r="CR152" s="910"/>
      <c r="CS152" s="910"/>
      <c r="CT152" s="910"/>
      <c r="CU152" s="910"/>
      <c r="CV152" s="910"/>
      <c r="CW152" s="910"/>
      <c r="CX152" s="910"/>
      <c r="CY152" s="910"/>
      <c r="CZ152" s="910"/>
      <c r="DA152" s="910"/>
      <c r="DB152" s="910"/>
      <c r="DC152" s="910"/>
      <c r="DD152" s="911"/>
      <c r="DE152" s="909" t="s">
        <v>673</v>
      </c>
      <c r="DF152" s="910"/>
      <c r="DG152" s="910"/>
      <c r="DH152" s="910"/>
      <c r="DI152" s="910"/>
      <c r="DJ152" s="910"/>
      <c r="DK152" s="910"/>
      <c r="DL152" s="910"/>
      <c r="DM152" s="910"/>
      <c r="DN152" s="910"/>
      <c r="DO152" s="910"/>
      <c r="DP152" s="910"/>
      <c r="DQ152" s="910"/>
      <c r="DR152" s="910"/>
      <c r="DS152" s="910"/>
      <c r="DT152" s="910"/>
      <c r="DU152" s="910"/>
      <c r="DV152" s="911"/>
    </row>
    <row r="153" spans="1:126" ht="16" thickBot="1">
      <c r="A153" s="1010"/>
      <c r="B153" s="1011"/>
      <c r="C153" s="1011"/>
      <c r="D153" s="1011"/>
      <c r="E153" s="1012"/>
      <c r="F153" s="992"/>
      <c r="G153" s="993"/>
      <c r="H153" s="993"/>
      <c r="I153" s="993"/>
      <c r="J153" s="993"/>
      <c r="K153" s="993"/>
      <c r="L153" s="993"/>
      <c r="M153" s="993"/>
      <c r="N153" s="993"/>
      <c r="O153" s="993"/>
      <c r="P153" s="993"/>
      <c r="Q153" s="993"/>
      <c r="R153" s="994"/>
      <c r="S153" s="912"/>
      <c r="T153" s="913"/>
      <c r="U153" s="913"/>
      <c r="V153" s="913"/>
      <c r="W153" s="913"/>
      <c r="X153" s="913"/>
      <c r="Y153" s="913"/>
      <c r="Z153" s="913"/>
      <c r="AA153" s="913"/>
      <c r="AB153" s="913"/>
      <c r="AC153" s="913"/>
      <c r="AD153" s="913"/>
      <c r="AE153" s="913"/>
      <c r="AF153" s="913"/>
      <c r="AG153" s="913"/>
      <c r="AH153" s="913"/>
      <c r="AI153" s="913"/>
      <c r="AJ153" s="914"/>
      <c r="AK153" s="912"/>
      <c r="AL153" s="913"/>
      <c r="AM153" s="913"/>
      <c r="AN153" s="913"/>
      <c r="AO153" s="913"/>
      <c r="AP153" s="913"/>
      <c r="AQ153" s="913"/>
      <c r="AR153" s="913"/>
      <c r="AS153" s="913"/>
      <c r="AT153" s="913"/>
      <c r="AU153" s="913"/>
      <c r="AV153" s="913"/>
      <c r="AW153" s="913"/>
      <c r="AX153" s="913"/>
      <c r="AY153" s="913"/>
      <c r="AZ153" s="913"/>
      <c r="BA153" s="913"/>
      <c r="BB153" s="914"/>
      <c r="BC153" s="912"/>
      <c r="BD153" s="913"/>
      <c r="BE153" s="913"/>
      <c r="BF153" s="913"/>
      <c r="BG153" s="913"/>
      <c r="BH153" s="913"/>
      <c r="BI153" s="913"/>
      <c r="BJ153" s="913"/>
      <c r="BK153" s="913"/>
      <c r="BL153" s="913"/>
      <c r="BM153" s="913"/>
      <c r="BN153" s="913"/>
      <c r="BO153" s="913"/>
      <c r="BP153" s="913"/>
      <c r="BQ153" s="913"/>
      <c r="BR153" s="913"/>
      <c r="BS153" s="913"/>
      <c r="BT153" s="914"/>
      <c r="BU153" s="912"/>
      <c r="BV153" s="913"/>
      <c r="BW153" s="913"/>
      <c r="BX153" s="913"/>
      <c r="BY153" s="913"/>
      <c r="BZ153" s="913"/>
      <c r="CA153" s="913"/>
      <c r="CB153" s="913"/>
      <c r="CC153" s="913"/>
      <c r="CD153" s="913"/>
      <c r="CE153" s="913"/>
      <c r="CF153" s="913"/>
      <c r="CG153" s="913"/>
      <c r="CH153" s="913"/>
      <c r="CI153" s="913"/>
      <c r="CJ153" s="913"/>
      <c r="CK153" s="913"/>
      <c r="CL153" s="914"/>
      <c r="CM153" s="912"/>
      <c r="CN153" s="913"/>
      <c r="CO153" s="913"/>
      <c r="CP153" s="913"/>
      <c r="CQ153" s="913"/>
      <c r="CR153" s="913"/>
      <c r="CS153" s="913"/>
      <c r="CT153" s="913"/>
      <c r="CU153" s="913"/>
      <c r="CV153" s="913"/>
      <c r="CW153" s="913"/>
      <c r="CX153" s="913"/>
      <c r="CY153" s="913"/>
      <c r="CZ153" s="913"/>
      <c r="DA153" s="913"/>
      <c r="DB153" s="913"/>
      <c r="DC153" s="913"/>
      <c r="DD153" s="914"/>
      <c r="DE153" s="912"/>
      <c r="DF153" s="913"/>
      <c r="DG153" s="913"/>
      <c r="DH153" s="913"/>
      <c r="DI153" s="913"/>
      <c r="DJ153" s="913"/>
      <c r="DK153" s="913"/>
      <c r="DL153" s="913"/>
      <c r="DM153" s="913"/>
      <c r="DN153" s="913"/>
      <c r="DO153" s="913"/>
      <c r="DP153" s="913"/>
      <c r="DQ153" s="913"/>
      <c r="DR153" s="913"/>
      <c r="DS153" s="913"/>
      <c r="DT153" s="913"/>
      <c r="DU153" s="913"/>
      <c r="DV153" s="914"/>
    </row>
    <row r="154" spans="1:126" ht="16.5" customHeight="1">
      <c r="A154" s="1001">
        <v>11</v>
      </c>
      <c r="B154" s="1002"/>
      <c r="C154" s="1002"/>
      <c r="D154" s="1002"/>
      <c r="E154" s="1003"/>
      <c r="F154" s="995" t="str">
        <f>"Crew"&amp;IF('11-Staterooms'!C58="No",""," (CS-1)")</f>
        <v>Crew</v>
      </c>
      <c r="G154" s="996"/>
      <c r="H154" s="996"/>
      <c r="I154" s="996"/>
      <c r="J154" s="996"/>
      <c r="K154" s="996"/>
      <c r="L154" s="996"/>
      <c r="M154" s="996"/>
      <c r="N154" s="996"/>
      <c r="O154" s="996"/>
      <c r="P154" s="996"/>
      <c r="Q154" s="996"/>
      <c r="R154" s="997"/>
      <c r="S154" s="915" t="s">
        <v>1437</v>
      </c>
      <c r="T154" s="915"/>
      <c r="U154" s="915"/>
      <c r="V154" s="915"/>
      <c r="W154" s="915"/>
      <c r="X154" s="915"/>
      <c r="Y154" s="915"/>
      <c r="Z154" s="915"/>
      <c r="AA154" s="915"/>
      <c r="AB154" s="915"/>
      <c r="AC154" s="915"/>
      <c r="AD154" s="915"/>
      <c r="AE154" s="915"/>
      <c r="AF154" s="915"/>
      <c r="AG154" s="915"/>
      <c r="AH154" s="915"/>
      <c r="AI154" s="915"/>
      <c r="AJ154" s="916"/>
      <c r="AK154" s="919" t="s">
        <v>1677</v>
      </c>
      <c r="AL154" s="920"/>
      <c r="AM154" s="920"/>
      <c r="AN154" s="920"/>
      <c r="AO154" s="920"/>
      <c r="AP154" s="920"/>
      <c r="AQ154" s="920"/>
      <c r="AR154" s="920"/>
      <c r="AS154" s="920"/>
      <c r="AT154" s="920"/>
      <c r="AU154" s="920"/>
      <c r="AV154" s="920"/>
      <c r="AW154" s="920"/>
      <c r="AX154" s="920"/>
      <c r="AY154" s="920"/>
      <c r="AZ154" s="920"/>
      <c r="BA154" s="920"/>
      <c r="BB154" s="921"/>
      <c r="BC154" s="915" t="s">
        <v>1435</v>
      </c>
      <c r="BD154" s="915"/>
      <c r="BE154" s="915"/>
      <c r="BF154" s="915"/>
      <c r="BG154" s="915"/>
      <c r="BH154" s="915"/>
      <c r="BI154" s="915"/>
      <c r="BJ154" s="915"/>
      <c r="BK154" s="915"/>
      <c r="BL154" s="915"/>
      <c r="BM154" s="915"/>
      <c r="BN154" s="915"/>
      <c r="BO154" s="915"/>
      <c r="BP154" s="915"/>
      <c r="BQ154" s="915"/>
      <c r="BR154" s="915"/>
      <c r="BS154" s="915"/>
      <c r="BT154" s="915"/>
      <c r="BU154" s="919" t="s">
        <v>1678</v>
      </c>
      <c r="BV154" s="920"/>
      <c r="BW154" s="920"/>
      <c r="BX154" s="920"/>
      <c r="BY154" s="920"/>
      <c r="BZ154" s="920"/>
      <c r="CA154" s="920"/>
      <c r="CB154" s="920"/>
      <c r="CC154" s="920"/>
      <c r="CD154" s="920"/>
      <c r="CE154" s="920"/>
      <c r="CF154" s="920"/>
      <c r="CG154" s="920"/>
      <c r="CH154" s="920"/>
      <c r="CI154" s="920"/>
      <c r="CJ154" s="920"/>
      <c r="CK154" s="920"/>
      <c r="CL154" s="921"/>
      <c r="CM154" s="915" t="s">
        <v>1436</v>
      </c>
      <c r="CN154" s="915"/>
      <c r="CO154" s="915"/>
      <c r="CP154" s="915"/>
      <c r="CQ154" s="915"/>
      <c r="CR154" s="915"/>
      <c r="CS154" s="915"/>
      <c r="CT154" s="915"/>
      <c r="CU154" s="915"/>
      <c r="CV154" s="915"/>
      <c r="CW154" s="915"/>
      <c r="CX154" s="915"/>
      <c r="CY154" s="915"/>
      <c r="CZ154" s="915"/>
      <c r="DA154" s="915"/>
      <c r="DB154" s="915"/>
      <c r="DC154" s="915"/>
      <c r="DD154" s="915"/>
      <c r="DE154" s="919" t="s">
        <v>1679</v>
      </c>
      <c r="DF154" s="920"/>
      <c r="DG154" s="920"/>
      <c r="DH154" s="920"/>
      <c r="DI154" s="920"/>
      <c r="DJ154" s="920"/>
      <c r="DK154" s="920"/>
      <c r="DL154" s="920"/>
      <c r="DM154" s="920"/>
      <c r="DN154" s="920"/>
      <c r="DO154" s="920"/>
      <c r="DP154" s="920"/>
      <c r="DQ154" s="920"/>
      <c r="DR154" s="920"/>
      <c r="DS154" s="920"/>
      <c r="DT154" s="920"/>
      <c r="DU154" s="920"/>
      <c r="DV154" s="921"/>
    </row>
    <row r="155" spans="1:126" ht="17" thickBot="1">
      <c r="A155" s="1004"/>
      <c r="B155" s="1005"/>
      <c r="C155" s="1005"/>
      <c r="D155" s="1005"/>
      <c r="E155" s="1006"/>
      <c r="F155" s="998"/>
      <c r="G155" s="999"/>
      <c r="H155" s="999"/>
      <c r="I155" s="999"/>
      <c r="J155" s="999"/>
      <c r="K155" s="999"/>
      <c r="L155" s="999"/>
      <c r="M155" s="999"/>
      <c r="N155" s="999"/>
      <c r="O155" s="999"/>
      <c r="P155" s="999"/>
      <c r="Q155" s="999"/>
      <c r="R155" s="1000"/>
      <c r="S155" s="917" t="s">
        <v>683</v>
      </c>
      <c r="T155" s="917"/>
      <c r="U155" s="917"/>
      <c r="V155" s="917"/>
      <c r="W155" s="917"/>
      <c r="X155" s="917"/>
      <c r="Y155" s="917"/>
      <c r="Z155" s="917"/>
      <c r="AA155" s="917"/>
      <c r="AB155" s="917"/>
      <c r="AC155" s="917"/>
      <c r="AD155" s="917"/>
      <c r="AE155" s="917"/>
      <c r="AF155" s="917"/>
      <c r="AG155" s="917"/>
      <c r="AH155" s="917"/>
      <c r="AI155" s="917"/>
      <c r="AJ155" s="918"/>
      <c r="AK155" s="922"/>
      <c r="AL155" s="923"/>
      <c r="AM155" s="923"/>
      <c r="AN155" s="923"/>
      <c r="AO155" s="923"/>
      <c r="AP155" s="923"/>
      <c r="AQ155" s="923"/>
      <c r="AR155" s="923"/>
      <c r="AS155" s="923"/>
      <c r="AT155" s="923"/>
      <c r="AU155" s="923"/>
      <c r="AV155" s="923"/>
      <c r="AW155" s="923"/>
      <c r="AX155" s="923"/>
      <c r="AY155" s="923"/>
      <c r="AZ155" s="923"/>
      <c r="BA155" s="923"/>
      <c r="BB155" s="924"/>
      <c r="BC155" s="917" t="s">
        <v>684</v>
      </c>
      <c r="BD155" s="917"/>
      <c r="BE155" s="917"/>
      <c r="BF155" s="917"/>
      <c r="BG155" s="917"/>
      <c r="BH155" s="917"/>
      <c r="BI155" s="917"/>
      <c r="BJ155" s="917"/>
      <c r="BK155" s="917"/>
      <c r="BL155" s="917"/>
      <c r="BM155" s="917"/>
      <c r="BN155" s="917"/>
      <c r="BO155" s="917"/>
      <c r="BP155" s="917"/>
      <c r="BQ155" s="917"/>
      <c r="BR155" s="917"/>
      <c r="BS155" s="917"/>
      <c r="BT155" s="917"/>
      <c r="BU155" s="922"/>
      <c r="BV155" s="923"/>
      <c r="BW155" s="923"/>
      <c r="BX155" s="923"/>
      <c r="BY155" s="923"/>
      <c r="BZ155" s="923"/>
      <c r="CA155" s="923"/>
      <c r="CB155" s="923"/>
      <c r="CC155" s="923"/>
      <c r="CD155" s="923"/>
      <c r="CE155" s="923"/>
      <c r="CF155" s="923"/>
      <c r="CG155" s="923"/>
      <c r="CH155" s="923"/>
      <c r="CI155" s="923"/>
      <c r="CJ155" s="923"/>
      <c r="CK155" s="923"/>
      <c r="CL155" s="924"/>
      <c r="CM155" s="917" t="s">
        <v>685</v>
      </c>
      <c r="CN155" s="917"/>
      <c r="CO155" s="917"/>
      <c r="CP155" s="917"/>
      <c r="CQ155" s="917"/>
      <c r="CR155" s="917"/>
      <c r="CS155" s="917"/>
      <c r="CT155" s="917"/>
      <c r="CU155" s="917"/>
      <c r="CV155" s="917"/>
      <c r="CW155" s="917"/>
      <c r="CX155" s="917"/>
      <c r="CY155" s="917"/>
      <c r="CZ155" s="917"/>
      <c r="DA155" s="917"/>
      <c r="DB155" s="917"/>
      <c r="DC155" s="917"/>
      <c r="DD155" s="917"/>
      <c r="DE155" s="922"/>
      <c r="DF155" s="923"/>
      <c r="DG155" s="923"/>
      <c r="DH155" s="923"/>
      <c r="DI155" s="923"/>
      <c r="DJ155" s="923"/>
      <c r="DK155" s="923"/>
      <c r="DL155" s="923"/>
      <c r="DM155" s="923"/>
      <c r="DN155" s="923"/>
      <c r="DO155" s="923"/>
      <c r="DP155" s="923"/>
      <c r="DQ155" s="923"/>
      <c r="DR155" s="923"/>
      <c r="DS155" s="923"/>
      <c r="DT155" s="923"/>
      <c r="DU155" s="923"/>
      <c r="DV155" s="924"/>
    </row>
    <row r="156" spans="1:126" ht="16">
      <c r="A156" s="1007">
        <v>12</v>
      </c>
      <c r="B156" s="1008"/>
      <c r="C156" s="1008"/>
      <c r="D156" s="1008"/>
      <c r="E156" s="1009"/>
      <c r="F156" s="989" t="str">
        <f>"Bridge"&amp;IF('5-Bridge'!C22="Yes"," (CS-1)","")</f>
        <v>Bridge</v>
      </c>
      <c r="G156" s="990"/>
      <c r="H156" s="990"/>
      <c r="I156" s="990"/>
      <c r="J156" s="990"/>
      <c r="K156" s="990"/>
      <c r="L156" s="990"/>
      <c r="M156" s="990"/>
      <c r="N156" s="990"/>
      <c r="O156" s="990"/>
      <c r="P156" s="990"/>
      <c r="Q156" s="990"/>
      <c r="R156" s="991"/>
      <c r="S156" s="910" t="s">
        <v>1674</v>
      </c>
      <c r="T156" s="910"/>
      <c r="U156" s="910"/>
      <c r="V156" s="910"/>
      <c r="W156" s="910"/>
      <c r="X156" s="910"/>
      <c r="Y156" s="910"/>
      <c r="Z156" s="910"/>
      <c r="AA156" s="910"/>
      <c r="AB156" s="910"/>
      <c r="AC156" s="910"/>
      <c r="AD156" s="910"/>
      <c r="AE156" s="910"/>
      <c r="AF156" s="910"/>
      <c r="AG156" s="910"/>
      <c r="AH156" s="910"/>
      <c r="AI156" s="910"/>
      <c r="AJ156" s="911"/>
      <c r="AK156" s="909" t="s">
        <v>1675</v>
      </c>
      <c r="AL156" s="910"/>
      <c r="AM156" s="910"/>
      <c r="AN156" s="910"/>
      <c r="AO156" s="910"/>
      <c r="AP156" s="910"/>
      <c r="AQ156" s="910"/>
      <c r="AR156" s="910"/>
      <c r="AS156" s="910"/>
      <c r="AT156" s="910"/>
      <c r="AU156" s="910"/>
      <c r="AV156" s="910"/>
      <c r="AW156" s="910"/>
      <c r="AX156" s="910"/>
      <c r="AY156" s="910"/>
      <c r="AZ156" s="910"/>
      <c r="BA156" s="910"/>
      <c r="BB156" s="911"/>
      <c r="BC156" s="910" t="s">
        <v>1441</v>
      </c>
      <c r="BD156" s="910"/>
      <c r="BE156" s="910"/>
      <c r="BF156" s="910"/>
      <c r="BG156" s="910"/>
      <c r="BH156" s="910"/>
      <c r="BI156" s="910"/>
      <c r="BJ156" s="910"/>
      <c r="BK156" s="910"/>
      <c r="BL156" s="910"/>
      <c r="BM156" s="910"/>
      <c r="BN156" s="910"/>
      <c r="BO156" s="910"/>
      <c r="BP156" s="910"/>
      <c r="BQ156" s="910"/>
      <c r="BR156" s="910"/>
      <c r="BS156" s="910"/>
      <c r="BT156" s="910"/>
      <c r="BU156" s="909" t="s">
        <v>1676</v>
      </c>
      <c r="BV156" s="910"/>
      <c r="BW156" s="910"/>
      <c r="BX156" s="910"/>
      <c r="BY156" s="910"/>
      <c r="BZ156" s="910"/>
      <c r="CA156" s="910"/>
      <c r="CB156" s="910"/>
      <c r="CC156" s="910"/>
      <c r="CD156" s="910"/>
      <c r="CE156" s="910"/>
      <c r="CF156" s="910"/>
      <c r="CG156" s="910"/>
      <c r="CH156" s="910"/>
      <c r="CI156" s="910"/>
      <c r="CJ156" s="910"/>
      <c r="CK156" s="910"/>
      <c r="CL156" s="911"/>
      <c r="CM156" s="910" t="s">
        <v>90</v>
      </c>
      <c r="CN156" s="910"/>
      <c r="CO156" s="910"/>
      <c r="CP156" s="910"/>
      <c r="CQ156" s="910"/>
      <c r="CR156" s="910"/>
      <c r="CS156" s="910"/>
      <c r="CT156" s="910"/>
      <c r="CU156" s="910"/>
      <c r="CV156" s="910"/>
      <c r="CW156" s="910"/>
      <c r="CX156" s="910"/>
      <c r="CY156" s="910"/>
      <c r="CZ156" s="910"/>
      <c r="DA156" s="910"/>
      <c r="DB156" s="910"/>
      <c r="DC156" s="910"/>
      <c r="DD156" s="910"/>
      <c r="DE156" s="909" t="s">
        <v>1676</v>
      </c>
      <c r="DF156" s="910"/>
      <c r="DG156" s="910"/>
      <c r="DH156" s="910"/>
      <c r="DI156" s="910"/>
      <c r="DJ156" s="910"/>
      <c r="DK156" s="910"/>
      <c r="DL156" s="910"/>
      <c r="DM156" s="910"/>
      <c r="DN156" s="910"/>
      <c r="DO156" s="910"/>
      <c r="DP156" s="910"/>
      <c r="DQ156" s="910"/>
      <c r="DR156" s="910"/>
      <c r="DS156" s="910"/>
      <c r="DT156" s="910"/>
      <c r="DU156" s="910"/>
      <c r="DV156" s="911"/>
    </row>
    <row r="157" spans="1:126" ht="17" thickBot="1">
      <c r="A157" s="1010"/>
      <c r="B157" s="1011"/>
      <c r="C157" s="1011"/>
      <c r="D157" s="1011"/>
      <c r="E157" s="1012"/>
      <c r="F157" s="992"/>
      <c r="G157" s="993"/>
      <c r="H157" s="993"/>
      <c r="I157" s="993"/>
      <c r="J157" s="993"/>
      <c r="K157" s="993"/>
      <c r="L157" s="993"/>
      <c r="M157" s="993"/>
      <c r="N157" s="993"/>
      <c r="O157" s="993"/>
      <c r="P157" s="993"/>
      <c r="Q157" s="993"/>
      <c r="R157" s="994"/>
      <c r="S157" s="913" t="s">
        <v>672</v>
      </c>
      <c r="T157" s="913"/>
      <c r="U157" s="913"/>
      <c r="V157" s="913"/>
      <c r="W157" s="913"/>
      <c r="X157" s="913"/>
      <c r="Y157" s="913"/>
      <c r="Z157" s="913"/>
      <c r="AA157" s="913"/>
      <c r="AB157" s="913"/>
      <c r="AC157" s="913"/>
      <c r="AD157" s="913"/>
      <c r="AE157" s="913"/>
      <c r="AF157" s="913"/>
      <c r="AG157" s="913"/>
      <c r="AH157" s="913"/>
      <c r="AI157" s="913"/>
      <c r="AJ157" s="914"/>
      <c r="AK157" s="912" t="s">
        <v>1439</v>
      </c>
      <c r="AL157" s="913"/>
      <c r="AM157" s="913"/>
      <c r="AN157" s="913"/>
      <c r="AO157" s="913"/>
      <c r="AP157" s="913"/>
      <c r="AQ157" s="913"/>
      <c r="AR157" s="913"/>
      <c r="AS157" s="913"/>
      <c r="AT157" s="913"/>
      <c r="AU157" s="913"/>
      <c r="AV157" s="913"/>
      <c r="AW157" s="913"/>
      <c r="AX157" s="913"/>
      <c r="AY157" s="913"/>
      <c r="AZ157" s="913"/>
      <c r="BA157" s="913"/>
      <c r="BB157" s="914"/>
      <c r="BC157" s="988">
        <v>-0.5</v>
      </c>
      <c r="BD157" s="988"/>
      <c r="BE157" s="988"/>
      <c r="BF157" s="988"/>
      <c r="BG157" s="988"/>
      <c r="BH157" s="988"/>
      <c r="BI157" s="988"/>
      <c r="BJ157" s="988"/>
      <c r="BK157" s="988"/>
      <c r="BL157" s="988"/>
      <c r="BM157" s="988"/>
      <c r="BN157" s="988"/>
      <c r="BO157" s="988"/>
      <c r="BP157" s="988"/>
      <c r="BQ157" s="988"/>
      <c r="BR157" s="988"/>
      <c r="BS157" s="988"/>
      <c r="BT157" s="988"/>
      <c r="BU157" s="912" t="s">
        <v>1442</v>
      </c>
      <c r="BV157" s="913"/>
      <c r="BW157" s="913"/>
      <c r="BX157" s="913"/>
      <c r="BY157" s="913"/>
      <c r="BZ157" s="913"/>
      <c r="CA157" s="913"/>
      <c r="CB157" s="913"/>
      <c r="CC157" s="913"/>
      <c r="CD157" s="913"/>
      <c r="CE157" s="913"/>
      <c r="CF157" s="913"/>
      <c r="CG157" s="913"/>
      <c r="CH157" s="913"/>
      <c r="CI157" s="913"/>
      <c r="CJ157" s="913"/>
      <c r="CK157" s="913"/>
      <c r="CL157" s="914"/>
      <c r="CM157" s="913" t="s">
        <v>679</v>
      </c>
      <c r="CN157" s="913"/>
      <c r="CO157" s="913"/>
      <c r="CP157" s="913"/>
      <c r="CQ157" s="913"/>
      <c r="CR157" s="913"/>
      <c r="CS157" s="913"/>
      <c r="CT157" s="913"/>
      <c r="CU157" s="913"/>
      <c r="CV157" s="913"/>
      <c r="CW157" s="913"/>
      <c r="CX157" s="913"/>
      <c r="CY157" s="913"/>
      <c r="CZ157" s="913"/>
      <c r="DA157" s="913"/>
      <c r="DB157" s="913"/>
      <c r="DC157" s="913"/>
      <c r="DD157" s="913"/>
      <c r="DE157" s="912" t="s">
        <v>1444</v>
      </c>
      <c r="DF157" s="913"/>
      <c r="DG157" s="913"/>
      <c r="DH157" s="913"/>
      <c r="DI157" s="913"/>
      <c r="DJ157" s="913"/>
      <c r="DK157" s="913"/>
      <c r="DL157" s="913"/>
      <c r="DM157" s="913"/>
      <c r="DN157" s="913"/>
      <c r="DO157" s="913"/>
      <c r="DP157" s="913"/>
      <c r="DQ157" s="913"/>
      <c r="DR157" s="913"/>
      <c r="DS157" s="913"/>
      <c r="DT157" s="913"/>
      <c r="DU157" s="913"/>
      <c r="DV157" s="914"/>
    </row>
    <row r="158" spans="1:126">
      <c r="A158" s="986" t="s">
        <v>1714</v>
      </c>
      <c r="B158" s="986"/>
      <c r="C158" s="986"/>
      <c r="D158" s="986"/>
      <c r="E158" s="986"/>
      <c r="F158" s="986"/>
      <c r="G158" s="986"/>
      <c r="H158" s="986"/>
      <c r="I158" s="986"/>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c r="CU158" s="986"/>
      <c r="CV158" s="986"/>
      <c r="CW158" s="986"/>
      <c r="CX158" s="986"/>
      <c r="CY158" s="986"/>
      <c r="CZ158" s="986"/>
      <c r="DA158" s="986"/>
      <c r="DB158" s="986"/>
      <c r="DC158" s="986"/>
      <c r="DD158" s="986"/>
      <c r="DE158" s="986"/>
      <c r="DF158" s="986"/>
      <c r="DG158" s="986"/>
      <c r="DH158" s="986"/>
      <c r="DI158" s="986"/>
      <c r="DJ158" s="986"/>
      <c r="DK158" s="986"/>
      <c r="DL158" s="986"/>
      <c r="DM158" s="986"/>
      <c r="DN158" s="986"/>
      <c r="DO158" s="986"/>
      <c r="DP158" s="986"/>
      <c r="DQ158" s="986"/>
      <c r="DR158" s="986"/>
      <c r="DS158" s="986"/>
      <c r="DT158" s="986"/>
      <c r="DU158" s="986"/>
      <c r="DV158" s="986"/>
    </row>
    <row r="159" spans="1:126" ht="16">
      <c r="A159" s="987" t="s">
        <v>742</v>
      </c>
      <c r="B159" s="987"/>
      <c r="C159" s="987"/>
      <c r="D159" s="987"/>
      <c r="E159" s="987"/>
      <c r="F159" s="987"/>
      <c r="G159" s="987"/>
      <c r="H159" s="987"/>
      <c r="I159" s="987"/>
      <c r="J159" s="987"/>
      <c r="K159" s="987"/>
      <c r="L159" s="987"/>
      <c r="M159" s="987"/>
      <c r="N159" s="987"/>
      <c r="O159" s="987"/>
      <c r="P159" s="987"/>
      <c r="Q159" s="987"/>
      <c r="R159" s="987"/>
      <c r="S159" s="987"/>
      <c r="T159" s="987"/>
      <c r="U159" s="987"/>
      <c r="V159" s="987"/>
      <c r="W159" s="987"/>
      <c r="X159" s="987"/>
      <c r="Y159" s="987"/>
      <c r="Z159" s="987"/>
      <c r="AA159" s="987"/>
      <c r="AB159" s="987"/>
      <c r="AC159" s="987"/>
      <c r="AD159" s="987"/>
      <c r="AE159" s="987"/>
      <c r="AF159" s="987"/>
      <c r="AG159" s="987"/>
      <c r="AH159" s="987"/>
      <c r="AI159" s="987"/>
      <c r="AJ159" s="987"/>
      <c r="AK159" s="987"/>
      <c r="AL159" s="987"/>
      <c r="AM159" s="987"/>
      <c r="AN159" s="987"/>
      <c r="AO159" s="987"/>
      <c r="AP159" s="987"/>
      <c r="AQ159" s="987"/>
      <c r="AR159" s="987"/>
      <c r="AS159" s="987"/>
      <c r="AT159" s="987"/>
      <c r="AU159" s="987"/>
      <c r="AV159" s="987"/>
      <c r="AW159" s="987"/>
      <c r="AX159" s="987"/>
      <c r="AY159" s="987"/>
      <c r="AZ159" s="987"/>
      <c r="BA159" s="987"/>
      <c r="BB159" s="987"/>
      <c r="BC159" s="987"/>
      <c r="BD159" s="987"/>
      <c r="BE159" s="987"/>
      <c r="BF159" s="987"/>
      <c r="BG159" s="987"/>
      <c r="BH159" s="987"/>
      <c r="BI159" s="987"/>
      <c r="BJ159" s="987"/>
      <c r="BK159" s="987"/>
      <c r="BL159" s="987"/>
      <c r="BM159" s="987"/>
      <c r="BN159" s="987"/>
      <c r="BO159" s="987"/>
      <c r="BP159" s="987"/>
      <c r="BQ159" s="987"/>
      <c r="BR159" s="987"/>
      <c r="BS159" s="987"/>
      <c r="BT159" s="987"/>
      <c r="BU159" s="987"/>
      <c r="BV159" s="987"/>
      <c r="BW159" s="987"/>
      <c r="BX159" s="987"/>
      <c r="BY159" s="987"/>
      <c r="BZ159" s="987"/>
      <c r="CA159" s="987"/>
      <c r="CB159" s="987"/>
      <c r="CC159" s="987"/>
      <c r="CD159" s="987"/>
      <c r="CE159" s="987"/>
      <c r="CF159" s="987"/>
      <c r="CG159" s="987"/>
      <c r="CH159" s="987"/>
      <c r="CI159" s="987"/>
      <c r="CJ159" s="987"/>
      <c r="CK159" s="987"/>
      <c r="CL159" s="987"/>
      <c r="CM159" s="987"/>
      <c r="CN159" s="987"/>
      <c r="CO159" s="987"/>
      <c r="CP159" s="987"/>
      <c r="CQ159" s="987"/>
      <c r="CR159" s="987"/>
      <c r="CS159" s="987"/>
      <c r="CT159" s="987"/>
      <c r="CU159" s="987"/>
      <c r="CV159" s="987"/>
      <c r="CW159" s="987"/>
      <c r="CX159" s="987"/>
      <c r="CY159" s="987"/>
      <c r="CZ159" s="987"/>
      <c r="DA159" s="987"/>
      <c r="DB159" s="987"/>
      <c r="DC159" s="987"/>
      <c r="DD159" s="987"/>
      <c r="DE159" s="987"/>
      <c r="DF159" s="987"/>
      <c r="DG159" s="987"/>
      <c r="DH159" s="987"/>
      <c r="DI159" s="987"/>
      <c r="DJ159" s="987"/>
      <c r="DK159" s="987"/>
      <c r="DL159" s="987"/>
      <c r="DM159" s="987"/>
      <c r="DN159" s="987"/>
      <c r="DO159" s="987"/>
      <c r="DP159" s="987"/>
      <c r="DQ159" s="987"/>
      <c r="DR159" s="987"/>
      <c r="DS159" s="987"/>
      <c r="DT159" s="987"/>
      <c r="DU159" s="987"/>
      <c r="DV159" s="987"/>
    </row>
    <row r="160" spans="1:126">
      <c r="CZ160" s="51"/>
    </row>
  </sheetData>
  <sheetProtection algorithmName="SHA-512" hashValue="pCa6PayUlgB1eBsY/fMBdOIWkA8mYqdknNCYhcZOfEXMpqBY/FhV9aHjpPRIkoQVv0+WAy+/Ew1+gfKah95MLw==" saltValue="QC7O36MZntzksb7GgxOlGg==" spinCount="100000" sheet="1" objects="1" scenarios="1"/>
  <mergeCells count="358">
    <mergeCell ref="BS117:DU117"/>
    <mergeCell ref="BH115:BR115"/>
    <mergeCell ref="BH116:BR116"/>
    <mergeCell ref="BH117:BR117"/>
    <mergeCell ref="A1:AD1"/>
    <mergeCell ref="AG1:BZ1"/>
    <mergeCell ref="CC1:DU1"/>
    <mergeCell ref="A2:T2"/>
    <mergeCell ref="V2:AN2"/>
    <mergeCell ref="AP2:BE2"/>
    <mergeCell ref="BZ2:CH2"/>
    <mergeCell ref="CL2:DJ2"/>
    <mergeCell ref="AV94:BV94"/>
    <mergeCell ref="A3:T3"/>
    <mergeCell ref="X3:AX3"/>
    <mergeCell ref="AZ3:BW3"/>
    <mergeCell ref="BY3:DA3"/>
    <mergeCell ref="DC3:DH3"/>
    <mergeCell ref="DI3:DT3"/>
    <mergeCell ref="DR48:DU50"/>
    <mergeCell ref="DR51:DU53"/>
    <mergeCell ref="DR54:DU56"/>
    <mergeCell ref="AV115:BG115"/>
    <mergeCell ref="AV116:BG116"/>
    <mergeCell ref="O125:R125"/>
    <mergeCell ref="S125:AG125"/>
    <mergeCell ref="AH126:AM126"/>
    <mergeCell ref="AN126:AQ126"/>
    <mergeCell ref="DE135:DV135"/>
    <mergeCell ref="AS131:BA131"/>
    <mergeCell ref="A131:N131"/>
    <mergeCell ref="O131:R131"/>
    <mergeCell ref="A132:AG132"/>
    <mergeCell ref="BB131:DV131"/>
    <mergeCell ref="BB132:DV132"/>
    <mergeCell ref="BU135:CL135"/>
    <mergeCell ref="CM135:DD135"/>
    <mergeCell ref="AX128:BA128"/>
    <mergeCell ref="S129:AG129"/>
    <mergeCell ref="AN131:AQ131"/>
    <mergeCell ref="BO125:DV125"/>
    <mergeCell ref="BB126:DV126"/>
    <mergeCell ref="BB127:DV127"/>
    <mergeCell ref="AH129:AM129"/>
    <mergeCell ref="AN129:AQ129"/>
    <mergeCell ref="AR129:AW129"/>
    <mergeCell ref="AX129:BA129"/>
    <mergeCell ref="A130:N130"/>
    <mergeCell ref="AN132:AQ132"/>
    <mergeCell ref="AS132:BA132"/>
    <mergeCell ref="AH131:AM131"/>
    <mergeCell ref="F136:R137"/>
    <mergeCell ref="F138:R139"/>
    <mergeCell ref="S134:DV134"/>
    <mergeCell ref="A134:R134"/>
    <mergeCell ref="F135:R135"/>
    <mergeCell ref="F140:R141"/>
    <mergeCell ref="A136:E137"/>
    <mergeCell ref="A135:E135"/>
    <mergeCell ref="A138:E139"/>
    <mergeCell ref="A140:E141"/>
    <mergeCell ref="S138:AJ139"/>
    <mergeCell ref="BU136:CL136"/>
    <mergeCell ref="BU137:CL137"/>
    <mergeCell ref="CM136:DD136"/>
    <mergeCell ref="CM137:DD137"/>
    <mergeCell ref="S135:AJ135"/>
    <mergeCell ref="S136:AJ137"/>
    <mergeCell ref="S140:AJ140"/>
    <mergeCell ref="S141:AJ141"/>
    <mergeCell ref="AK135:BB135"/>
    <mergeCell ref="A146:E147"/>
    <mergeCell ref="F144:R145"/>
    <mergeCell ref="A144:E145"/>
    <mergeCell ref="F150:R151"/>
    <mergeCell ref="A150:E151"/>
    <mergeCell ref="F148:R149"/>
    <mergeCell ref="AV117:BG117"/>
    <mergeCell ref="AV119:BG119"/>
    <mergeCell ref="A120:AU120"/>
    <mergeCell ref="A117:AU117"/>
    <mergeCell ref="A142:E143"/>
    <mergeCell ref="F142:R143"/>
    <mergeCell ref="BC135:BT135"/>
    <mergeCell ref="BC136:BT136"/>
    <mergeCell ref="BC137:BT137"/>
    <mergeCell ref="AH125:AQ125"/>
    <mergeCell ref="AR125:BA125"/>
    <mergeCell ref="AR126:AW126"/>
    <mergeCell ref="AX126:BA126"/>
    <mergeCell ref="A126:N126"/>
    <mergeCell ref="O126:R126"/>
    <mergeCell ref="S126:AG126"/>
    <mergeCell ref="AP123:BE123"/>
    <mergeCell ref="AH132:AM132"/>
    <mergeCell ref="BC154:BT154"/>
    <mergeCell ref="BC155:BT155"/>
    <mergeCell ref="F154:R155"/>
    <mergeCell ref="A154:E155"/>
    <mergeCell ref="A156:E157"/>
    <mergeCell ref="BU154:CL155"/>
    <mergeCell ref="F152:R153"/>
    <mergeCell ref="A152:E153"/>
    <mergeCell ref="CM156:DD156"/>
    <mergeCell ref="CM157:DD157"/>
    <mergeCell ref="AK154:BB155"/>
    <mergeCell ref="A158:DV158"/>
    <mergeCell ref="A159:DV159"/>
    <mergeCell ref="BU156:CL156"/>
    <mergeCell ref="BU157:CL157"/>
    <mergeCell ref="BC156:BT156"/>
    <mergeCell ref="BC157:BT157"/>
    <mergeCell ref="S156:AJ156"/>
    <mergeCell ref="S157:AJ157"/>
    <mergeCell ref="F156:R157"/>
    <mergeCell ref="DE156:DV156"/>
    <mergeCell ref="DE157:DV157"/>
    <mergeCell ref="A118:AU118"/>
    <mergeCell ref="A119:AU119"/>
    <mergeCell ref="BS118:DU118"/>
    <mergeCell ref="BS119:DU119"/>
    <mergeCell ref="BH118:BR118"/>
    <mergeCell ref="BH119:BR119"/>
    <mergeCell ref="AV118:BG118"/>
    <mergeCell ref="A128:N128"/>
    <mergeCell ref="AH127:AM127"/>
    <mergeCell ref="AN127:AQ127"/>
    <mergeCell ref="AR127:AW127"/>
    <mergeCell ref="AX127:BA127"/>
    <mergeCell ref="A127:N127"/>
    <mergeCell ref="O127:R127"/>
    <mergeCell ref="O128:R128"/>
    <mergeCell ref="S128:AG128"/>
    <mergeCell ref="S127:AG127"/>
    <mergeCell ref="AH128:AM128"/>
    <mergeCell ref="AN128:AQ128"/>
    <mergeCell ref="BZ123:CH123"/>
    <mergeCell ref="BS121:DU121"/>
    <mergeCell ref="BH121:BR121"/>
    <mergeCell ref="AV121:BG121"/>
    <mergeCell ref="A121:AU121"/>
    <mergeCell ref="DR76:DU78"/>
    <mergeCell ref="DR79:DU81"/>
    <mergeCell ref="DR82:DU84"/>
    <mergeCell ref="DR85:DU87"/>
    <mergeCell ref="DR88:DU90"/>
    <mergeCell ref="DR91:DU93"/>
    <mergeCell ref="X97:AX97"/>
    <mergeCell ref="AZ97:BW97"/>
    <mergeCell ref="BY97:DA97"/>
    <mergeCell ref="DC97:DH97"/>
    <mergeCell ref="DI97:DT97"/>
    <mergeCell ref="DR94:DU94"/>
    <mergeCell ref="A124:T124"/>
    <mergeCell ref="X124:AX124"/>
    <mergeCell ref="AZ124:BW124"/>
    <mergeCell ref="BY124:DA124"/>
    <mergeCell ref="DC124:DH124"/>
    <mergeCell ref="DI124:DT124"/>
    <mergeCell ref="A122:AD122"/>
    <mergeCell ref="AG122:BZ122"/>
    <mergeCell ref="CC122:DU122"/>
    <mergeCell ref="A123:T123"/>
    <mergeCell ref="V123:AN123"/>
    <mergeCell ref="CL123:DJ123"/>
    <mergeCell ref="DR63:DU65"/>
    <mergeCell ref="DR5:DU7"/>
    <mergeCell ref="DR8:DU10"/>
    <mergeCell ref="DR11:DU13"/>
    <mergeCell ref="DR14:DU16"/>
    <mergeCell ref="DR17:DU19"/>
    <mergeCell ref="DR20:DU22"/>
    <mergeCell ref="DR23:DU25"/>
    <mergeCell ref="DR26:DU28"/>
    <mergeCell ref="DR29:DU31"/>
    <mergeCell ref="DR32:DU34"/>
    <mergeCell ref="DR36:DU38"/>
    <mergeCell ref="DR39:DU41"/>
    <mergeCell ref="DR42:DU44"/>
    <mergeCell ref="DR45:DU47"/>
    <mergeCell ref="DR57:DU59"/>
    <mergeCell ref="DR60:DU62"/>
    <mergeCell ref="DR67:DU69"/>
    <mergeCell ref="A95:AD95"/>
    <mergeCell ref="AG95:BZ95"/>
    <mergeCell ref="BS99:DU99"/>
    <mergeCell ref="BS100:DU100"/>
    <mergeCell ref="BS101:DU101"/>
    <mergeCell ref="BS102:DU102"/>
    <mergeCell ref="BS103:DU103"/>
    <mergeCell ref="BS104:DU104"/>
    <mergeCell ref="BH99:BR99"/>
    <mergeCell ref="BH100:BR100"/>
    <mergeCell ref="BH101:BR101"/>
    <mergeCell ref="BH102:BR102"/>
    <mergeCell ref="BH103:BR103"/>
    <mergeCell ref="BH104:BR104"/>
    <mergeCell ref="CC95:DU95"/>
    <mergeCell ref="A96:T96"/>
    <mergeCell ref="V96:AN96"/>
    <mergeCell ref="AP96:BE96"/>
    <mergeCell ref="BZ96:CH96"/>
    <mergeCell ref="CL96:DJ96"/>
    <mergeCell ref="A97:T97"/>
    <mergeCell ref="DR70:DU72"/>
    <mergeCell ref="DR73:DU75"/>
    <mergeCell ref="BS112:DU112"/>
    <mergeCell ref="BS116:DU116"/>
    <mergeCell ref="BS115:DU115"/>
    <mergeCell ref="BS114:DU114"/>
    <mergeCell ref="BS113:DU113"/>
    <mergeCell ref="AV99:BG99"/>
    <mergeCell ref="AV100:BG100"/>
    <mergeCell ref="AV101:BG101"/>
    <mergeCell ref="AV102:BG102"/>
    <mergeCell ref="AV103:BG103"/>
    <mergeCell ref="AV104:BG104"/>
    <mergeCell ref="AV105:BG105"/>
    <mergeCell ref="AV112:BG112"/>
    <mergeCell ref="AV113:BG113"/>
    <mergeCell ref="AV114:BG114"/>
    <mergeCell ref="BH106:BR106"/>
    <mergeCell ref="BH107:BR107"/>
    <mergeCell ref="BH108:BR108"/>
    <mergeCell ref="BH109:BR109"/>
    <mergeCell ref="BH110:BR110"/>
    <mergeCell ref="BH111:BR111"/>
    <mergeCell ref="BH112:BR112"/>
    <mergeCell ref="BH113:BR113"/>
    <mergeCell ref="BH114:BR114"/>
    <mergeCell ref="AV108:BG108"/>
    <mergeCell ref="AV109:BG109"/>
    <mergeCell ref="AV110:BG110"/>
    <mergeCell ref="AV111:BG111"/>
    <mergeCell ref="A98:DU98"/>
    <mergeCell ref="A108:AU108"/>
    <mergeCell ref="A109:AU109"/>
    <mergeCell ref="A110:AU110"/>
    <mergeCell ref="A111:AU111"/>
    <mergeCell ref="BS106:DU106"/>
    <mergeCell ref="BS107:DU107"/>
    <mergeCell ref="BS108:DU108"/>
    <mergeCell ref="BS109:DU109"/>
    <mergeCell ref="BS110:DU110"/>
    <mergeCell ref="BS111:DU111"/>
    <mergeCell ref="BS105:DU105"/>
    <mergeCell ref="BH105:BR105"/>
    <mergeCell ref="A105:AU105"/>
    <mergeCell ref="A99:AU99"/>
    <mergeCell ref="A100:AU100"/>
    <mergeCell ref="A101:AU101"/>
    <mergeCell ref="A102:AU102"/>
    <mergeCell ref="A103:AU103"/>
    <mergeCell ref="A104:AU104"/>
    <mergeCell ref="A106:AU106"/>
    <mergeCell ref="A107:AU107"/>
    <mergeCell ref="AV106:BG106"/>
    <mergeCell ref="AV107:BG107"/>
    <mergeCell ref="AK138:BB139"/>
    <mergeCell ref="AK140:BB140"/>
    <mergeCell ref="AK141:BB141"/>
    <mergeCell ref="AK142:BB142"/>
    <mergeCell ref="A112:AU112"/>
    <mergeCell ref="A113:AU113"/>
    <mergeCell ref="A114:AU114"/>
    <mergeCell ref="A115:AU115"/>
    <mergeCell ref="A116:AU116"/>
    <mergeCell ref="S131:AG131"/>
    <mergeCell ref="BB128:DV128"/>
    <mergeCell ref="BB129:DV129"/>
    <mergeCell ref="BB130:DV130"/>
    <mergeCell ref="S130:AG130"/>
    <mergeCell ref="BB125:BN125"/>
    <mergeCell ref="A125:N125"/>
    <mergeCell ref="AR128:AW128"/>
    <mergeCell ref="AH130:AM130"/>
    <mergeCell ref="AN130:AQ130"/>
    <mergeCell ref="AS130:BA130"/>
    <mergeCell ref="O130:R130"/>
    <mergeCell ref="A129:N129"/>
    <mergeCell ref="O129:R129"/>
    <mergeCell ref="BU140:CL140"/>
    <mergeCell ref="BU141:CL141"/>
    <mergeCell ref="AK152:BB153"/>
    <mergeCell ref="BU142:CL142"/>
    <mergeCell ref="BU143:CL143"/>
    <mergeCell ref="BC142:BT142"/>
    <mergeCell ref="AK144:BB145"/>
    <mergeCell ref="AK146:BB146"/>
    <mergeCell ref="AK147:BB147"/>
    <mergeCell ref="AK148:BB148"/>
    <mergeCell ref="AK149:BB149"/>
    <mergeCell ref="AK150:BB150"/>
    <mergeCell ref="AK151:BB151"/>
    <mergeCell ref="BC146:BT146"/>
    <mergeCell ref="BC147:BT147"/>
    <mergeCell ref="BC148:BT148"/>
    <mergeCell ref="BC149:BT149"/>
    <mergeCell ref="BC150:BT150"/>
    <mergeCell ref="A148:E149"/>
    <mergeCell ref="S148:AJ149"/>
    <mergeCell ref="F146:R147"/>
    <mergeCell ref="DE154:DV155"/>
    <mergeCell ref="CM152:DD153"/>
    <mergeCell ref="DE136:DV137"/>
    <mergeCell ref="CM154:DD154"/>
    <mergeCell ref="CM155:DD155"/>
    <mergeCell ref="AK156:BB156"/>
    <mergeCell ref="AK157:BB157"/>
    <mergeCell ref="AK136:BB136"/>
    <mergeCell ref="AK137:BB137"/>
    <mergeCell ref="AK143:BB143"/>
    <mergeCell ref="BC144:BT145"/>
    <mergeCell ref="BU144:CL145"/>
    <mergeCell ref="DE152:DV153"/>
    <mergeCell ref="BC140:BT141"/>
    <mergeCell ref="CM140:DD141"/>
    <mergeCell ref="DE140:DV141"/>
    <mergeCell ref="DE138:DV139"/>
    <mergeCell ref="CM138:DD139"/>
    <mergeCell ref="BU138:CL139"/>
    <mergeCell ref="BC138:BT139"/>
    <mergeCell ref="BC152:BT153"/>
    <mergeCell ref="BU146:CL146"/>
    <mergeCell ref="CM142:DD142"/>
    <mergeCell ref="CM143:DD143"/>
    <mergeCell ref="S142:AJ142"/>
    <mergeCell ref="S143:AJ143"/>
    <mergeCell ref="S144:AJ145"/>
    <mergeCell ref="S146:AJ146"/>
    <mergeCell ref="S147:AJ147"/>
    <mergeCell ref="S150:AJ150"/>
    <mergeCell ref="S151:AJ151"/>
    <mergeCell ref="S154:AJ154"/>
    <mergeCell ref="S155:AJ155"/>
    <mergeCell ref="S152:AJ153"/>
    <mergeCell ref="BU147:CL147"/>
    <mergeCell ref="BU148:CL148"/>
    <mergeCell ref="BU149:CL149"/>
    <mergeCell ref="BU150:CL150"/>
    <mergeCell ref="BU151:CL151"/>
    <mergeCell ref="BU152:CL153"/>
    <mergeCell ref="BC143:BT143"/>
    <mergeCell ref="BC151:BT151"/>
    <mergeCell ref="DE142:DV142"/>
    <mergeCell ref="CM148:DD149"/>
    <mergeCell ref="CM150:DD151"/>
    <mergeCell ref="DE148:DV149"/>
    <mergeCell ref="DE150:DV151"/>
    <mergeCell ref="CM144:DD144"/>
    <mergeCell ref="CM145:DD145"/>
    <mergeCell ref="CM146:DD146"/>
    <mergeCell ref="CM147:DD147"/>
    <mergeCell ref="DE143:DV143"/>
    <mergeCell ref="DE144:DV144"/>
    <mergeCell ref="DE145:DV145"/>
    <mergeCell ref="DE146:DV146"/>
    <mergeCell ref="DE147:DV147"/>
  </mergeCells>
  <pageMargins left="0.25" right="0.25" top="0.25" bottom="0.25" header="0" footer="0"/>
  <pageSetup fitToWidth="0" fitToHeight="0" orientation="landscape" r:id="rId1"/>
  <extLst>
    <ext xmlns:x14="http://schemas.microsoft.com/office/spreadsheetml/2009/9/main" uri="{78C0D931-6437-407d-A8EE-F0AAD7539E65}">
      <x14:conditionalFormattings>
        <x14:conditionalFormatting xmlns:xm="http://schemas.microsoft.com/office/excel/2006/main">
          <x14:cfRule type="cellIs" priority="9" operator="equal" id="{6D3667FB-784B-42C5-8A5E-9CC9E5E47AA1}">
            <xm:f>'1-Hull'!$AA$62</xm:f>
            <x14:dxf>
              <fill>
                <patternFill patternType="lightUp"/>
              </fill>
            </x14:dxf>
          </x14:cfRule>
          <x14:cfRule type="cellIs" priority="10" operator="equal" id="{65F37A9F-D13A-40AB-B450-651FEEF16633}">
            <xm:f>'1-Hull'!$Z$62</xm:f>
            <x14:dxf>
              <fill>
                <patternFill patternType="lightUp"/>
              </fill>
            </x14:dxf>
          </x14:cfRule>
          <x14:cfRule type="cellIs" priority="11" operator="equal" id="{768B9977-3B03-40E4-8877-E3D23EE8423A}">
            <xm:f>'1-Hull'!$Y$62</xm:f>
            <x14:dxf>
              <fill>
                <patternFill patternType="lightUp"/>
              </fill>
            </x14:dxf>
          </x14:cfRule>
          <x14:cfRule type="cellIs" priority="12" operator="equal" id="{A5F8C6A0-A5AE-4E7D-913C-C0639707013C}">
            <xm:f>'1-Hull'!$X$62</xm:f>
            <x14:dxf>
              <fill>
                <patternFill patternType="lightUp"/>
              </fill>
            </x14:dxf>
          </x14:cfRule>
          <x14:cfRule type="cellIs" priority="13" operator="equal" id="{8981CA36-A823-4345-8AA6-1E4A710B89A9}">
            <xm:f>'1-Hull'!$W$62</xm:f>
            <x14:dxf>
              <fill>
                <patternFill patternType="lightUp"/>
              </fill>
            </x14:dxf>
          </x14:cfRule>
          <x14:cfRule type="cellIs" priority="14" operator="equal" id="{5A98C6E5-54F0-4184-B4AE-63F523039092}">
            <xm:f>'1-Hull'!$V$62</xm:f>
            <x14:dxf>
              <fill>
                <patternFill patternType="lightUp"/>
              </fill>
            </x14:dxf>
          </x14:cfRule>
          <x14:cfRule type="cellIs" priority="15" operator="equal" id="{DAE38F10-2E9D-43A6-B6F6-5562508C21A8}">
            <xm:f>'1-Hull'!$U$62</xm:f>
            <x14:dxf>
              <fill>
                <patternFill patternType="lightUp"/>
              </fill>
            </x14:dxf>
          </x14:cfRule>
          <x14:cfRule type="cellIs" priority="16" operator="equal" id="{E6ECE402-A8FA-465C-88FD-1EE8110AA93A}">
            <xm:f>'1-Hull'!$T$62</xm:f>
            <x14:dxf>
              <fill>
                <patternFill patternType="lightUp"/>
              </fill>
            </x14:dxf>
          </x14:cfRule>
          <x14:cfRule type="cellIs" priority="17" operator="equal" id="{00C86352-9DF6-4305-AEA9-A6C7A2B59B26}">
            <xm:f>'1-Hull'!$S$62</xm:f>
            <x14:dxf>
              <fill>
                <patternFill patternType="lightUp"/>
              </fill>
            </x14:dxf>
          </x14:cfRule>
          <x14:cfRule type="cellIs" priority="18" operator="greaterThan" id="{7C44EE9A-6B97-47A7-9CBA-5C678E59D534}">
            <xm:f>'1-Hull'!$S$60</xm:f>
            <x14:dxf>
              <font>
                <color theme="0" tint="-0.24994659260841701"/>
              </font>
              <fill>
                <patternFill>
                  <bgColor theme="0" tint="-0.24994659260841701"/>
                </patternFill>
              </fill>
            </x14:dxf>
          </x14:cfRule>
          <xm:sqref>A4:DP93</xm:sqref>
        </x14:conditionalFormatting>
        <x14:conditionalFormatting xmlns:xm="http://schemas.microsoft.com/office/excel/2006/main">
          <x14:cfRule type="expression" priority="1" id="{2D42C38A-F811-43CE-A360-25B708C918C1}">
            <xm:f>'7-Sensors'!$B$33="Installed"</xm:f>
            <x14:dxf>
              <font>
                <u val="double"/>
              </font>
            </x14:dxf>
          </x14:cfRule>
          <xm:sqref>F136:R137</xm:sqref>
        </x14:conditionalFormatting>
        <x14:conditionalFormatting xmlns:xm="http://schemas.microsoft.com/office/excel/2006/main">
          <x14:cfRule type="expression" priority="2" id="{CFFCDACC-EAD9-482D-ACB2-76CA828E588C}">
            <xm:f>'3-Pwr Plant'!$C$16='3-Pwr Plant'!$S$14</xm:f>
            <x14:dxf>
              <font>
                <u val="double"/>
              </font>
            </x14:dxf>
          </x14:cfRule>
          <xm:sqref>F138:R139</xm:sqref>
        </x14:conditionalFormatting>
        <x14:conditionalFormatting xmlns:xm="http://schemas.microsoft.com/office/excel/2006/main">
          <x14:cfRule type="expression" priority="3" id="{EEF691E2-0533-4FF3-89AC-7FD214C404D3}">
            <xm:f>'4-Fuel'!$C$12='4-Fuel'!$T$8</xm:f>
            <x14:dxf>
              <font>
                <u val="double"/>
              </font>
            </x14:dxf>
          </x14:cfRule>
          <xm:sqref>F140:R141</xm:sqref>
        </x14:conditionalFormatting>
        <x14:conditionalFormatting xmlns:xm="http://schemas.microsoft.com/office/excel/2006/main">
          <x14:cfRule type="expression" priority="7" id="{8D5E357F-3E43-4C72-81FF-F830CA522D7A}">
            <xm:f>'2-Drives'!$C$13="Yes"</xm:f>
            <x14:dxf>
              <font>
                <u val="double"/>
              </font>
              <border>
                <vertical/>
                <horizontal/>
              </border>
            </x14:dxf>
          </x14:cfRule>
          <xm:sqref>F148:R149</xm:sqref>
        </x14:conditionalFormatting>
        <x14:conditionalFormatting xmlns:xm="http://schemas.microsoft.com/office/excel/2006/main">
          <x14:cfRule type="expression" priority="6" id="{0494F6DA-7369-4D8A-AC00-0395C27ABD59}">
            <xm:f>'2-Drives'!$C$27='2-Drives'!$S$13</xm:f>
            <x14:dxf>
              <font>
                <u val="double"/>
              </font>
            </x14:dxf>
          </x14:cfRule>
          <xm:sqref>F152:R153</xm:sqref>
        </x14:conditionalFormatting>
        <x14:conditionalFormatting xmlns:xm="http://schemas.microsoft.com/office/excel/2006/main">
          <x14:cfRule type="expression" priority="1511" id="{47C0E422-33D9-48A6-9C80-B15877D119CB}">
            <xm:f>'11-Staterooms'!$C$58="Yes"</xm:f>
            <x14:dxf>
              <font>
                <u val="double"/>
              </font>
            </x14:dxf>
          </x14:cfRule>
          <xm:sqref>F154:R155</xm:sqref>
        </x14:conditionalFormatting>
        <x14:conditionalFormatting xmlns:xm="http://schemas.microsoft.com/office/excel/2006/main">
          <x14:cfRule type="expression" priority="5" id="{5A149DE3-9C77-4EED-871C-8A3087AEEE62}">
            <xm:f>'5-Bridge'!$C$22='5-Bridge'!$S$26</xm:f>
            <x14:dxf>
              <font>
                <u val="double"/>
              </font>
            </x14:dxf>
          </x14:cfRule>
          <xm:sqref>F156:R157</xm:sqref>
        </x14:conditionalFormatting>
        <x14:conditionalFormatting xmlns:xm="http://schemas.microsoft.com/office/excel/2006/main">
          <x14:cfRule type="expression" priority="20" id="{3050FC44-90E4-449B-91A4-587D472BC40C}">
            <xm:f>'1-Hull'!$D$7&lt;10560</xm:f>
            <x14:dxf>
              <fill>
                <patternFill>
                  <bgColor theme="0" tint="-0.499984740745262"/>
                </patternFill>
              </fill>
            </x14:dxf>
          </x14:cfRule>
          <xm:sqref>DR5 DR8 DR11 DR14 DR17 DR20 DR23 DR26 DR29 DR32</xm:sqref>
        </x14:conditionalFormatting>
        <x14:conditionalFormatting xmlns:xm="http://schemas.microsoft.com/office/excel/2006/main">
          <x14:cfRule type="expression" priority="19" id="{F03B09BE-19AB-473C-9FF3-76415E1BEE3F}">
            <xm:f>'1-Hull'!$D$7&lt;105600</xm:f>
            <x14:dxf>
              <fill>
                <patternFill>
                  <bgColor theme="0" tint="-0.499984740745262"/>
                </patternFill>
              </fill>
            </x14:dxf>
          </x14:cfRule>
          <xm:sqref>DR36 DR39 DR42 DR45 DR48 DR51 DR54 DR57 DR60 DR63</xm:sqref>
        </x14:conditionalFormatting>
        <x14:conditionalFormatting xmlns:xm="http://schemas.microsoft.com/office/excel/2006/main">
          <x14:cfRule type="expression" priority="8" id="{C7D00373-B88D-4577-8E54-6CA65095259C}">
            <xm:f>'1-Hull'!$D$7&lt;1056000</xm:f>
            <x14:dxf>
              <fill>
                <patternFill>
                  <bgColor theme="0" tint="-0.499984740745262"/>
                </patternFill>
              </fill>
            </x14:dxf>
          </x14:cfRule>
          <xm:sqref>DR67:DU94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252E-D5B9-4F63-AE00-306F5E605A89}">
  <dimension ref="A1:J468"/>
  <sheetViews>
    <sheetView view="pageLayout" zoomScaleNormal="100" workbookViewId="0">
      <selection activeCell="J1" sqref="E1:J1048576"/>
    </sheetView>
  </sheetViews>
  <sheetFormatPr baseColWidth="10" defaultColWidth="8.83203125" defaultRowHeight="15"/>
  <cols>
    <col min="1" max="1" width="14.33203125" style="400" customWidth="1"/>
    <col min="2" max="2" width="51.83203125" style="463" customWidth="1"/>
    <col min="3" max="3" width="16" style="4" customWidth="1"/>
    <col min="4" max="4" width="18.33203125" customWidth="1"/>
    <col min="5" max="5" width="5.1640625" style="73" hidden="1" customWidth="1"/>
    <col min="6" max="6" width="4.6640625" style="73" hidden="1" customWidth="1"/>
    <col min="7" max="7" width="14.33203125" style="400" hidden="1" customWidth="1"/>
    <col min="8" max="8" width="46.83203125" style="12" hidden="1" customWidth="1"/>
    <col min="9" max="9" width="11.1640625" style="4" hidden="1" customWidth="1"/>
    <col min="10" max="10" width="18.33203125" style="4" hidden="1" customWidth="1"/>
  </cols>
  <sheetData>
    <row r="1" spans="1:10">
      <c r="A1" s="529" t="str">
        <f>"Class: "&amp;'Ship Info'!B1</f>
        <v>Class: Zhodani Long Range Scout</v>
      </c>
      <c r="B1" s="529"/>
      <c r="C1" s="407">
        <f>Tonnage</f>
        <v>300</v>
      </c>
      <c r="D1" s="285" t="str">
        <f>" Tons "&amp;I1&amp;"     TL "&amp;Tech_Level</f>
        <v xml:space="preserve"> Tons Ship     TL 14</v>
      </c>
      <c r="E1" s="389"/>
      <c r="F1" s="389"/>
      <c r="G1" s="394"/>
      <c r="I1" s="4" t="str">
        <f>IF(AND('Ship Info'!F7,'Ship Info'!I6="Yes"),"Pod",'Ship Info'!E6)</f>
        <v>Ship</v>
      </c>
    </row>
    <row r="2" spans="1:10" ht="16">
      <c r="A2" s="530" t="s">
        <v>1708</v>
      </c>
      <c r="B2" s="531"/>
      <c r="C2" s="402" t="s">
        <v>117</v>
      </c>
      <c r="D2" s="194" t="s">
        <v>1128</v>
      </c>
      <c r="E2" s="390">
        <v>1</v>
      </c>
      <c r="F2" s="390">
        <v>1</v>
      </c>
      <c r="G2" s="395" t="s">
        <v>574</v>
      </c>
      <c r="H2" s="391" t="str">
        <f>'1-Hull'!$B$6&amp;" "&amp;'1-Hull'!$B$7&amp;", "&amp;IF('1-Hull'!$D$5="Yes",""," Non-Gravitic ")&amp;'1-Hull'!$D$6&amp;": "&amp;'1-Hull'!$D$7</f>
        <v>Needle Streamlined, Standard Hull: 120</v>
      </c>
      <c r="I2" s="237" t="str">
        <f>""</f>
        <v/>
      </c>
      <c r="J2" s="387">
        <f>'1-Hull'!F6</f>
        <v>36000000</v>
      </c>
    </row>
    <row r="3" spans="1:10" ht="16">
      <c r="A3" s="400" t="s">
        <v>574</v>
      </c>
      <c r="B3" s="463" t="str">
        <f>H2</f>
        <v>Needle Streamlined, Standard Hull: 120</v>
      </c>
      <c r="D3" s="4">
        <f>J2</f>
        <v>36000000</v>
      </c>
      <c r="E3" s="73">
        <f t="shared" ref="E3" si="0">IF(H3="",E2,E2+1)</f>
        <v>1</v>
      </c>
      <c r="F3" s="73" t="str">
        <f t="shared" ref="F3" si="1">IF(E3=E2,"",E3)</f>
        <v/>
      </c>
      <c r="G3" s="396"/>
      <c r="H3" s="12" t="str">
        <f>IF('1-Hull'!$C$8="No","","Military Hull")</f>
        <v/>
      </c>
      <c r="I3" s="4">
        <v>0</v>
      </c>
      <c r="J3" s="265">
        <f>'1-Hull'!$F$8</f>
        <v>0</v>
      </c>
    </row>
    <row r="4" spans="1:10" ht="15" customHeight="1">
      <c r="A4" s="400" t="str">
        <f>IF(INDEX(F:J,MATCH(2,F:F,0),2)=0,"",INDEX(F:J,MATCH(2,F:F,0),2))</f>
        <v/>
      </c>
      <c r="B4" s="463" t="str">
        <f>INDEX(F:J,MATCH(2,F:F,0),3)</f>
        <v>Radiation Shielding: Reduce Rads by 1000</v>
      </c>
      <c r="C4" s="4">
        <f>INDEX(F:J,MATCH(2,F:F,0),4)</f>
        <v>0</v>
      </c>
      <c r="D4" s="4">
        <f>INDEX(F:J,MATCH(2,F:F,0),5)</f>
        <v>15000000</v>
      </c>
      <c r="E4" s="73">
        <f t="shared" ref="E4" si="2">IF(H4="",E3,E3+1)</f>
        <v>1</v>
      </c>
      <c r="F4" s="73" t="str">
        <f t="shared" ref="F4" si="3">IF(E4=E3,"",E4)</f>
        <v/>
      </c>
      <c r="G4" s="397"/>
      <c r="H4" s="12" t="str">
        <f>IF('1-Hull'!A$13='1-Hull'!S$24,"",'1-Hull'!S$25)</f>
        <v/>
      </c>
      <c r="I4" s="4">
        <f>'1-Hull'!H$13</f>
        <v>0</v>
      </c>
      <c r="J4" s="265">
        <f>'1-Hull'!F$13</f>
        <v>0</v>
      </c>
    </row>
    <row r="5" spans="1:10" ht="15" customHeight="1">
      <c r="A5" s="400" t="str">
        <f>IF(INDEX(F:J,MATCH(3,F:F,0),2)=0,"",INDEX(F:J,MATCH(3,F:F,0),2))</f>
        <v>M-Drive</v>
      </c>
      <c r="B5" s="463" t="str">
        <f>INDEX(F:J,MATCH(3,F:F,0),3)</f>
        <v>M-Drive: 2 Efficient, Small, Easy to Repair, EMP</v>
      </c>
      <c r="C5" s="4">
        <f>INDEX(F:J,MATCH(3,F:F,0),4)</f>
        <v>5.4</v>
      </c>
      <c r="D5" s="4">
        <f>INDEX(F:J,MATCH(3,F:F,0),5)</f>
        <v>54000000</v>
      </c>
      <c r="E5" s="73">
        <f t="shared" ref="E5:E68" si="4">IF(H5="",E4,E4+1)</f>
        <v>1</v>
      </c>
      <c r="F5" s="73" t="str">
        <f t="shared" ref="F5:F68" si="5">IF(E5=E4,"",E5)</f>
        <v/>
      </c>
      <c r="G5" s="397"/>
      <c r="H5" s="12" t="str">
        <f>IF('1-Hull'!A$14='1-Hull'!S$26,"",'1-Hull'!S$27)</f>
        <v/>
      </c>
      <c r="I5" s="4">
        <f>'1-Hull'!H$14</f>
        <v>0</v>
      </c>
      <c r="J5" s="265">
        <f>'1-Hull'!F$14</f>
        <v>0</v>
      </c>
    </row>
    <row r="6" spans="1:10" ht="16">
      <c r="A6" s="400" t="str">
        <f>IF(MAX(F:F)&lt;4,"",IF(INDEX(F:J,MATCH(4,F:F,0),2)=0,"",INDEX(F:J,MATCH(4,F:F,0),2)))</f>
        <v>FTL</v>
      </c>
      <c r="B6" s="463" t="str">
        <f>IF(MAX(F:F)&lt;4,"",INDEX(F:J,MATCH(4,F:F,0),3))</f>
        <v>Jump Drive: 3 Easy to Repair</v>
      </c>
      <c r="C6" s="4">
        <f>IF(MAX(F:F)&lt;4,"",INDEX(F:J,MATCH(4,F:F,0),4))</f>
        <v>27.5</v>
      </c>
      <c r="D6" s="4">
        <f>IF(MAX(F:F)&lt;4,"",INDEX(F:J,MATCH(4,F:F,0),5))</f>
        <v>90750000</v>
      </c>
      <c r="E6" s="73">
        <f t="shared" si="4"/>
        <v>1</v>
      </c>
      <c r="F6" s="73" t="str">
        <f t="shared" si="5"/>
        <v/>
      </c>
      <c r="G6" s="397"/>
      <c r="H6" s="12" t="str">
        <f>IF('1-Hull'!A$15='1-Hull'!S$28,"",'1-Hull'!S$29)</f>
        <v/>
      </c>
      <c r="I6" s="4">
        <f>'1-Hull'!H$15</f>
        <v>0</v>
      </c>
      <c r="J6" s="265">
        <f>'1-Hull'!F$15</f>
        <v>0</v>
      </c>
    </row>
    <row r="7" spans="1:10" ht="16">
      <c r="A7" s="400" t="str">
        <f>IF(MAX(F:F)&lt;5,"",IF(INDEX(F:J,MATCH(5,F:F,0),2)=0,"",INDEX(F:J,MATCH(5,F:F,0),2)))</f>
        <v>Power Plant</v>
      </c>
      <c r="B7" s="463" t="str">
        <f>IF(MAX(F:F)&lt;5,"",INDEX(F:J,MATCH(5,F:F,0),3))</f>
        <v>Fusion TL 12 Output:250 Easy to repair, Small</v>
      </c>
      <c r="C7" s="4">
        <f>IF(MAX(F:F)&lt;5,"",INDEX(F:J,MATCH(5,F:F,0),4))</f>
        <v>15</v>
      </c>
      <c r="D7" s="4">
        <f>IF(MAX(F:F)&lt;5,"",INDEX(F:J,MATCH(5,F:F,0),5))</f>
        <v>41666666.666666672</v>
      </c>
      <c r="E7" s="73">
        <f t="shared" si="4"/>
        <v>1</v>
      </c>
      <c r="F7" s="73" t="str">
        <f t="shared" si="5"/>
        <v/>
      </c>
      <c r="G7" s="397"/>
      <c r="H7" s="12" t="str">
        <f>IF('1-Hull'!$A$16='1-Hull'!$S$30,"",'1-Hull'!$S$48)</f>
        <v/>
      </c>
      <c r="I7" s="4">
        <f>'1-Hull'!H$16</f>
        <v>0</v>
      </c>
      <c r="J7" s="265">
        <f>'1-Hull'!F$16</f>
        <v>0</v>
      </c>
    </row>
    <row r="8" spans="1:10" ht="16">
      <c r="A8" s="400" t="str">
        <f>IF(MAX(F:F)&lt;6,"",IF(INDEX(F:J,MATCH(6,F:F,0),2)=0,"",INDEX(F:J,MATCH(6,F:F,0),2)))</f>
        <v>Fuel</v>
      </c>
      <c r="B8" s="463" t="str">
        <f>IF(MAX(F:F)&lt;6,"",INDEX(F:J,MATCH(6,F:F,0),3))</f>
        <v>3 Jumps Available x 1 pc, 4 Weeks of Operation</v>
      </c>
      <c r="C8" s="4">
        <f>IF(MAX(F:F)&lt;6,"",INDEX(F:J,MATCH(6,F:F,0),4))</f>
        <v>92</v>
      </c>
      <c r="D8" s="4" t="str">
        <f>IF(MAX(F:F)&lt;6,"",INDEX(F:J,MATCH(6,F:F,0),5))</f>
        <v/>
      </c>
      <c r="E8" s="73">
        <f t="shared" si="4"/>
        <v>1</v>
      </c>
      <c r="F8" s="73" t="str">
        <f t="shared" si="5"/>
        <v/>
      </c>
      <c r="G8" s="397"/>
      <c r="H8" s="12" t="str">
        <f>IF('1-Hull'!$A$17='1-Hull'!$S$30,"",'1-Hull'!$A$17)</f>
        <v/>
      </c>
      <c r="I8" s="4">
        <f>'1-Hull'!H$17</f>
        <v>0</v>
      </c>
      <c r="J8" s="265">
        <f>'1-Hull'!F$17</f>
        <v>0</v>
      </c>
    </row>
    <row r="9" spans="1:10" ht="16">
      <c r="A9" s="400" t="str">
        <f>IF(MAX(F:F)&lt;7,"",IF(INDEX(F:J,MATCH(7,F:F,0),2)=0,"",INDEX(F:J,MATCH(7,F:F,0),2)))</f>
        <v>Bridge</v>
      </c>
      <c r="B9" s="463" t="str">
        <f>IF(MAX(F:F)&lt;7,"",INDEX(F:J,MATCH(7,F:F,0),3))</f>
        <v>Standard Bridge</v>
      </c>
      <c r="C9" s="4">
        <f>IF(MAX(F:F)&lt;7,"",INDEX(F:J,MATCH(7,F:F,0),4))</f>
        <v>20</v>
      </c>
      <c r="D9" s="4">
        <f>IF(MAX(F:F)&lt;7,"",INDEX(F:J,MATCH(7,F:F,0),5))</f>
        <v>1500000</v>
      </c>
      <c r="E9" s="73">
        <f t="shared" si="4"/>
        <v>1</v>
      </c>
      <c r="F9" s="73" t="str">
        <f t="shared" si="5"/>
        <v/>
      </c>
      <c r="G9" s="397"/>
      <c r="H9" s="12" t="str">
        <f>IF('1-Hull'!$A$18='1-Hull'!$S$32,"",'1-Hull'!$A$18)</f>
        <v/>
      </c>
      <c r="I9" s="4">
        <f>'1-Hull'!H$19</f>
        <v>0</v>
      </c>
      <c r="J9" s="265">
        <f>'1-Hull'!F$18</f>
        <v>0</v>
      </c>
    </row>
    <row r="10" spans="1:10" ht="16">
      <c r="A10" s="400" t="str">
        <f>IF(MAX(F:F)&lt;8,"",IF(INDEX(F:J,MATCH(8,F:F,0),2)=0,"",INDEX(F:J,MATCH(8,F:F,0),2)))</f>
        <v/>
      </c>
      <c r="B10" s="463" t="str">
        <f>IF(MAX(F:F)&lt;8,"",INDEX(F:J,MATCH(8,F:F,0),3))</f>
        <v>Main Bridge Holographic Controls</v>
      </c>
      <c r="C10" s="4">
        <f>IF(MAX(F:F)&lt;8,"",INDEX(F:J,MATCH(8,F:F,0),4))</f>
        <v>0</v>
      </c>
      <c r="D10" s="4">
        <f>IF(MAX(F:F)&lt;8,"",INDEX(F:J,MATCH(8,F:F,0),5))</f>
        <v>375000</v>
      </c>
      <c r="E10" s="73">
        <f t="shared" si="4"/>
        <v>1</v>
      </c>
      <c r="F10" s="73" t="str">
        <f t="shared" si="5"/>
        <v/>
      </c>
      <c r="G10" s="397"/>
      <c r="H10" s="12" t="str">
        <f>IF('1-Hull'!$A$19='1-Hull'!$S$37,"",'1-Hull'!$A$19)</f>
        <v/>
      </c>
      <c r="I10" s="4">
        <f>'1-Hull'!H$19</f>
        <v>0</v>
      </c>
      <c r="J10" s="265">
        <f>'1-Hull'!F$19</f>
        <v>0</v>
      </c>
    </row>
    <row r="11" spans="1:10" ht="16">
      <c r="A11" s="400" t="str">
        <f>IF(MAX(F:F)&lt;9,"",IF(INDEX(F:J,MATCH(9,F:F,0),2)=0,"",INDEX(F:J,MATCH(9,F:F,0),2)))</f>
        <v/>
      </c>
      <c r="B11" s="463" t="str">
        <f>IF(MAX(F:F)&lt;9,"",INDEX(F:J,MATCH(9,F:F,0),3))</f>
        <v>1x Additional Sensor Stations</v>
      </c>
      <c r="C11" s="4">
        <f>IF(MAX(F:F)&lt;9,"",INDEX(F:J,MATCH(9,F:F,0),4))</f>
        <v>1</v>
      </c>
      <c r="D11" s="4">
        <f>IF(MAX(F:F)&lt;9,"",INDEX(F:J,MATCH(9,F:F,0),5))</f>
        <v>500000</v>
      </c>
      <c r="E11" s="73">
        <f t="shared" si="4"/>
        <v>1</v>
      </c>
      <c r="F11" s="73" t="str">
        <f t="shared" si="5"/>
        <v/>
      </c>
      <c r="G11" s="397"/>
      <c r="H11" s="12" t="str">
        <f>IF('1-Hull'!$A$20='1-Hull'!$S$40,"",'1-Hull'!$A$20)</f>
        <v/>
      </c>
      <c r="I11" s="4">
        <f>'1-Hull'!H$20</f>
        <v>0</v>
      </c>
      <c r="J11" s="265">
        <f>'1-Hull'!F$20</f>
        <v>0</v>
      </c>
    </row>
    <row r="12" spans="1:10" ht="16">
      <c r="A12" s="400" t="str">
        <f>IF(MAX(F:F)&lt;10,"",IF(INDEX(F:J,MATCH(10,F:F,0),2)=0,"",INDEX(F:J,MATCH(10,F:F,0),2)))</f>
        <v>Computer</v>
      </c>
      <c r="B12" s="463" t="str">
        <f>IF(MAX(F:F)&lt;10,"",INDEX(F:J,MATCH(10,F:F,0),3))</f>
        <v>Core/ 60 /bis/fib</v>
      </c>
      <c r="C12" s="4">
        <f>IF(MAX(F:F)&lt;10,"",INDEX(F:J,MATCH(10,F:F,0),4))</f>
        <v>0</v>
      </c>
      <c r="D12" s="4">
        <f>IF(MAX(F:F)&lt;10,"",INDEX(F:J,MATCH(10,F:F,0),5))</f>
        <v>150000000</v>
      </c>
      <c r="E12" s="73">
        <f t="shared" si="4"/>
        <v>2</v>
      </c>
      <c r="F12" s="73">
        <f t="shared" si="5"/>
        <v>2</v>
      </c>
      <c r="G12" s="397"/>
      <c r="H12" s="12" t="str">
        <f>IF('1-Hull'!$A$21='1-Hull'!$S$45,"",'1-Hull'!$A$21&amp;": "&amp;'1-Hull'!B21)</f>
        <v>Radiation Shielding: Reduce Rads by 1000</v>
      </c>
      <c r="I12" s="4">
        <f>'1-Hull'!H$21</f>
        <v>0</v>
      </c>
      <c r="J12" s="265">
        <f>'1-Hull'!F$21</f>
        <v>15000000</v>
      </c>
    </row>
    <row r="13" spans="1:10" ht="16">
      <c r="A13" s="400" t="str">
        <f>IF(MAX(F:F)&lt;11,"",IF(INDEX(F:J,MATCH(11,F:F,0),2)=0,"",INDEX(F:J,MATCH(11,F:F,0),2)))</f>
        <v>Software</v>
      </c>
      <c r="B13" s="463" t="str">
        <f>IF(MAX(F:F)&lt;11,"",INDEX(F:J,MATCH(11,F:F,0),3))</f>
        <v>Library</v>
      </c>
      <c r="C13" s="4">
        <f>IF(MAX(F:F)&lt;11,"",INDEX(F:J,MATCH(11,F:F,0),4))</f>
        <v>0</v>
      </c>
      <c r="D13" s="4">
        <f>IF(MAX(F:F)&lt;11,"",INDEX(F:J,MATCH(11,F:F,0),5))</f>
        <v>0</v>
      </c>
      <c r="E13" s="73">
        <f t="shared" si="4"/>
        <v>2</v>
      </c>
      <c r="F13" s="73" t="str">
        <f t="shared" si="5"/>
        <v/>
      </c>
      <c r="G13" s="397"/>
      <c r="H13" s="12" t="str">
        <f>IF('1-Hull'!$A$22='1-Hull'!$S$42,"",'1-Hull'!$A$22&amp;" "&amp;'1-Hull'!$D$22&amp;"% Coverage Power:"&amp;'1-Hull'!$K22*-1)</f>
        <v/>
      </c>
      <c r="I13" s="4">
        <f>'1-Hull'!H$22</f>
        <v>0</v>
      </c>
      <c r="J13" s="265">
        <f>'1-Hull'!F$22</f>
        <v>0</v>
      </c>
    </row>
    <row r="14" spans="1:10" ht="16">
      <c r="A14" s="400" t="str">
        <f>IF(MAX(F:F)&lt;12,"",IF(INDEX(F:J,MATCH(12,F:F,0),2)=0,"",INDEX(F:J,MATCH(12,F:F,0),2)))</f>
        <v/>
      </c>
      <c r="B14" s="463" t="str">
        <f>IF(MAX(F:F)&lt;12,"",INDEX(F:J,MATCH(12,F:F,0),3))</f>
        <v>Manoeuvre/0</v>
      </c>
      <c r="C14" s="4">
        <f>IF(MAX(F:F)&lt;12,"",INDEX(F:J,MATCH(12,F:F,0),4))</f>
        <v>0</v>
      </c>
      <c r="D14" s="4">
        <f>IF(MAX(F:F)&lt;12,"",INDEX(F:J,MATCH(12,F:F,0),5))</f>
        <v>0</v>
      </c>
      <c r="E14" s="73">
        <f t="shared" si="4"/>
        <v>2</v>
      </c>
      <c r="F14" s="73" t="str">
        <f t="shared" si="5"/>
        <v/>
      </c>
      <c r="G14" s="397"/>
      <c r="H14" s="12" t="str">
        <f>IF('1-Hull'!$C$25=0,"",'1-Hull'!$C$25&amp;" Tons of Modular Sections")</f>
        <v/>
      </c>
      <c r="I14" s="4">
        <v>0</v>
      </c>
      <c r="J14" s="265">
        <f>SUM('1-Hull'!F$25:F$27)</f>
        <v>0</v>
      </c>
    </row>
    <row r="15" spans="1:10" ht="16">
      <c r="A15" s="400" t="str">
        <f>IF(MAX(F:F)&lt;13,"",IF(INDEX(F:J,MATCH(13,F:F,0),2)=0,"",INDEX(F:J,MATCH(13,F:F,0),2)))</f>
        <v/>
      </c>
      <c r="B15" s="463" t="str">
        <f>IF(MAX(F:F)&lt;13,"",INDEX(F:J,MATCH(13,F:F,0),3))</f>
        <v>Intellect</v>
      </c>
      <c r="C15" s="4">
        <f>IF(MAX(F:F)&lt;13,"",INDEX(F:J,MATCH(13,F:F,0),4))</f>
        <v>0</v>
      </c>
      <c r="D15" s="4">
        <f>IF(MAX(F:F)&lt;13,"",INDEX(F:J,MATCH(13,F:F,0),5))</f>
        <v>0</v>
      </c>
      <c r="E15" s="73">
        <f t="shared" si="4"/>
        <v>2</v>
      </c>
      <c r="F15" s="73" t="str">
        <f t="shared" si="5"/>
        <v/>
      </c>
      <c r="G15" s="397"/>
      <c r="H15" s="12" t="str">
        <f>IF('1-Hull'!$C$29=0,"",'1-Hull'!$C$29&amp;" Dtons of Breakaway Hull(s)")</f>
        <v/>
      </c>
      <c r="I15" s="4">
        <f>'1-Hull'!H$29</f>
        <v>0</v>
      </c>
      <c r="J15" s="265">
        <f>'1-Hull'!F$29</f>
        <v>0</v>
      </c>
    </row>
    <row r="16" spans="1:10" ht="16">
      <c r="A16" s="400" t="str">
        <f>IF(MAX(F:F)&lt;14,"",IF(INDEX(F:J,MATCH(14,F:F,0),2)=0,"",INDEX(F:J,MATCH(14,F:F,0),2)))</f>
        <v/>
      </c>
      <c r="B16" s="463" t="str">
        <f>IF(MAX(F:F)&lt;14,"",INDEX(F:J,MATCH(14,F:F,0),3))</f>
        <v>Auto-Repair/1</v>
      </c>
      <c r="C16" s="4">
        <f>IF(MAX(F:F)&lt;14,"",INDEX(F:J,MATCH(14,F:F,0),4))</f>
        <v>0</v>
      </c>
      <c r="D16" s="4">
        <f>IF(MAX(F:F)&lt;14,"",INDEX(F:J,MATCH(14,F:F,0),5))</f>
        <v>5000000</v>
      </c>
      <c r="E16" s="73">
        <f t="shared" si="4"/>
        <v>2</v>
      </c>
      <c r="F16" s="73" t="str">
        <f t="shared" si="5"/>
        <v/>
      </c>
      <c r="G16" s="397"/>
      <c r="H16" s="12" t="str">
        <f>IF('1-Hull'!$A$37='1-Hull'!$AC$52,"",'1-Hull'!$A$36&amp;": "&amp;'1-Hull'!$C$36&amp;" Dton Outer Hull")</f>
        <v/>
      </c>
      <c r="I16" s="4">
        <f>'1-Hull'!H$36</f>
        <v>0</v>
      </c>
      <c r="J16" s="265">
        <f>'1-Hull'!F$39</f>
        <v>0</v>
      </c>
    </row>
    <row r="17" spans="1:10" ht="16">
      <c r="A17" s="400" t="str">
        <f>IF(MAX(F:F)&lt;15,"",IF(INDEX(F:J,MATCH(15,F:F,0),2)=0,"",INDEX(F:J,MATCH(15,F:F,0),2)))</f>
        <v/>
      </c>
      <c r="B17" s="463" t="str">
        <f>IF(MAX(F:F)&lt;15,"",INDEX(F:J,MATCH(15,F:F,0),3))</f>
        <v>Basic Fire Control/1</v>
      </c>
      <c r="C17" s="4">
        <f>IF(MAX(F:F)&lt;15,"",INDEX(F:J,MATCH(15,F:F,0),4))</f>
        <v>0</v>
      </c>
      <c r="D17" s="4">
        <f>IF(MAX(F:F)&lt;15,"",INDEX(F:J,MATCH(15,F:F,0),5))</f>
        <v>2000000</v>
      </c>
      <c r="E17" s="73">
        <f t="shared" si="4"/>
        <v>2</v>
      </c>
      <c r="F17" s="73" t="str">
        <f t="shared" si="5"/>
        <v/>
      </c>
      <c r="G17" s="398"/>
      <c r="H17" s="392" t="str">
        <f>IF('1-Hull'!$C$39=0,"",'1-Hull'!$C$39&amp;" Dtons of Hamster Cage(s)")</f>
        <v/>
      </c>
      <c r="I17" s="403">
        <f>'1-Hull'!H$39</f>
        <v>0</v>
      </c>
      <c r="J17" s="266">
        <f>'1-Hull'!F$39</f>
        <v>0</v>
      </c>
    </row>
    <row r="18" spans="1:10" ht="16">
      <c r="A18" s="400" t="str">
        <f>IF(MAX(F:F)&lt;16,"",IF(INDEX(F:J,MATCH(16,F:F,0),2)=0,"",INDEX(F:J,MATCH(16,F:F,0),2)))</f>
        <v/>
      </c>
      <c r="B18" s="463" t="str">
        <f>IF(MAX(F:F)&lt;16,"",INDEX(F:J,MATCH(16,F:F,0),3))</f>
        <v>Evade/1</v>
      </c>
      <c r="C18" s="4">
        <f>IF(MAX(F:F)&lt;16,"",INDEX(F:J,MATCH(16,F:F,0),4))</f>
        <v>0</v>
      </c>
      <c r="D18" s="4">
        <f>IF(MAX(F:F)&lt;16,"",INDEX(F:J,MATCH(16,F:F,0),5))</f>
        <v>1000000</v>
      </c>
      <c r="E18" s="73">
        <f t="shared" si="4"/>
        <v>2</v>
      </c>
      <c r="F18" s="73" t="str">
        <f t="shared" si="5"/>
        <v/>
      </c>
      <c r="G18" s="399" t="str">
        <f>IF(J18=0,"","Armor")</f>
        <v/>
      </c>
      <c r="H18" s="393" t="str">
        <f>IF('1-Hull'!$D$10=0,"",IF('1-Hull'!$B$9='1-Hull'!$S$18,"Intrinsic",'1-Hull'!$B$9)&amp;" Armor: "&amp;'1-Hull'!$D$10)</f>
        <v/>
      </c>
      <c r="I18" s="420">
        <f>'1-Hull'!$H$9</f>
        <v>0</v>
      </c>
      <c r="J18" s="388">
        <f>'1-Hull'!$F$9</f>
        <v>0</v>
      </c>
    </row>
    <row r="19" spans="1:10" ht="15" customHeight="1">
      <c r="A19" s="400" t="str">
        <f>IF(MAX(F:F)&lt;17,"",IF(INDEX(F:J,MATCH(17,F:F,0),2)=0,"",INDEX(F:J,MATCH(17,F:F,0),2)))</f>
        <v/>
      </c>
      <c r="B19" s="463" t="str">
        <f>IF(MAX(F:F)&lt;17,"",INDEX(F:J,MATCH(17,F:F,0),3))</f>
        <v>Jump Control/3</v>
      </c>
      <c r="C19" s="4">
        <f>IF(MAX(F:F)&lt;17,"",INDEX(F:J,MATCH(17,F:F,0),4))</f>
        <v>0</v>
      </c>
      <c r="D19" s="4">
        <f>IF(MAX(F:F)&lt;17,"",INDEX(F:J,MATCH(17,F:F,0),5))</f>
        <v>0</v>
      </c>
      <c r="E19" s="73">
        <f t="shared" si="4"/>
        <v>3</v>
      </c>
      <c r="F19" s="73">
        <f t="shared" si="5"/>
        <v>3</v>
      </c>
      <c r="G19" s="401" t="str">
        <f>IF(H19="","","M-Drive")</f>
        <v>M-Drive</v>
      </c>
      <c r="H19" s="391" t="str">
        <f>IF('2-Drives'!$B$11='2-Drives'!$S$2,"",'2-Drives'!$S$91)</f>
        <v>M-Drive: 2 Efficient, Small, Easy to Repair, EMP</v>
      </c>
      <c r="I19" s="237">
        <f>SUM('2-Drives'!H11:H17)</f>
        <v>5.4</v>
      </c>
      <c r="J19" s="387">
        <f>SUM('2-Drives'!F11:F17)</f>
        <v>54000000</v>
      </c>
    </row>
    <row r="20" spans="1:10" ht="16">
      <c r="A20" s="400" t="str">
        <f>IF(MAX(F:F)&lt;18,"",IF(INDEX(F:J,MATCH(18,F:F,0),2)=0,"",INDEX(F:J,MATCH(18,F:F,0),2)))</f>
        <v/>
      </c>
      <c r="B20" s="463" t="str">
        <f>IF(MAX(F:F)&lt;18,"",INDEX(F:J,MATCH(18,F:F,0),3))</f>
        <v>Virtual Gunner/01 Gunners: 2</v>
      </c>
      <c r="C20" s="4">
        <f>IF(MAX(F:F)&lt;18,"",INDEX(F:J,MATCH(18,F:F,0),4))</f>
        <v>0</v>
      </c>
      <c r="D20" s="4">
        <f>IF(MAX(F:F)&lt;18,"",INDEX(F:J,MATCH(18,F:F,0),5))</f>
        <v>5000000</v>
      </c>
      <c r="E20" s="73">
        <f t="shared" si="4"/>
        <v>3</v>
      </c>
      <c r="F20" s="73" t="str">
        <f t="shared" si="5"/>
        <v/>
      </c>
      <c r="G20" s="398" t="str">
        <f>IF(H20="","",IF(G19="","M-Drive",""))</f>
        <v/>
      </c>
      <c r="H20" s="392" t="str">
        <f>IF('2-Drives'!$B$42='2-Drives'!$S$69,"",RIGHT('2-Drives'!$S$92,(LEN('2-Drives'!$S$92)-2)))&amp;IF('2-Drives'!C46="No","",", SDM")</f>
        <v/>
      </c>
      <c r="I20" s="403">
        <f>SUM('2-Drives'!H42:H49)</f>
        <v>0</v>
      </c>
      <c r="J20" s="266">
        <f>SUM('2-Drives'!F42:F49)</f>
        <v>0</v>
      </c>
    </row>
    <row r="21" spans="1:10" ht="16">
      <c r="A21" s="400" t="str">
        <f>IF(MAX(F:F)&lt;19,"",IF(INDEX(F:J,MATCH(19,F:F,0),2)=0,"",INDEX(F:J,MATCH(19,F:F,0),2)))</f>
        <v/>
      </c>
      <c r="B21" s="463" t="str">
        <f>IF(MAX(F:F)&lt;19,"",INDEX(F:J,MATCH(19,F:F,0),3))</f>
        <v>Science (General)</v>
      </c>
      <c r="C21" s="4">
        <f>IF(MAX(F:F)&lt;19,"",INDEX(F:J,MATCH(19,F:F,0),4))</f>
        <v>0</v>
      </c>
      <c r="D21" s="4">
        <f>IF(MAX(F:F)&lt;19,"",INDEX(F:J,MATCH(19,F:F,0),5))</f>
        <v>25000000</v>
      </c>
      <c r="E21" s="73">
        <f t="shared" si="4"/>
        <v>3</v>
      </c>
      <c r="F21" s="73" t="str">
        <f t="shared" si="5"/>
        <v/>
      </c>
      <c r="G21" s="401" t="str">
        <f>IF(H21="","","Reaction Drive")</f>
        <v/>
      </c>
      <c r="H21" s="391" t="str">
        <f>IF('2-Drives'!$B$19='2-Drives'!$T$12,"",RIGHT('2-Drives'!$S$95,(LEN('2-Drives'!$S$95)-2)))</f>
        <v/>
      </c>
      <c r="I21" s="237">
        <f>SUM('2-Drives'!H19:H23)</f>
        <v>0</v>
      </c>
      <c r="J21" s="387">
        <f>SUM('2-Drives'!F19:F23)</f>
        <v>0</v>
      </c>
    </row>
    <row r="22" spans="1:10" ht="16">
      <c r="A22" s="400" t="str">
        <f>IF(MAX(F:F)&lt;20,"",IF(INDEX(F:J,MATCH(20,F:F,0),2)=0,"",INDEX(F:J,MATCH(20,F:F,0),2)))</f>
        <v/>
      </c>
      <c r="B22" s="463" t="str">
        <f>IF(MAX(F:F)&lt;20,"",INDEX(F:J,MATCH(20,F:F,0),3))</f>
        <v>Science (Specific), 1 Iteration(s)</v>
      </c>
      <c r="C22" s="4">
        <f>IF(MAX(F:F)&lt;20,"",INDEX(F:J,MATCH(20,F:F,0),4))</f>
        <v>0</v>
      </c>
      <c r="D22" s="4">
        <f>IF(MAX(F:F)&lt;20,"",INDEX(F:J,MATCH(20,F:F,0),5))</f>
        <v>20000000</v>
      </c>
      <c r="E22" s="73">
        <f t="shared" si="4"/>
        <v>3</v>
      </c>
      <c r="F22" s="73" t="str">
        <f t="shared" si="5"/>
        <v/>
      </c>
      <c r="G22" s="397" t="str">
        <f>IF(H22="","","High Burn Thruster")</f>
        <v/>
      </c>
      <c r="H22" s="12" t="str">
        <f>IF('2-Drives'!$B$33='2-Drives'!$S$14,"",RIGHT('2-Drives'!$S$96,(LEN('2-Drives'!$S$96)-2)))</f>
        <v/>
      </c>
      <c r="I22" s="4">
        <f>SUM('2-Drives'!H33:H37)</f>
        <v>0</v>
      </c>
      <c r="J22" s="265">
        <f>SUM('2-Drives'!F33:F37)</f>
        <v>0</v>
      </c>
    </row>
    <row r="23" spans="1:10" ht="16">
      <c r="A23" s="400" t="str">
        <f>IF(MAX(F:F)&lt;21,"",IF(INDEX(F:J,MATCH(21,F:F,0),2)=0,"",INDEX(F:J,MATCH(21,F:F,0),2)))</f>
        <v/>
      </c>
      <c r="B23" s="463" t="str">
        <f>IF(MAX(F:F)&lt;21,"",INDEX(F:J,MATCH(21,F:F,0),3))</f>
        <v>Planetology/1</v>
      </c>
      <c r="C23" s="4">
        <f>IF(MAX(F:F)&lt;21,"",INDEX(F:J,MATCH(21,F:F,0),4))</f>
        <v>0</v>
      </c>
      <c r="D23" s="4">
        <f>IF(MAX(F:F)&lt;21,"",INDEX(F:J,MATCH(21,F:F,0),5))</f>
        <v>1000000</v>
      </c>
      <c r="E23" s="73">
        <f t="shared" si="4"/>
        <v>3</v>
      </c>
      <c r="F23" s="73" t="str">
        <f t="shared" si="5"/>
        <v/>
      </c>
      <c r="G23" s="398" t="str">
        <f>IF(H23="","","Sails")</f>
        <v/>
      </c>
      <c r="H23" s="392" t="str">
        <f>IF('2-Drives'!$H$40=0,"",'2-Drives'!$S$17 &amp;" Thrust 0")</f>
        <v/>
      </c>
      <c r="I23" s="403">
        <f>'2-Drives'!H40</f>
        <v>0</v>
      </c>
      <c r="J23" s="266">
        <f>'2-Drives'!F40</f>
        <v>0</v>
      </c>
    </row>
    <row r="24" spans="1:10" ht="16">
      <c r="A24" s="400" t="str">
        <f>IF(MAX(F:F)&lt;22,"",IF(INDEX(F:J,MATCH(22,F:F,0),2)=0,"",INDEX(F:J,MATCH(22,F:F,0),2)))</f>
        <v>Sensors</v>
      </c>
      <c r="B24" s="463" t="str">
        <f>IF(MAX(F:F)&lt;22,"",INDEX(F:J,MATCH(22,F:F,0),3))</f>
        <v>Main Sensor Array: Class IV - Improved  x1</v>
      </c>
      <c r="C24" s="4">
        <f>IF(MAX(F:F)&lt;22,"",INDEX(F:J,MATCH(22,F:F,0),4))</f>
        <v>3</v>
      </c>
      <c r="D24" s="4">
        <f>IF(MAX(F:F)&lt;22,"",INDEX(F:J,MATCH(22,F:F,0),5))</f>
        <v>4300000</v>
      </c>
      <c r="E24" s="73">
        <f t="shared" si="4"/>
        <v>4</v>
      </c>
      <c r="F24" s="73">
        <f t="shared" si="5"/>
        <v>4</v>
      </c>
      <c r="G24" s="401" t="str">
        <f>IF(H24="","","FTL")</f>
        <v>FTL</v>
      </c>
      <c r="H24" s="391" t="str">
        <f>IF('2-Drives'!$B$25='2-Drives'!$S$5,"",'2-Drives'!$S$101)</f>
        <v>Jump Drive: 3 Easy to Repair</v>
      </c>
      <c r="I24" s="237">
        <f>SUM('2-Drives'!H25:H30)</f>
        <v>27.5</v>
      </c>
      <c r="J24" s="387">
        <f>SUM('2-Drives'!F25:F30)</f>
        <v>90750000</v>
      </c>
    </row>
    <row r="25" spans="1:10" ht="16">
      <c r="A25" s="400" t="str">
        <f>IF(MAX(F:F)&lt;23,"",IF(INDEX(F:J,MATCH(23,F:F,0),2)=0,"",INDEX(F:J,MATCH(23,F:F,0),2)))</f>
        <v/>
      </c>
      <c r="B25" s="463" t="str">
        <f>IF(MAX(F:F)&lt;23,"",INDEX(F:J,MATCH(23,F:F,0),3))</f>
        <v>Aux Sensor Array: Class III - Military Grade x1</v>
      </c>
      <c r="C25" s="4">
        <f>IF(MAX(F:F)&lt;23,"",INDEX(F:J,MATCH(23,F:F,0),4))</f>
        <v>2</v>
      </c>
      <c r="D25" s="4">
        <f>IF(MAX(F:F)&lt;23,"",INDEX(F:J,MATCH(23,F:F,0),5))</f>
        <v>4100000</v>
      </c>
      <c r="E25" s="73">
        <f t="shared" si="4"/>
        <v>4</v>
      </c>
      <c r="F25" s="73" t="str">
        <f t="shared" si="5"/>
        <v/>
      </c>
      <c r="G25" s="398" t="str">
        <f>IF(H25="","",IF(G24="","FTL",""))</f>
        <v/>
      </c>
      <c r="H25" s="392" t="str">
        <f>IF('2-Drives'!$B$51='2-Drives'!$S$5,"",RIGHT('2-Drives'!$S$102,(LEN('2-Drives'!$S$102)-2)))</f>
        <v/>
      </c>
      <c r="I25" s="403">
        <f>SUM('2-Drives'!H51:H54)</f>
        <v>0</v>
      </c>
      <c r="J25" s="266">
        <f>SUM('2-Drives'!F51:F56)</f>
        <v>0</v>
      </c>
    </row>
    <row r="26" spans="1:10" ht="16">
      <c r="A26" s="400" t="str">
        <f>IF(MAX(F:F)&lt;24,"",IF(INDEX(F:J,MATCH(24,F:F,0),2)=0,"",INDEX(F:J,MATCH(24,F:F,0),2)))</f>
        <v/>
      </c>
      <c r="B26" s="463" t="str">
        <f>IF(MAX(F:F)&lt;24,"",INDEX(F:J,MATCH(24,F:F,0),3))</f>
        <v>1x Deep Penetration Scanners</v>
      </c>
      <c r="C26" s="4">
        <f>IF(MAX(F:F)&lt;24,"",INDEX(F:J,MATCH(24,F:F,0),4))</f>
        <v>1</v>
      </c>
      <c r="D26" s="4">
        <f>IF(MAX(F:F)&lt;24,"",INDEX(F:J,MATCH(24,F:F,0),5))</f>
        <v>1000000</v>
      </c>
      <c r="E26" s="73">
        <f t="shared" si="4"/>
        <v>5</v>
      </c>
      <c r="F26" s="73">
        <f t="shared" si="5"/>
        <v>5</v>
      </c>
      <c r="G26" s="401" t="str">
        <f>IF(H26="","","Power Plant")</f>
        <v>Power Plant</v>
      </c>
      <c r="H26" s="391" t="str">
        <f>IF('3-Pwr Plant'!$D$11=0,"",'3-Pwr Plant'!$B$11&amp;" Output:"&amp;'3-Pwr Plant'!$D$11+'3-Pwr Plant'!$L$12&amp;" "&amp;'3-Pwr Plant'!$Z$12)</f>
        <v>Fusion TL 12 Output:250 Easy to repair, Small</v>
      </c>
      <c r="I26" s="237">
        <f>SUM('3-Pwr Plant'!H11:H14)</f>
        <v>15</v>
      </c>
      <c r="J26" s="387">
        <f>SUM('3-Pwr Plant'!F11:F14)</f>
        <v>41666666.666666672</v>
      </c>
    </row>
    <row r="27" spans="1:10" ht="16">
      <c r="A27" s="400" t="str">
        <f>IF(MAX(F:F)&lt;25,"",IF(INDEX(F:J,MATCH(25,F:F,0),2)=0,"",INDEX(F:J,MATCH(25,F:F,0),2)))</f>
        <v/>
      </c>
      <c r="B27" s="463" t="str">
        <f>IF(MAX(F:F)&lt;25,"",INDEX(F:J,MATCH(25,F:F,0),3))</f>
        <v>1x Enhanced Signal Processing</v>
      </c>
      <c r="C27" s="4">
        <f>IF(MAX(F:F)&lt;25,"",INDEX(F:J,MATCH(25,F:F,0),4))</f>
        <v>2</v>
      </c>
      <c r="D27" s="4">
        <f>IF(MAX(F:F)&lt;25,"",INDEX(F:J,MATCH(25,F:F,0),5))</f>
        <v>8000000</v>
      </c>
      <c r="E27" s="73">
        <f t="shared" si="4"/>
        <v>5</v>
      </c>
      <c r="F27" s="73" t="str">
        <f t="shared" si="5"/>
        <v/>
      </c>
      <c r="G27" s="397"/>
      <c r="H27" s="12" t="str">
        <f>IF(OR('3-Pwr Plant'!$H$15=0,'3-Pwr Plant'!$H$15=""),"","Emergency Power System")</f>
        <v/>
      </c>
      <c r="I27" s="4" t="str">
        <f>'3-Pwr Plant'!H15</f>
        <v/>
      </c>
      <c r="J27" s="265" t="str">
        <f>'3-Pwr Plant'!F15</f>
        <v xml:space="preserve"> </v>
      </c>
    </row>
    <row r="28" spans="1:10" ht="16">
      <c r="A28" s="400" t="str">
        <f>IF(MAX(F:F)&lt;26,"",IF(INDEX(F:J,MATCH(26,F:F,0),2)=0,"",INDEX(F:J,MATCH(26,F:F,0),2)))</f>
        <v/>
      </c>
      <c r="B28" s="463" t="str">
        <f>IF(MAX(F:F)&lt;26,"",INDEX(F:J,MATCH(26,F:F,0),3))</f>
        <v>1x Extended Arrays</v>
      </c>
      <c r="C28" s="4">
        <f>IF(MAX(F:F)&lt;26,"",INDEX(F:J,MATCH(26,F:F,0),4))</f>
        <v>6</v>
      </c>
      <c r="D28" s="4">
        <f>IF(MAX(F:F)&lt;26,"",INDEX(F:J,MATCH(26,F:F,0),5))</f>
        <v>8600000</v>
      </c>
      <c r="E28" s="73">
        <f t="shared" si="4"/>
        <v>5</v>
      </c>
      <c r="F28" s="73" t="str">
        <f t="shared" si="5"/>
        <v/>
      </c>
      <c r="G28" s="397" t="str">
        <f>IF(G26="",IF(H28="","","Power Plant"),"")</f>
        <v/>
      </c>
      <c r="H28" s="12" t="str">
        <f>IF('3-Pwr Plant'!$H$18=0,"",'3-Pwr Plant'!$D$18&amp;"x "&amp;'3-Pwr Plant'!$C$18&amp;" Batteries - Power: "&amp;'3-Pwr Plant'!$L$18)</f>
        <v/>
      </c>
      <c r="I28" s="4">
        <f>'3-Pwr Plant'!H18</f>
        <v>0</v>
      </c>
      <c r="J28" s="265">
        <f>'3-Pwr Plant'!F18</f>
        <v>0</v>
      </c>
    </row>
    <row r="29" spans="1:10" ht="16">
      <c r="A29" s="400" t="str">
        <f>IF(MAX(F:F)&lt;27,"",IF(INDEX(F:J,MATCH(27,F:F,0),2)=0,"",INDEX(F:J,MATCH(27,F:F,0),2)))</f>
        <v/>
      </c>
      <c r="B29" s="463" t="str">
        <f>IF(MAX(F:F)&lt;27,"",INDEX(F:J,MATCH(27,F:F,0),3))</f>
        <v>1x Extension Net</v>
      </c>
      <c r="C29" s="4">
        <f>IF(MAX(F:F)&lt;27,"",INDEX(F:J,MATCH(27,F:F,0),4))</f>
        <v>3</v>
      </c>
      <c r="D29" s="4">
        <f>IF(MAX(F:F)&lt;27,"",INDEX(F:J,MATCH(27,F:F,0),5))</f>
        <v>3000000</v>
      </c>
      <c r="E29" s="73">
        <f t="shared" si="4"/>
        <v>5</v>
      </c>
      <c r="F29" s="73" t="str">
        <f t="shared" si="5"/>
        <v/>
      </c>
      <c r="G29" s="397" t="str">
        <f>IF(AND(G26="",G28=""),IF(H29="","","Power Plant"),"")</f>
        <v/>
      </c>
      <c r="H29" s="12" t="str">
        <f>IF('3-Pwr Plant'!$H$20=0,"",'3-Pwr Plant'!$D$20&amp;"x Jump Collectors")</f>
        <v/>
      </c>
      <c r="I29" s="4">
        <f>'3-Pwr Plant'!H20</f>
        <v>0</v>
      </c>
      <c r="J29" s="265">
        <f>'3-Pwr Plant'!F20</f>
        <v>0</v>
      </c>
    </row>
    <row r="30" spans="1:10" ht="16">
      <c r="A30" s="400" t="str">
        <f>IF(MAX(F:F)&lt;28,"",IF(INDEX(F:J,MATCH(28,F:F,0),2)=0,"",INDEX(F:J,MATCH(28,F:F,0),2)))</f>
        <v/>
      </c>
      <c r="B30" s="463" t="str">
        <f>IF(MAX(F:F)&lt;28,"",INDEX(F:J,MATCH(28,F:F,0),3))</f>
        <v>1x Improved Signal Processing</v>
      </c>
      <c r="C30" s="4">
        <f>IF(MAX(F:F)&lt;28,"",INDEX(F:J,MATCH(28,F:F,0),4))</f>
        <v>1</v>
      </c>
      <c r="D30" s="4">
        <f>IF(MAX(F:F)&lt;28,"",INDEX(F:J,MATCH(28,F:F,0),5))</f>
        <v>4000000</v>
      </c>
      <c r="E30" s="73">
        <f t="shared" si="4"/>
        <v>5</v>
      </c>
      <c r="F30" s="73" t="str">
        <f t="shared" si="5"/>
        <v/>
      </c>
      <c r="G30" s="397" t="str">
        <f>IF(AND(G26="",G29="",G28=""),IF(H30="","","Power Plant"),"")</f>
        <v/>
      </c>
      <c r="H30" s="12" t="str">
        <f>IF('3-Pwr Plant'!$H$22=0,"",'3-Pwr Plant'!$D$22&amp;" Units of "&amp;'3-Pwr Plant'!$C$22&amp;" Solar Panels - Power: "&amp;'3-Pwr Plant'!$L$22)</f>
        <v/>
      </c>
      <c r="I30" s="4">
        <f>'3-Pwr Plant'!H22</f>
        <v>0</v>
      </c>
      <c r="J30" s="265">
        <f>'3-Pwr Plant'!F22</f>
        <v>0</v>
      </c>
    </row>
    <row r="31" spans="1:10" ht="16">
      <c r="A31" s="400" t="str">
        <f>IF(MAX(F:F)&lt;29,"",IF(INDEX(F:J,MATCH(29,F:F,0),2)=0,"",INDEX(F:J,MATCH(29,F:F,0),2)))</f>
        <v/>
      </c>
      <c r="B31" s="463" t="str">
        <f>IF(MAX(F:F)&lt;29,"",INDEX(F:J,MATCH(29,F:F,0),3))</f>
        <v>1x Life Scanner</v>
      </c>
      <c r="C31" s="4">
        <f>IF(MAX(F:F)&lt;29,"",INDEX(F:J,MATCH(29,F:F,0),4))</f>
        <v>1</v>
      </c>
      <c r="D31" s="4">
        <f>IF(MAX(F:F)&lt;29,"",INDEX(F:J,MATCH(29,F:F,0),5))</f>
        <v>2000000</v>
      </c>
      <c r="E31" s="73">
        <f t="shared" si="4"/>
        <v>5</v>
      </c>
      <c r="F31" s="73" t="str">
        <f t="shared" si="5"/>
        <v/>
      </c>
      <c r="G31" s="398"/>
      <c r="H31" s="392" t="str">
        <f>IF(OR('3-Pwr Plant'!$H$16=0,'3-Pwr Plant'!$H$16=""),"","Armored Bulkheads")</f>
        <v/>
      </c>
      <c r="I31" s="403" t="str">
        <f>'3-Pwr Plant'!H16</f>
        <v/>
      </c>
      <c r="J31" s="266" t="str">
        <f>'3-Pwr Plant'!F16</f>
        <v/>
      </c>
    </row>
    <row r="32" spans="1:10" ht="16">
      <c r="A32" s="400" t="str">
        <f>IF(MAX(F:F)&lt;30,"",IF(INDEX(F:J,MATCH(30,F:F,0),2)=0,"",INDEX(F:J,MATCH(30,F:F,0),2)))</f>
        <v/>
      </c>
      <c r="B32" s="463" t="str">
        <f>IF(MAX(F:F)&lt;30,"",INDEX(F:J,MATCH(30,F:F,0),3))</f>
        <v>1x Life Scanner Analysis Suite</v>
      </c>
      <c r="C32" s="4">
        <f>IF(MAX(F:F)&lt;30,"",INDEX(F:J,MATCH(30,F:F,0),4))</f>
        <v>1</v>
      </c>
      <c r="D32" s="4">
        <f>IF(MAX(F:F)&lt;30,"",INDEX(F:J,MATCH(30,F:F,0),5))</f>
        <v>4000000</v>
      </c>
      <c r="E32" s="73">
        <f t="shared" si="4"/>
        <v>6</v>
      </c>
      <c r="F32" s="73">
        <f t="shared" si="5"/>
        <v>6</v>
      </c>
      <c r="G32" s="401" t="str">
        <f>IF(H32="","","Fuel")</f>
        <v>Fuel</v>
      </c>
      <c r="H32" s="391" t="str">
        <f>IF('4-Fuel'!$H$10=0,"",'4-Fuel'!$B$9&amp;" "&amp;'4-Fuel'!A9&amp;", "&amp;'4-Fuel'!$C$10&amp;" Weeks of Operation"&amp;IF('4-Fuel'!$B$8=0,"",", "&amp;"Reaction Hours: "&amp;'4-Fuel'!$B$8)&amp;IF('4-Fuel'!C26='4-Fuel'!T7,"",", F/C Bay"))</f>
        <v>3 Jumps Available x 1 pc, 4 Weeks of Operation</v>
      </c>
      <c r="I32" s="237">
        <f>SUM('4-Fuel'!H8:H10)</f>
        <v>92</v>
      </c>
      <c r="J32" s="387" t="str">
        <f>""</f>
        <v/>
      </c>
    </row>
    <row r="33" spans="1:10" ht="16">
      <c r="A33" s="400" t="str">
        <f>IF(MAX(F:F)&lt;31,"",IF(INDEX(F:J,MATCH(31,F:F,0),2)=0,"",INDEX(F:J,MATCH(31,F:F,0),2)))</f>
        <v/>
      </c>
      <c r="B33" s="463" t="str">
        <f>IF(MAX(F:F)&lt;31,"",INDEX(F:J,MATCH(31,F:F,0),3))</f>
        <v>1x Mineral Detection Suite</v>
      </c>
      <c r="C33" s="4">
        <f>IF(MAX(F:F)&lt;31,"",INDEX(F:J,MATCH(31,F:F,0),4))</f>
        <v>1</v>
      </c>
      <c r="D33" s="4">
        <f>IF(MAX(F:F)&lt;31,"",INDEX(F:J,MATCH(31,F:F,0),5))</f>
        <v>5000000</v>
      </c>
      <c r="E33" s="73">
        <f t="shared" si="4"/>
        <v>6</v>
      </c>
      <c r="F33" s="73" t="str">
        <f t="shared" si="5"/>
        <v/>
      </c>
      <c r="G33" s="397" t="str">
        <f>IF(G32="",IF(H33="","","Fuel"),"")</f>
        <v/>
      </c>
      <c r="H33" s="12" t="str">
        <f>IF('4-Fuel'!$H$11=0,"","Additional Tons of Fuel")</f>
        <v/>
      </c>
      <c r="I33" s="4">
        <f>'4-Fuel'!H11</f>
        <v>0</v>
      </c>
      <c r="J33" s="265" t="str">
        <f>""</f>
        <v/>
      </c>
    </row>
    <row r="34" spans="1:10" ht="15" customHeight="1">
      <c r="A34" s="400" t="str">
        <f>IF(MAX(F:F)&lt;32,"",IF(INDEX(F:J,MATCH(32,F:F,0),2)=0,"",INDEX(F:J,MATCH(32,F:F,0),2)))</f>
        <v/>
      </c>
      <c r="B34" s="463" t="str">
        <f>IF(MAX(F:F)&lt;32,"",INDEX(F:J,MATCH(32,F:F,0),3))</f>
        <v>1x Shallow Penetration Suite</v>
      </c>
      <c r="C34" s="4">
        <f>IF(MAX(F:F)&lt;32,"",INDEX(F:J,MATCH(32,F:F,0),4))</f>
        <v>10</v>
      </c>
      <c r="D34" s="4">
        <f>IF(MAX(F:F)&lt;32,"",INDEX(F:J,MATCH(32,F:F,0),5))</f>
        <v>5000000</v>
      </c>
      <c r="E34" s="73">
        <f t="shared" si="4"/>
        <v>6</v>
      </c>
      <c r="F34" s="73" t="str">
        <f t="shared" si="5"/>
        <v/>
      </c>
      <c r="G34" s="397" t="str">
        <f>IF(AND(G32="",G33=""),IF(H34="","","Fuel"),"")</f>
        <v/>
      </c>
      <c r="H34" s="12" t="str">
        <f>IF('4-Fuel'!$A$19='4-Fuel'!$S$13,"",'4-Fuel'!$C$19&amp;" "&amp;"Tons"&amp;" "&amp;'4-Fuel'!$A$18)</f>
        <v/>
      </c>
      <c r="J34" s="265">
        <f>'4-Fuel'!F19</f>
        <v>0</v>
      </c>
    </row>
    <row r="35" spans="1:10" ht="16">
      <c r="A35" s="400" t="str">
        <f>IF(MAX(F:F)&lt;33,"",IF(INDEX(F:J,MATCH(33,F:F,0),2)=0,"",INDEX(F:J,MATCH(33,F:F,0),2)))</f>
        <v>Weapons</v>
      </c>
      <c r="B35" s="463" t="str">
        <f>IF(MAX(F:F)&lt;33,"",INDEX(F:J,MATCH(33,F:F,0),3))</f>
        <v>3x Single Turret: Particle Beam Adv - Easy Repair, Adv - Energy Efficient</v>
      </c>
      <c r="C35" s="4">
        <f>IF(MAX(F:F)&lt;33,"",INDEX(F:J,MATCH(33,F:F,0),4))</f>
        <v>3</v>
      </c>
      <c r="D35" s="4">
        <f>IF(MAX(F:F)&lt;33,"",INDEX(F:J,MATCH(33,F:F,0),5))</f>
        <v>15750000</v>
      </c>
      <c r="E35" s="73">
        <f t="shared" si="4"/>
        <v>6</v>
      </c>
      <c r="F35" s="73" t="str">
        <f t="shared" si="5"/>
        <v/>
      </c>
      <c r="G35" s="397" t="str">
        <f>IF(AND(G32="",G33="",G34=""),IF(H35="","","Fuel"),"")</f>
        <v/>
      </c>
      <c r="H35" s="12" t="str">
        <f>IF('4-Fuel'!$A$22='4-Fuel'!$S$13,"",'4-Fuel'!$C$22&amp;" "&amp;'4-Fuel'!$C$21&amp;" "&amp;'4-Fuel'!$A$21)</f>
        <v/>
      </c>
      <c r="J35" s="265">
        <f>'4-Fuel'!F22</f>
        <v>0</v>
      </c>
    </row>
    <row r="36" spans="1:10" ht="16">
      <c r="A36" s="400" t="str">
        <f>IF(MAX(F:F)&lt;34,"",IF(INDEX(F:J,MATCH(34,F:F,0),2)=0,"",INDEX(F:J,MATCH(34,F:F,0),2)))</f>
        <v/>
      </c>
      <c r="B36" s="463" t="str">
        <f>IF(MAX(F:F)&lt;34,"",INDEX(F:J,MATCH(34,F:F,0),3))</f>
        <v>3x Docking Clamp Type II</v>
      </c>
      <c r="C36" s="4">
        <f>IF(MAX(F:F)&lt;34,"",INDEX(F:J,MATCH(34,F:F,0),4))</f>
        <v>15</v>
      </c>
      <c r="D36" s="4">
        <f>IF(MAX(F:F)&lt;34,"",INDEX(F:J,MATCH(34,F:F,0),5))</f>
        <v>3000000</v>
      </c>
      <c r="E36" s="73">
        <f t="shared" si="4"/>
        <v>6</v>
      </c>
      <c r="F36" s="73" t="str">
        <f t="shared" si="5"/>
        <v/>
      </c>
      <c r="G36" s="397" t="str">
        <f>IF(AND(G32="",G33="",G34="",G35=""),IF(H36="","","Fuel"),"")</f>
        <v/>
      </c>
      <c r="H36" s="12" t="str">
        <f>IF('4-Fuel'!$B$25*'4-Fuel'!$C$25=0,"",'4-Fuel'!$A$24&amp;" "&amp;'4-Fuel'!$B$25&amp;"x "&amp;'4-Fuel'!$C$25&amp;" Ton Bay(s)")</f>
        <v/>
      </c>
      <c r="I36" s="4">
        <f>'4-Fuel'!H25</f>
        <v>0</v>
      </c>
      <c r="J36" s="265">
        <f>'4-Fuel'!F25</f>
        <v>0</v>
      </c>
    </row>
    <row r="37" spans="1:10" ht="16">
      <c r="A37" s="400" t="str">
        <f>IF(MAX(F:F)&lt;35,"",IF(INDEX(F:J,MATCH(35,F:F,0),2)=0,"",INDEX(F:J,MATCH(35,F:F,0),2)))</f>
        <v/>
      </c>
      <c r="B37" s="463" t="str">
        <f>IF(MAX(F:F)&lt;35,"",INDEX(F:J,MATCH(35,F:F,0),3))</f>
        <v>Zhodani Brechatsnech Belt Survey Vessel x1 (60 tons)</v>
      </c>
      <c r="C37" s="4">
        <f>IF(MAX(F:F)&lt;35,"",INDEX(F:J,MATCH(35,F:F,0),4))</f>
        <v>0</v>
      </c>
      <c r="D37" s="4">
        <f>IF(MAX(F:F)&lt;35,"",INDEX(F:J,MATCH(35,F:F,0),5))</f>
        <v>37070000</v>
      </c>
      <c r="E37" s="73">
        <f t="shared" si="4"/>
        <v>6</v>
      </c>
      <c r="F37" s="73" t="str">
        <f t="shared" si="5"/>
        <v/>
      </c>
      <c r="G37" s="397"/>
      <c r="H37" s="12" t="str">
        <f>IF('4-Fuel'!C27='4-Fuel'!$S$40,"",'4-Fuel'!A24&amp;" "&amp;'4-Fuel'!B27)</f>
        <v/>
      </c>
      <c r="I37" s="4">
        <f>'4-Fuel'!H27</f>
        <v>0</v>
      </c>
      <c r="J37" s="265">
        <f>'4-Fuel'!F27</f>
        <v>0</v>
      </c>
    </row>
    <row r="38" spans="1:10" ht="16">
      <c r="A38" s="400" t="str">
        <f>IF(MAX(F:F)&lt;36,"",IF(INDEX(F:J,MATCH(36,F:F,0),2)=0,"",INDEX(F:J,MATCH(36,F:F,0),2)))</f>
        <v/>
      </c>
      <c r="B38" s="463" t="str">
        <f>IF(MAX(F:F)&lt;36,"",INDEX(F:J,MATCH(36,F:F,0),3))</f>
        <v>Zhodani Neishetsienz Gas Giant Survey Vessel x1 (60 tons)</v>
      </c>
      <c r="C38" s="4">
        <f>IF(MAX(F:F)&lt;36,"",INDEX(F:J,MATCH(36,F:F,0),4))</f>
        <v>0</v>
      </c>
      <c r="D38" s="4">
        <f>IF(MAX(F:F)&lt;36,"",INDEX(F:J,MATCH(36,F:F,0),5))</f>
        <v>65550000</v>
      </c>
      <c r="E38" s="73">
        <f t="shared" si="4"/>
        <v>6</v>
      </c>
      <c r="F38" s="73" t="str">
        <f t="shared" si="5"/>
        <v/>
      </c>
      <c r="G38" s="397"/>
      <c r="H38" s="12" t="str">
        <f>IF('4-Fuel'!C28='4-Fuel'!$S$40,"",'4-Fuel'!A24&amp;" "&amp;'4-Fuel'!B28)</f>
        <v/>
      </c>
      <c r="I38" s="4">
        <f>'4-Fuel'!H28</f>
        <v>0</v>
      </c>
      <c r="J38" s="265">
        <f>'4-Fuel'!F28</f>
        <v>0</v>
      </c>
    </row>
    <row r="39" spans="1:10" ht="16">
      <c r="A39" s="400" t="str">
        <f>IF(MAX(F:F)&lt;37,"",IF(INDEX(F:J,MATCH(37,F:F,0),2)=0,"",INDEX(F:J,MATCH(37,F:F,0),2)))</f>
        <v/>
      </c>
      <c r="B39" s="463" t="str">
        <f>IF(MAX(F:F)&lt;37,"",INDEX(F:J,MATCH(37,F:F,0),3))</f>
        <v>Zhodani Drabr Chtor Terrestrial Survey Vessel x1 (80 tons)</v>
      </c>
      <c r="C39" s="4">
        <f>IF(MAX(F:F)&lt;37,"",INDEX(F:J,MATCH(37,F:F,0),4))</f>
        <v>0</v>
      </c>
      <c r="D39" s="4">
        <f>IF(MAX(F:F)&lt;37,"",INDEX(F:J,MATCH(37,F:F,0),5))</f>
        <v>48995000</v>
      </c>
      <c r="E39" s="73">
        <f t="shared" si="4"/>
        <v>6</v>
      </c>
      <c r="F39" s="73" t="str">
        <f t="shared" si="5"/>
        <v/>
      </c>
      <c r="G39" s="397"/>
      <c r="H39" s="12" t="str">
        <f>IF('4-Fuel'!$A$32='4-Fuel'!$S$13,"",'4-Fuel'!$C$32&amp;" Ton "&amp;'4-Fuel'!$A$31)</f>
        <v/>
      </c>
      <c r="I39" s="4">
        <f>'4-Fuel'!H32</f>
        <v>0</v>
      </c>
      <c r="J39" s="265">
        <f>'4-Fuel'!F32</f>
        <v>0</v>
      </c>
    </row>
    <row r="40" spans="1:10" ht="16">
      <c r="A40" s="400" t="str">
        <f>IF(MAX(F:F)&lt;38,"",IF(INDEX(F:J,MATCH(38,F:F,0),2)=0,"",INDEX(F:J,MATCH(38,F:F,0),2)))</f>
        <v>Systems</v>
      </c>
      <c r="B40" s="463" t="str">
        <f>IF(MAX(F:F)&lt;38,"",INDEX(F:J,MATCH(38,F:F,0),3))</f>
        <v>Advanced Probe Drones: 50 Probes</v>
      </c>
      <c r="C40" s="4">
        <f>IF(MAX(F:F)&lt;38,"",INDEX(F:J,MATCH(38,F:F,0),4))</f>
        <v>10</v>
      </c>
      <c r="D40" s="4">
        <f>IF(MAX(F:F)&lt;38,"",INDEX(F:J,MATCH(38,F:F,0),5))</f>
        <v>8000000</v>
      </c>
      <c r="E40" s="73">
        <f t="shared" si="4"/>
        <v>6</v>
      </c>
      <c r="F40" s="73" t="str">
        <f t="shared" si="5"/>
        <v/>
      </c>
      <c r="G40" s="397"/>
      <c r="H40" s="12" t="str">
        <f>IF('4-Fuel'!$H$36=0,"",'4-Fuel'!$B$36)</f>
        <v/>
      </c>
      <c r="I40" s="4">
        <f>'4-Fuel'!H36</f>
        <v>0</v>
      </c>
      <c r="J40" s="265">
        <f>'4-Fuel'!F36</f>
        <v>0</v>
      </c>
    </row>
    <row r="41" spans="1:10" ht="16">
      <c r="A41" s="400" t="str">
        <f>IF(MAX(F:F)&lt;39,"",IF(INDEX(F:J,MATCH(39,F:F,0),2)=0,"",INDEX(F:J,MATCH(39,F:F,0),2)))</f>
        <v/>
      </c>
      <c r="B41" s="463" t="str">
        <f>IF(MAX(F:F)&lt;39,"",INDEX(F:J,MATCH(39,F:F,0),3))</f>
        <v>Repair Drones</v>
      </c>
      <c r="C41" s="4">
        <f>IF(MAX(F:F)&lt;39,"",INDEX(F:J,MATCH(39,F:F,0),4))</f>
        <v>3</v>
      </c>
      <c r="D41" s="4">
        <f>IF(MAX(F:F)&lt;39,"",INDEX(F:J,MATCH(39,F:F,0),5))</f>
        <v>600000</v>
      </c>
      <c r="E41" s="73">
        <f t="shared" si="4"/>
        <v>6</v>
      </c>
      <c r="F41" s="73" t="str">
        <f t="shared" si="5"/>
        <v/>
      </c>
      <c r="G41" s="398"/>
      <c r="H41" s="392" t="str">
        <f>IF('4-Fuel'!$C$12='4-Fuel'!$T$7,"","Armored Bulkheads")</f>
        <v/>
      </c>
      <c r="I41" s="403">
        <f>'4-Fuel'!H12</f>
        <v>0</v>
      </c>
      <c r="J41" s="266" t="str">
        <f>'4-Fuel'!F12</f>
        <v xml:space="preserve"> </v>
      </c>
    </row>
    <row r="42" spans="1:10" ht="16">
      <c r="A42" s="400" t="str">
        <f>IF(MAX(F:F)&lt;40,"",IF(INDEX(F:J,MATCH(40,F:F,0),2)=0,"",INDEX(F:J,MATCH(40,F:F,0),2)))</f>
        <v/>
      </c>
      <c r="B42" s="463" t="str">
        <f>IF(MAX(F:F)&lt;40,"",INDEX(F:J,MATCH(40,F:F,0),3))</f>
        <v>Fuel Scoop Included Free w/ Streamlining</v>
      </c>
      <c r="C42" s="4">
        <f>IF(MAX(F:F)&lt;40,"",INDEX(F:J,MATCH(40,F:F,0),4))</f>
        <v>0</v>
      </c>
      <c r="D42" s="4">
        <f>IF(MAX(F:F)&lt;40,"",INDEX(F:J,MATCH(40,F:F,0),5))</f>
        <v>0</v>
      </c>
      <c r="E42" s="73">
        <f t="shared" si="4"/>
        <v>7</v>
      </c>
      <c r="F42" s="73">
        <f t="shared" si="5"/>
        <v>7</v>
      </c>
      <c r="G42" s="401" t="s">
        <v>78</v>
      </c>
      <c r="H42" s="391" t="str">
        <f>'5-Bridge'!$A$9</f>
        <v>Standard Bridge</v>
      </c>
      <c r="I42" s="237">
        <f>'5-Bridge'!H9</f>
        <v>20</v>
      </c>
      <c r="J42" s="387">
        <f>'5-Bridge'!F9</f>
        <v>1500000</v>
      </c>
    </row>
    <row r="43" spans="1:10" ht="16">
      <c r="A43" s="400" t="str">
        <f>IF(MAX(F:F)&lt;41,"",IF(INDEX(F:J,MATCH(41,F:F,0),2)=0,"",INDEX(F:J,MATCH(41,F:F,0),2)))</f>
        <v/>
      </c>
      <c r="B43" s="463" t="str">
        <f>IF(MAX(F:F)&lt;41,"",INDEX(F:J,MATCH(41,F:F,0),3))</f>
        <v>Fuel Processor 100 Tons Per Day</v>
      </c>
      <c r="C43" s="4">
        <f>IF(MAX(F:F)&lt;41,"",INDEX(F:J,MATCH(41,F:F,0),4))</f>
        <v>5</v>
      </c>
      <c r="D43" s="4">
        <f>IF(MAX(F:F)&lt;41,"",INDEX(F:J,MATCH(41,F:F,0),5))</f>
        <v>250000</v>
      </c>
      <c r="E43" s="73">
        <f t="shared" si="4"/>
        <v>8</v>
      </c>
      <c r="F43" s="73">
        <f t="shared" si="5"/>
        <v>8</v>
      </c>
      <c r="G43" s="397"/>
      <c r="H43" s="12" t="str">
        <f>IF('5-Bridge'!$A$10='5-Bridge'!$S$13,'5-Bridge'!$A$8&amp;" "&amp;'5-Bridge'!$A$10,"")</f>
        <v>Main Bridge Holographic Controls</v>
      </c>
      <c r="J43" s="265">
        <f>'5-Bridge'!F10</f>
        <v>375000</v>
      </c>
    </row>
    <row r="44" spans="1:10" ht="16">
      <c r="A44" s="400" t="str">
        <f>IF(MAX(F:F)&lt;42,"",IF(INDEX(F:J,MATCH(42,F:F,0),2)=0,"",INDEX(F:J,MATCH(42,F:F,0),2)))</f>
        <v/>
      </c>
      <c r="B44" s="463" t="str">
        <f>IF(MAX(F:F)&lt;42,"",INDEX(F:J,MATCH(42,F:F,0),3))</f>
        <v xml:space="preserve">3x 2 ton Airlock </v>
      </c>
      <c r="C44" s="4">
        <f>IF(MAX(F:F)&lt;42,"",INDEX(F:J,MATCH(42,F:F,0),4))</f>
        <v>0</v>
      </c>
      <c r="D44" s="4">
        <f>IF(MAX(F:F)&lt;42,"",INDEX(F:J,MATCH(42,F:F,0),5))</f>
        <v>0</v>
      </c>
      <c r="E44" s="73">
        <f t="shared" si="4"/>
        <v>8</v>
      </c>
      <c r="F44" s="73" t="str">
        <f t="shared" si="5"/>
        <v/>
      </c>
      <c r="G44" s="397"/>
      <c r="H44" s="12" t="str">
        <f>IF('5-Bridge'!$C$17=0,"","Aux Con: "&amp;'5-Bridge'!$A$17&amp;" x"&amp;'5-Bridge'!$C$17&amp;IF('5-Bridge'!C20=0,"",", "&amp;'5-Bridge'!C20&amp;"x set as SCC's"))</f>
        <v/>
      </c>
      <c r="I44" s="4">
        <f>'5-Bridge'!H17</f>
        <v>0</v>
      </c>
      <c r="J44" s="265">
        <f>'5-Bridge'!F17</f>
        <v>0</v>
      </c>
    </row>
    <row r="45" spans="1:10" ht="16">
      <c r="A45" s="400" t="str">
        <f>IF(MAX(F:F)&lt;43,"",IF(INDEX(F:J,MATCH(43,F:F,0),2)=0,"",INDEX(F:J,MATCH(43,F:F,0),2)))</f>
        <v/>
      </c>
      <c r="B45" s="463" t="str">
        <f>IF(MAX(F:F)&lt;43,"",INDEX(F:J,MATCH(43,F:F,0),3))</f>
        <v>Armory for 25 Crew/5 Marines</v>
      </c>
      <c r="C45" s="4">
        <f>IF(MAX(F:F)&lt;43,"",INDEX(F:J,MATCH(43,F:F,0),4))</f>
        <v>1</v>
      </c>
      <c r="D45" s="4">
        <f>IF(MAX(F:F)&lt;43,"",INDEX(F:J,MATCH(43,F:F,0),5))</f>
        <v>250000</v>
      </c>
      <c r="E45" s="73">
        <f t="shared" si="4"/>
        <v>8</v>
      </c>
      <c r="F45" s="73" t="str">
        <f t="shared" si="5"/>
        <v/>
      </c>
      <c r="G45" s="397"/>
      <c r="H45" s="12" t="str">
        <f>IF('5-Bridge'!$A$18='5-Bridge'!$S$14,"","Aux Con: "&amp;'5-Bridge'!$A$18)</f>
        <v/>
      </c>
      <c r="J45" s="265">
        <f>'5-Bridge'!F18</f>
        <v>0</v>
      </c>
    </row>
    <row r="46" spans="1:10" ht="16">
      <c r="A46" s="400" t="str">
        <f>IF(MAX(F:F)&lt;44,"",IF(INDEX(F:J,MATCH(44,F:F,0),2)=0,"",INDEX(F:J,MATCH(44,F:F,0),2)))</f>
        <v/>
      </c>
      <c r="B46" s="463" t="str">
        <f>IF(MAX(F:F)&lt;44,"",INDEX(F:J,MATCH(44,F:F,0),3))</f>
        <v>1x Briefing Room</v>
      </c>
      <c r="C46" s="4">
        <f>IF(MAX(F:F)&lt;44,"",INDEX(F:J,MATCH(44,F:F,0),4))</f>
        <v>4</v>
      </c>
      <c r="D46" s="4">
        <f>IF(MAX(F:F)&lt;44,"",INDEX(F:J,MATCH(44,F:F,0),5))</f>
        <v>500000</v>
      </c>
      <c r="E46" s="73">
        <f t="shared" si="4"/>
        <v>8</v>
      </c>
      <c r="F46" s="73" t="str">
        <f t="shared" si="5"/>
        <v/>
      </c>
      <c r="G46" s="397"/>
      <c r="H46" s="12" t="str">
        <f>IF('5-Bridge'!$A$13='5-Bridge'!$AA$5,"",IF('5-Bridge'!$C$13=0,"",'5-Bridge'!$C$13&amp;"x "&amp;'5-Bridge'!$A$13))</f>
        <v/>
      </c>
      <c r="I46" s="4">
        <f>'5-Bridge'!H13</f>
        <v>0</v>
      </c>
      <c r="J46" s="265">
        <f>'5-Bridge'!F13</f>
        <v>0</v>
      </c>
    </row>
    <row r="47" spans="1:10" ht="16">
      <c r="A47" s="400" t="str">
        <f>IF(MAX(F:F)&lt;45,"",IF(INDEX(F:J,MATCH(45,F:F,0),2)=0,"",INDEX(F:J,MATCH(45,F:F,0),2)))</f>
        <v/>
      </c>
      <c r="B47" s="463" t="str">
        <f>IF(MAX(F:F)&lt;45,"",INDEX(F:J,MATCH(45,F:F,0),3))</f>
        <v>Laboratory for 2 Scientists</v>
      </c>
      <c r="C47" s="4">
        <f>IF(MAX(F:F)&lt;45,"",INDEX(F:J,MATCH(45,F:F,0),4))</f>
        <v>8</v>
      </c>
      <c r="D47" s="4">
        <f>IF(MAX(F:F)&lt;45,"",INDEX(F:J,MATCH(45,F:F,0),5))</f>
        <v>2000000</v>
      </c>
      <c r="E47" s="73">
        <f t="shared" si="4"/>
        <v>8</v>
      </c>
      <c r="F47" s="73" t="str">
        <f t="shared" si="5"/>
        <v/>
      </c>
      <c r="G47" s="397"/>
      <c r="H47" s="12" t="str">
        <f>IF('5-Bridge'!$A$18='5-Bridge'!$S$14,"","Command Bridge: "&amp;'5-Bridge'!$A$18)</f>
        <v/>
      </c>
      <c r="J47" s="265">
        <f>'5-Bridge'!F14</f>
        <v>0</v>
      </c>
    </row>
    <row r="48" spans="1:10" ht="16">
      <c r="A48" s="400" t="str">
        <f>IF(MAX(F:F)&lt;46,"",IF(INDEX(F:J,MATCH(46,F:F,0),2)=0,"",INDEX(F:J,MATCH(46,F:F,0),2)))</f>
        <v/>
      </c>
      <c r="B48" s="463" t="str">
        <f>IF(MAX(F:F)&lt;46,"",INDEX(F:J,MATCH(46,F:F,0),3))</f>
        <v>1x Library</v>
      </c>
      <c r="C48" s="4">
        <f>IF(MAX(F:F)&lt;46,"",INDEX(F:J,MATCH(46,F:F,0),4))</f>
        <v>4</v>
      </c>
      <c r="D48" s="4">
        <f>IF(MAX(F:F)&lt;46,"",INDEX(F:J,MATCH(46,F:F,0),5))</f>
        <v>4000000</v>
      </c>
      <c r="E48" s="73">
        <f t="shared" si="4"/>
        <v>8</v>
      </c>
      <c r="F48" s="73" t="str">
        <f t="shared" si="5"/>
        <v/>
      </c>
      <c r="G48" s="397"/>
      <c r="H48" s="12" t="str">
        <f>IF('5-Bridge'!$A$24='5-Bridge'!$S$47,"",'5-Bridge'!$A$24)</f>
        <v/>
      </c>
      <c r="J48" s="265">
        <f>'5-Bridge'!F24</f>
        <v>0</v>
      </c>
    </row>
    <row r="49" spans="1:10" ht="16">
      <c r="A49" s="400" t="str">
        <f>IF(MAX(F:F)&lt;47,"",IF(INDEX(F:J,MATCH(47,F:F,0),2)=0,"",INDEX(F:J,MATCH(47,F:F,0),2)))</f>
        <v/>
      </c>
      <c r="B49" s="463" t="str">
        <f>IF(MAX(F:F)&lt;47,"",INDEX(F:J,MATCH(47,F:F,0),3))</f>
        <v>1x Medical Bay</v>
      </c>
      <c r="C49" s="4">
        <f>IF(MAX(F:F)&lt;47,"",INDEX(F:J,MATCH(47,F:F,0),4))</f>
        <v>4</v>
      </c>
      <c r="D49" s="4">
        <f>IF(MAX(F:F)&lt;47,"",INDEX(F:J,MATCH(47,F:F,0),5))</f>
        <v>2000000</v>
      </c>
      <c r="E49" s="73">
        <f t="shared" si="4"/>
        <v>8</v>
      </c>
      <c r="F49" s="73" t="str">
        <f t="shared" si="5"/>
        <v/>
      </c>
      <c r="G49" s="397"/>
      <c r="H49" s="12" t="str">
        <f>'5-Bridge'!$S$58</f>
        <v/>
      </c>
      <c r="J49" s="265">
        <f>SUM('5-Bridge'!F27,'5-Bridge'!F30)</f>
        <v>0</v>
      </c>
    </row>
    <row r="50" spans="1:10" ht="16">
      <c r="A50" s="400" t="str">
        <f>IF(MAX(F:F)&lt;48,"",IF(INDEX(F:J,MATCH(48,F:F,0),2)=0,"",INDEX(F:J,MATCH(48,F:F,0),2)))</f>
        <v>Staterooms</v>
      </c>
      <c r="B50" s="463" t="str">
        <f>IF(MAX(F:F)&lt;48,"",INDEX(F:J,MATCH(48,F:F,0),3))</f>
        <v>7x Middle Staterooms - Double</v>
      </c>
      <c r="C50" s="4">
        <f>IF(MAX(F:F)&lt;48,"",INDEX(F:J,MATCH(48,F:F,0),4))</f>
        <v>28</v>
      </c>
      <c r="D50" s="4">
        <f>IF(MAX(F:F)&lt;48,"",INDEX(F:J,MATCH(48,F:F,0),5))</f>
        <v>3500000</v>
      </c>
      <c r="E50" s="73">
        <f t="shared" si="4"/>
        <v>8</v>
      </c>
      <c r="F50" s="73" t="str">
        <f t="shared" si="5"/>
        <v/>
      </c>
      <c r="G50" s="397"/>
      <c r="H50" s="12" t="str">
        <f>IF('5-Bridge'!$C$22='5-Bridge'!$S$25,"","Armored Bulkheads")</f>
        <v/>
      </c>
      <c r="I50" s="4">
        <f>'5-Bridge'!H22</f>
        <v>0</v>
      </c>
      <c r="J50" s="265">
        <f>'5-Bridge'!F22</f>
        <v>0</v>
      </c>
    </row>
    <row r="51" spans="1:10" ht="16">
      <c r="A51" s="400" t="str">
        <f>IF(MAX(F:F)&lt;49,"",IF(INDEX(F:J,MATCH(49,F:F,0),2)=0,"",INDEX(F:J,MATCH(49,F:F,0),2)))</f>
        <v>Entertainment</v>
      </c>
      <c r="B51" s="463" t="str">
        <f>IF(MAX(F:F)&lt;49,"",INDEX(F:J,MATCH(49,F:F,0),3))</f>
        <v>Gourmet Kitchen: 6 diner capacity</v>
      </c>
      <c r="C51" s="4">
        <f>IF(MAX(F:F)&lt;49,"",INDEX(F:J,MATCH(49,F:F,0),4))</f>
        <v>6</v>
      </c>
      <c r="D51" s="4">
        <f>IF(MAX(F:F)&lt;49,"",INDEX(F:J,MATCH(49,F:F,0),5))</f>
        <v>1200000</v>
      </c>
      <c r="E51" s="73">
        <f t="shared" si="4"/>
        <v>9</v>
      </c>
      <c r="F51" s="73">
        <f t="shared" si="5"/>
        <v>9</v>
      </c>
      <c r="G51" s="398"/>
      <c r="H51" s="12" t="str">
        <f>IF('7-Sensors'!$C$12=0,"",'7-Sensors'!$C$12&amp;"x "&amp;"Additional "&amp;IF('7-Sensors'!$E$13="No","","Armored ")&amp;"Sensor Stations")</f>
        <v>1x Additional Sensor Stations</v>
      </c>
      <c r="I51" s="4">
        <f>'7-Sensors'!$H$12</f>
        <v>1</v>
      </c>
      <c r="J51" s="265">
        <f>'7-Sensors'!$F$12</f>
        <v>500000</v>
      </c>
    </row>
    <row r="52" spans="1:10" ht="16">
      <c r="A52" s="400" t="str">
        <f>IF(MAX(F:F)&lt;50,"",IF(INDEX(F:J,MATCH(50,F:F,0),2)=0,"",INDEX(F:J,MATCH(50,F:F,0),2)))</f>
        <v/>
      </c>
      <c r="B52" s="463" t="str">
        <f>IF(MAX(F:F)&lt;50,"",INDEX(F:J,MATCH(50,F:F,0),3))</f>
        <v>Hot Tub: Seating for 4</v>
      </c>
      <c r="C52" s="4">
        <f>IF(MAX(F:F)&lt;50,"",INDEX(F:J,MATCH(50,F:F,0),4))</f>
        <v>1</v>
      </c>
      <c r="D52" s="4">
        <f>IF(MAX(F:F)&lt;50,"",INDEX(F:J,MATCH(50,F:F,0),5))</f>
        <v>12000</v>
      </c>
      <c r="E52" s="73">
        <f t="shared" si="4"/>
        <v>10</v>
      </c>
      <c r="F52" s="73">
        <f t="shared" si="5"/>
        <v>10</v>
      </c>
      <c r="G52" s="401" t="str">
        <f>IF(H52="","","Computer")</f>
        <v>Computer</v>
      </c>
      <c r="H52" s="391" t="str">
        <f>'6-Comp'!$B$9&amp;IF('6-Comp'!$B$10='6-Comp'!$S$21,""," /bis")&amp;IF('6-Comp'!$B$11='6-Comp'!$S$21,"","/fib")</f>
        <v>Core/ 60 /bis/fib</v>
      </c>
      <c r="I52" s="237"/>
      <c r="J52" s="387">
        <f>SUM('6-Comp'!F9:F11)</f>
        <v>150000000</v>
      </c>
    </row>
    <row r="53" spans="1:10" ht="16">
      <c r="A53" s="400" t="str">
        <f>IF(MAX(F:F)&lt;51,"",IF(INDEX(F:J,MATCH(51,F:F,0),2)=0,"",INDEX(F:J,MATCH(51,F:F,0),2)))</f>
        <v>Cargo</v>
      </c>
      <c r="B53" s="463" t="str">
        <f>IF(MAX(F:F)&lt;51,"",INDEX(F:J,MATCH(51,F:F,0),3))</f>
        <v>1x 5 Ton Cargo Bay: Standard Cargo Hold</v>
      </c>
      <c r="C53" s="4">
        <f>IF(MAX(F:F)&lt;51,"",INDEX(F:J,MATCH(51,F:F,0),4))</f>
        <v>5</v>
      </c>
      <c r="D53" s="4">
        <f>IF(MAX(F:F)&lt;51,"",INDEX(F:J,MATCH(51,F:F,0),5))</f>
        <v>0</v>
      </c>
      <c r="E53" s="73">
        <f t="shared" si="4"/>
        <v>10</v>
      </c>
      <c r="F53" s="73" t="str">
        <f t="shared" si="5"/>
        <v/>
      </c>
      <c r="G53" s="398"/>
      <c r="H53" s="392" t="str">
        <f>IF('6-Comp'!$B$13="","",'6-Comp'!$B$13&amp;IF('6-Comp'!$B$14='6-Comp'!$S$21,""," /bis")&amp;IF('6-Comp'!$B$15='6-Comp'!$S$21,"","/fib"))</f>
        <v/>
      </c>
      <c r="I53" s="403"/>
      <c r="J53" s="266">
        <f>SUM('6-Comp'!F13:F15)</f>
        <v>0</v>
      </c>
    </row>
    <row r="54" spans="1:10" ht="16">
      <c r="A54" s="400" t="str">
        <f>IF(MAX(F:F)&lt;52,"",IF(INDEX(F:J,MATCH(52,F:F,0),2)=0,"",INDEX(F:J,MATCH(52,F:F,0),2)))</f>
        <v/>
      </c>
      <c r="B54" s="463" t="str">
        <f>IF(MAX(F:F)&lt;52,"",INDEX(F:J,MATCH(52,F:F,0),3))</f>
        <v>1x 5 Ton Cargo Bay: Biological Containment Hold</v>
      </c>
      <c r="C54" s="4">
        <f>IF(MAX(F:F)&lt;52,"",INDEX(F:J,MATCH(52,F:F,0),4))</f>
        <v>5</v>
      </c>
      <c r="D54" s="4">
        <f>IF(MAX(F:F)&lt;52,"",INDEX(F:J,MATCH(52,F:F,0),5))</f>
        <v>0</v>
      </c>
      <c r="E54" s="73">
        <f t="shared" si="4"/>
        <v>11</v>
      </c>
      <c r="F54" s="73">
        <f t="shared" si="5"/>
        <v>11</v>
      </c>
      <c r="G54" s="401" t="str">
        <f>IF(H54="","","Software")</f>
        <v>Software</v>
      </c>
      <c r="H54" s="391" t="str">
        <f>'6-Comp'!B34&amp;IF(Tech_Level&gt;7,""," Prototype")</f>
        <v>Library</v>
      </c>
      <c r="I54" s="237"/>
      <c r="J54" s="387">
        <v>0</v>
      </c>
    </row>
    <row r="55" spans="1:10" ht="16">
      <c r="A55" s="400" t="str">
        <f>IF(MAX(F:F)&lt;53,"",IF(INDEX(F:J,MATCH(53,F:F,0),2)=0,"",INDEX(F:J,MATCH(53,F:F,0),2)))</f>
        <v/>
      </c>
      <c r="B55" s="463" t="str">
        <f>IF(MAX(F:F)&lt;53,"",INDEX(F:J,MATCH(53,F:F,0),3))</f>
        <v>Armored Bulkhead for 1x 5 Ton Cargo Bay: Biological Containment Hold</v>
      </c>
      <c r="C55" s="4">
        <f>IF(MAX(F:F)&lt;53,"",INDEX(F:J,MATCH(53,F:F,0),4))</f>
        <v>0.5</v>
      </c>
      <c r="D55" s="4">
        <f>IF(MAX(F:F)&lt;53,"",INDEX(F:J,MATCH(53,F:F,0),5))</f>
        <v>100000</v>
      </c>
      <c r="E55" s="73">
        <f t="shared" si="4"/>
        <v>12</v>
      </c>
      <c r="F55" s="73">
        <f t="shared" si="5"/>
        <v>12</v>
      </c>
      <c r="G55" s="397"/>
      <c r="H55" s="12" t="str">
        <f>'6-Comp'!B35</f>
        <v>Manoeuvre/0</v>
      </c>
      <c r="J55" s="265"/>
    </row>
    <row r="56" spans="1:10" ht="16">
      <c r="A56" s="400" t="str">
        <f>IF(MAX(F:F)&lt;54,"",IF(INDEX(F:J,MATCH(54,F:F,0),2)=0,"",INDEX(F:J,MATCH(54,F:F,0),2)))</f>
        <v/>
      </c>
      <c r="B56" s="463" t="str">
        <f>IF(MAX(F:F)&lt;54,"",INDEX(F:J,MATCH(54,F:F,0),3))</f>
        <v>Supplies Stores and Spares : 100 Days</v>
      </c>
      <c r="C56" s="4">
        <f>IF(MAX(F:F)&lt;54,"",INDEX(F:J,MATCH(54,F:F,0),4))</f>
        <v>3</v>
      </c>
      <c r="D56" s="4" t="str">
        <f>IF(MAX(F:F)&lt;54,"",INDEX(F:J,MATCH(54,F:F,0),5))</f>
        <v/>
      </c>
      <c r="E56" s="73">
        <f t="shared" si="4"/>
        <v>13</v>
      </c>
      <c r="F56" s="73">
        <f t="shared" si="5"/>
        <v>13</v>
      </c>
      <c r="G56" s="397"/>
      <c r="H56" s="12" t="str">
        <f>'6-Comp'!B31</f>
        <v>Intellect</v>
      </c>
      <c r="J56" s="265"/>
    </row>
    <row r="57" spans="1:10" ht="16">
      <c r="A57" s="400" t="str">
        <f>IF(MAX(F:F)&lt;55,"",IF(INDEX(F:J,MATCH(55,F:F,0),2)=0,"",INDEX(F:J,MATCH(55,F:F,0),2)))</f>
        <v>Total</v>
      </c>
      <c r="B57" s="463">
        <f>IF(MAX(F:F)&lt;55,"",INDEX(F:J,MATCH(55,F:F,0),3))</f>
        <v>690568666.66666675</v>
      </c>
      <c r="C57" s="4" t="str">
        <f>IF(MAX(F:F)&lt;55,"",INDEX(F:J,MATCH(55,F:F,0),4))</f>
        <v>CR</v>
      </c>
      <c r="D57" s="4" t="str">
        <f>IF(MAX(F:F)&lt;55,"",INDEX(F:J,MATCH(55,F:F,0),5))</f>
        <v/>
      </c>
      <c r="E57" s="73">
        <f t="shared" si="4"/>
        <v>13</v>
      </c>
      <c r="F57" s="73" t="str">
        <f t="shared" si="5"/>
        <v/>
      </c>
      <c r="G57" s="397"/>
      <c r="H57" s="12" t="str">
        <f>'6-Comp'!B21</f>
        <v/>
      </c>
      <c r="J57" s="265">
        <f>'6-Comp'!F21</f>
        <v>0</v>
      </c>
    </row>
    <row r="58" spans="1:10" ht="16">
      <c r="A58" s="400" t="str">
        <f>IF(MAX(F:F)&lt;56,"",IF(INDEX(F:J,MATCH(56,F:F,0),2)=0,"",INDEX(F:J,MATCH(56,F:F,0),2)))</f>
        <v/>
      </c>
      <c r="B58" s="463" t="str">
        <f>IF(MAX(F:F)&lt;56,"",INDEX(F:J,MATCH(56,F:F,0),3))</f>
        <v xml:space="preserve">Purchase Price: </v>
      </c>
      <c r="C58" s="4" t="str">
        <f>IF(MAX(F:F)&lt;56,"",INDEX(F:J,MATCH(56,F:F,0),4))</f>
        <v/>
      </c>
      <c r="D58" s="4">
        <f>IF(MAX(F:F)&lt;56,"",INDEX(F:J,MATCH(56,F:F,0),5))</f>
        <v>621511800.00000012</v>
      </c>
      <c r="E58" s="73">
        <f t="shared" si="4"/>
        <v>13</v>
      </c>
      <c r="F58" s="73" t="str">
        <f t="shared" si="5"/>
        <v/>
      </c>
      <c r="G58" s="397"/>
      <c r="H58" s="12" t="str">
        <f>'6-Comp'!B22</f>
        <v/>
      </c>
      <c r="J58" s="265">
        <f>'6-Comp'!F22</f>
        <v>0</v>
      </c>
    </row>
    <row r="59" spans="1:10" ht="16">
      <c r="A59" s="400" t="str">
        <f>IF(MAX(F:F)&lt;57,"",IF(INDEX(F:J,MATCH(57,F:F,0),2)=0,"",INDEX(F:J,MATCH(57,F:F,0),2)))</f>
        <v>Ship's Expenses</v>
      </c>
      <c r="B59" s="463" t="str">
        <f>IF(MAX(F:F)&lt;57,"",INDEX(F:J,MATCH(57,F:F,0),3))</f>
        <v>Mortgage:</v>
      </c>
      <c r="C59" s="4" t="str">
        <f>IF(MAX(F:F)&lt;57,"",INDEX(F:J,MATCH(57,F:F,0),4))</f>
        <v/>
      </c>
      <c r="D59" s="4">
        <f>IF(MAX(F:F)&lt;57,"",INDEX(F:J,MATCH(57,F:F,0),5))</f>
        <v>2589632.5000000005</v>
      </c>
      <c r="E59" s="73">
        <f t="shared" si="4"/>
        <v>14</v>
      </c>
      <c r="F59" s="73">
        <f t="shared" si="5"/>
        <v>14</v>
      </c>
      <c r="G59" s="397"/>
      <c r="H59" s="12" t="str">
        <f>'6-Comp'!B23</f>
        <v>Auto-Repair/1</v>
      </c>
      <c r="J59" s="265">
        <f>'6-Comp'!F23</f>
        <v>5000000</v>
      </c>
    </row>
    <row r="60" spans="1:10" ht="16">
      <c r="A60" s="400" t="str">
        <f>IF(MAX(F:F)&lt;58,"",IF(INDEX(F:J,MATCH(58,F:F,0),2)=0,"",INDEX(F:J,MATCH(58,F:F,0),2)))</f>
        <v/>
      </c>
      <c r="B60" s="463" t="str">
        <f>IF(MAX(F:F)&lt;58,"",INDEX(F:J,MATCH(58,F:F,0),3))</f>
        <v>Maintenance Cost</v>
      </c>
      <c r="C60" s="4" t="str">
        <f>IF(MAX(F:F)&lt;58,"",INDEX(F:J,MATCH(58,F:F,0),4))</f>
        <v/>
      </c>
      <c r="D60" s="4">
        <f>IF(MAX(F:F)&lt;58,"",INDEX(F:J,MATCH(58,F:F,0),5))</f>
        <v>51793</v>
      </c>
      <c r="E60" s="73">
        <f t="shared" si="4"/>
        <v>15</v>
      </c>
      <c r="F60" s="73">
        <f t="shared" si="5"/>
        <v>15</v>
      </c>
      <c r="G60" s="397"/>
      <c r="H60" s="12" t="str">
        <f>'6-Comp'!B24</f>
        <v>Basic Fire Control/1</v>
      </c>
      <c r="J60" s="265">
        <f>'6-Comp'!F24</f>
        <v>2000000</v>
      </c>
    </row>
    <row r="61" spans="1:10" ht="16">
      <c r="A61" s="400" t="str">
        <f>IF(MAX(F:F)&lt;59,"",IF(INDEX(F:J,MATCH(59,F:F,0),2)=0,"",INDEX(F:J,MATCH(59,F:F,0),2)))</f>
        <v/>
      </c>
      <c r="B61" s="463" t="str">
        <f>IF(MAX(F:F)&lt;59,"",INDEX(F:J,MATCH(59,F:F,0),3))</f>
        <v>Life Support:</v>
      </c>
      <c r="C61" s="4" t="str">
        <f>IF(MAX(F:F)&lt;59,"",INDEX(F:J,MATCH(59,F:F,0),4))</f>
        <v/>
      </c>
      <c r="D61" s="4">
        <f>IF(MAX(F:F)&lt;59,"",INDEX(F:J,MATCH(59,F:F,0),5))</f>
        <v>21000</v>
      </c>
      <c r="E61" s="73">
        <f t="shared" si="4"/>
        <v>15</v>
      </c>
      <c r="F61" s="73" t="str">
        <f t="shared" si="5"/>
        <v/>
      </c>
      <c r="G61" s="397"/>
      <c r="H61" s="12" t="str">
        <f>'6-Comp'!B25</f>
        <v/>
      </c>
      <c r="J61" s="265">
        <f>'6-Comp'!F25</f>
        <v>0</v>
      </c>
    </row>
    <row r="62" spans="1:10" ht="16">
      <c r="A62" s="400" t="str">
        <f>IF(MAX(F:F)&lt;60,"",IF(INDEX(F:J,MATCH(60,F:F,0),2)=0,"",INDEX(F:J,MATCH(60,F:F,0),2)))</f>
        <v/>
      </c>
      <c r="B62" s="463" t="str">
        <f>IF(MAX(F:F)&lt;60,"",INDEX(F:J,MATCH(60,F:F,0),3))</f>
        <v>Crew Salaries:</v>
      </c>
      <c r="C62" s="4" t="str">
        <f>IF(MAX(F:F)&lt;60,"",INDEX(F:J,MATCH(60,F:F,0),4))</f>
        <v/>
      </c>
      <c r="D62" s="4">
        <f>IF(MAX(F:F)&lt;60,"",INDEX(F:J,MATCH(60,F:F,0),5))</f>
        <v>56000</v>
      </c>
      <c r="E62" s="73">
        <f t="shared" si="4"/>
        <v>15</v>
      </c>
      <c r="F62" s="73" t="str">
        <f t="shared" si="5"/>
        <v/>
      </c>
      <c r="G62" s="397"/>
      <c r="H62" s="12" t="str">
        <f>'6-Comp'!B26</f>
        <v/>
      </c>
      <c r="J62" s="265">
        <f>'6-Comp'!F26</f>
        <v>0</v>
      </c>
    </row>
    <row r="63" spans="1:10" ht="16">
      <c r="A63" s="400" t="str">
        <f>IF(MAX(F:F)&lt;61,"",IF(INDEX(F:J,MATCH(61,F:F,0),2)=0,"",INDEX(F:J,MATCH(61,F:F,0),2)))</f>
        <v/>
      </c>
      <c r="B63" s="463" t="str">
        <f>IF(MAX(F:F)&lt;61,"",INDEX(F:J,MATCH(61,F:F,0),3))</f>
        <v>Total Expenses:</v>
      </c>
      <c r="C63" s="4" t="str">
        <f>IF(MAX(F:F)&lt;61,"",INDEX(F:J,MATCH(61,F:F,0),4))</f>
        <v/>
      </c>
      <c r="D63" s="4">
        <f>IF(MAX(F:F)&lt;61,"",INDEX(F:J,MATCH(61,F:F,0),5))</f>
        <v>2718425.5000000005</v>
      </c>
      <c r="E63" s="73">
        <f t="shared" si="4"/>
        <v>15</v>
      </c>
      <c r="F63" s="73" t="str">
        <f t="shared" si="5"/>
        <v/>
      </c>
      <c r="G63" s="397"/>
      <c r="H63" s="12" t="str">
        <f>'6-Comp'!B27</f>
        <v/>
      </c>
      <c r="J63" s="265">
        <f>'6-Comp'!F27</f>
        <v>0</v>
      </c>
    </row>
    <row r="64" spans="1:10" ht="16">
      <c r="A64" s="400" t="str">
        <f>IF(MAX(F:F)&lt;62,"",IF(INDEX(F:J,MATCH(62,F:F,0),2)=0,"",INDEX(F:J,MATCH(62,F:F,0),2)))</f>
        <v>Crew</v>
      </c>
      <c r="B64" s="463" t="str">
        <f>IF(MAX(F:F)&lt;62,"",INDEX(F:J,MATCH(62,F:F,0),3))</f>
        <v>4x PILOT</v>
      </c>
      <c r="C64" s="4" t="str">
        <f>IF(MAX(F:F)&lt;62,"",INDEX(F:J,MATCH(62,F:F,0),4))</f>
        <v/>
      </c>
      <c r="D64" s="4">
        <f>IF(MAX(F:F)&lt;62,"",INDEX(F:J,MATCH(62,F:F,0),5))</f>
        <v>24000</v>
      </c>
      <c r="E64" s="73">
        <f t="shared" si="4"/>
        <v>15</v>
      </c>
      <c r="F64" s="73" t="str">
        <f t="shared" si="5"/>
        <v/>
      </c>
      <c r="G64" s="397"/>
      <c r="H64" s="12" t="str">
        <f>'6-Comp'!B28</f>
        <v/>
      </c>
      <c r="J64" s="265">
        <f>'6-Comp'!F28</f>
        <v>0</v>
      </c>
    </row>
    <row r="65" spans="1:10" ht="16">
      <c r="A65" s="400" t="str">
        <f>IF(MAX(F:F)&lt;63,"",IF(INDEX(F:J,MATCH(63,F:F,0),2)=0,"",INDEX(F:J,MATCH(63,F:F,0),2)))</f>
        <v/>
      </c>
      <c r="B65" s="463" t="str">
        <f>IF(MAX(F:F)&lt;63,"",INDEX(F:J,MATCH(63,F:F,0),3))</f>
        <v>1x ASTROGATOR</v>
      </c>
      <c r="C65" s="4" t="str">
        <f>IF(MAX(F:F)&lt;63,"",INDEX(F:J,MATCH(63,F:F,0),4))</f>
        <v/>
      </c>
      <c r="D65" s="4">
        <f>IF(MAX(F:F)&lt;63,"",INDEX(F:J,MATCH(63,F:F,0),5))</f>
        <v>5000</v>
      </c>
      <c r="E65" s="73">
        <f t="shared" si="4"/>
        <v>15</v>
      </c>
      <c r="F65" s="73" t="str">
        <f t="shared" si="5"/>
        <v/>
      </c>
      <c r="G65" s="397"/>
      <c r="H65" s="12" t="str">
        <f>'6-Comp'!B29</f>
        <v/>
      </c>
      <c r="J65" s="265">
        <f>'6-Comp'!F29</f>
        <v>0</v>
      </c>
    </row>
    <row r="66" spans="1:10" ht="16">
      <c r="A66" s="400" t="str">
        <f>IF(MAX(F:F)&lt;64,"",IF(INDEX(F:J,MATCH(64,F:F,0),2)=0,"",INDEX(F:J,MATCH(64,F:F,0),2)))</f>
        <v/>
      </c>
      <c r="B66" s="463" t="str">
        <f>IF(MAX(F:F)&lt;64,"",INDEX(F:J,MATCH(64,F:F,0),3))</f>
        <v>1x ENGINEER</v>
      </c>
      <c r="C66" s="4" t="str">
        <f>IF(MAX(F:F)&lt;64,"",INDEX(F:J,MATCH(64,F:F,0),4))</f>
        <v/>
      </c>
      <c r="D66" s="4">
        <f>IF(MAX(F:F)&lt;64,"",INDEX(F:J,MATCH(64,F:F,0),5))</f>
        <v>4000</v>
      </c>
      <c r="E66" s="73">
        <f t="shared" si="4"/>
        <v>16</v>
      </c>
      <c r="F66" s="73">
        <f t="shared" si="5"/>
        <v>16</v>
      </c>
      <c r="G66" s="397"/>
      <c r="H66" s="12" t="str">
        <f>'6-Comp'!B30</f>
        <v>Evade/1</v>
      </c>
      <c r="J66" s="265">
        <f>'6-Comp'!F30</f>
        <v>1000000</v>
      </c>
    </row>
    <row r="67" spans="1:10" ht="16">
      <c r="A67" s="400" t="str">
        <f>IF(MAX(F:F)&lt;65,"",IF(INDEX(F:J,MATCH(65,F:F,0),2)=0,"",INDEX(F:J,MATCH(65,F:F,0),2)))</f>
        <v/>
      </c>
      <c r="B67" s="463" t="str">
        <f>IF(MAX(F:F)&lt;65,"",INDEX(F:J,MATCH(65,F:F,0),3))</f>
        <v>1x MAINTENANCE</v>
      </c>
      <c r="C67" s="4" t="str">
        <f>IF(MAX(F:F)&lt;65,"",INDEX(F:J,MATCH(65,F:F,0),4))</f>
        <v/>
      </c>
      <c r="D67" s="4">
        <f>IF(MAX(F:F)&lt;65,"",INDEX(F:J,MATCH(65,F:F,0),5))</f>
        <v>1000</v>
      </c>
      <c r="E67" s="73">
        <f t="shared" si="4"/>
        <v>17</v>
      </c>
      <c r="F67" s="73">
        <f t="shared" si="5"/>
        <v>17</v>
      </c>
      <c r="G67" s="397"/>
      <c r="H67" s="12" t="str">
        <f>'6-Comp'!B32&amp;IF(SUM('2-Drives'!E28:E30)&lt;0," Prototype","")</f>
        <v>Jump Control/3</v>
      </c>
      <c r="J67" s="265">
        <f>'6-Comp'!F32</f>
        <v>0</v>
      </c>
    </row>
    <row r="68" spans="1:10" ht="16">
      <c r="A68" s="400" t="str">
        <f>IF(MAX(F:F)&lt;66,"",IF(INDEX(F:J,MATCH(66,F:F,0),2)=0,"",INDEX(F:J,MATCH(66,F:F,0),2)))</f>
        <v/>
      </c>
      <c r="B68" s="463" t="str">
        <f>IF(MAX(F:F)&lt;66,"",INDEX(F:J,MATCH(66,F:F,0),3))</f>
        <v>1x MEDIC</v>
      </c>
      <c r="C68" s="4" t="str">
        <f>IF(MAX(F:F)&lt;66,"",INDEX(F:J,MATCH(66,F:F,0),4))</f>
        <v/>
      </c>
      <c r="D68" s="4">
        <f>IF(MAX(F:F)&lt;66,"",INDEX(F:J,MATCH(66,F:F,0),5))</f>
        <v>4000</v>
      </c>
      <c r="E68" s="73">
        <f t="shared" si="4"/>
        <v>17</v>
      </c>
      <c r="F68" s="73" t="str">
        <f t="shared" si="5"/>
        <v/>
      </c>
      <c r="G68" s="397"/>
      <c r="H68" s="12" t="str">
        <f>'6-Comp'!B33</f>
        <v/>
      </c>
      <c r="J68" s="265">
        <f>'6-Comp'!F33</f>
        <v>0</v>
      </c>
    </row>
    <row r="69" spans="1:10" ht="16">
      <c r="A69" s="400" t="str">
        <f>IF(MAX(F:F)&lt;67,"",IF(INDEX(F:J,MATCH(67,F:F,0),2)=0,"",INDEX(F:J,MATCH(67,F:F,0),2)))</f>
        <v/>
      </c>
      <c r="B69" s="463" t="str">
        <f>IF(MAX(F:F)&lt;67,"",INDEX(F:J,MATCH(67,F:F,0),3))</f>
        <v>1x GUNNER</v>
      </c>
      <c r="C69" s="4" t="str">
        <f>IF(MAX(F:F)&lt;67,"",INDEX(F:J,MATCH(67,F:F,0),4))</f>
        <v/>
      </c>
      <c r="D69" s="4">
        <f>IF(MAX(F:F)&lt;67,"",INDEX(F:J,MATCH(67,F:F,0),5))</f>
        <v>2000</v>
      </c>
      <c r="E69" s="73">
        <f t="shared" ref="E69:E132" si="6">IF(H69="",E68,E68+1)</f>
        <v>17</v>
      </c>
      <c r="F69" s="73" t="str">
        <f t="shared" ref="F69:F132" si="7">IF(E69=E68,"",E69)</f>
        <v/>
      </c>
      <c r="G69" s="397"/>
      <c r="H69" s="12" t="str">
        <f>'6-Comp'!B36</f>
        <v/>
      </c>
      <c r="J69" s="265">
        <f>'6-Comp'!F36</f>
        <v>0</v>
      </c>
    </row>
    <row r="70" spans="1:10" ht="16">
      <c r="A70" s="400" t="str">
        <f>IF(MAX(F:F)&lt;68,"",IF(INDEX(F:J,MATCH(68,F:F,0),2)=0,"",INDEX(F:J,MATCH(68,F:F,0),2)))</f>
        <v/>
      </c>
      <c r="B70" s="463" t="str">
        <f>IF(MAX(F:F)&lt;68,"",INDEX(F:J,MATCH(68,F:F,0),3))</f>
        <v>2x SENSOP, 2 Sensor Actions per Round</v>
      </c>
      <c r="C70" s="4" t="str">
        <f>IF(MAX(F:F)&lt;68,"",INDEX(F:J,MATCH(68,F:F,0),4))</f>
        <v/>
      </c>
      <c r="D70" s="4">
        <f>IF(MAX(F:F)&lt;68,"",INDEX(F:J,MATCH(68,F:F,0),5))</f>
        <v>8000</v>
      </c>
      <c r="E70" s="73">
        <f t="shared" si="6"/>
        <v>17</v>
      </c>
      <c r="F70" s="73" t="str">
        <f t="shared" si="7"/>
        <v/>
      </c>
      <c r="G70" s="397"/>
      <c r="H70" s="12" t="str">
        <f>'6-Comp'!B37</f>
        <v/>
      </c>
      <c r="J70" s="265">
        <f>'6-Comp'!F37</f>
        <v>0</v>
      </c>
    </row>
    <row r="71" spans="1:10" ht="16">
      <c r="A71" s="400" t="str">
        <f>IF(MAX(F:F)&lt;69,"",IF(INDEX(F:J,MATCH(69,F:F,0),2)=0,"",INDEX(F:J,MATCH(69,F:F,0),2)))</f>
        <v/>
      </c>
      <c r="B71" s="463" t="str">
        <f>IF(MAX(F:F)&lt;69,"",INDEX(F:J,MATCH(69,F:F,0),3))</f>
        <v>2x SCIENTISTS</v>
      </c>
      <c r="C71" s="4" t="str">
        <f>IF(MAX(F:F)&lt;69,"",INDEX(F:J,MATCH(69,F:F,0),4))</f>
        <v/>
      </c>
      <c r="D71" s="4">
        <f>IF(MAX(F:F)&lt;69,"",INDEX(F:J,MATCH(69,F:F,0),5))</f>
        <v>8000</v>
      </c>
      <c r="E71" s="73">
        <f t="shared" si="6"/>
        <v>17</v>
      </c>
      <c r="F71" s="73" t="str">
        <f t="shared" si="7"/>
        <v/>
      </c>
      <c r="G71" s="397"/>
      <c r="H71" s="12" t="str">
        <f>IF('6-Comp'!B39=0,"",'6-Comp'!B38&amp;" Crew: "&amp;'6-Comp'!B39)</f>
        <v/>
      </c>
      <c r="J71" s="265">
        <f>IF('6-Comp'!B39=0,0,'6-Comp'!F38)</f>
        <v>0</v>
      </c>
    </row>
    <row r="72" spans="1:10" ht="16">
      <c r="A72" s="400" t="str">
        <f>IF(MAX(F:F)&lt;70,"",IF(INDEX(F:J,MATCH(70,F:F,0),2)=0,"",INDEX(F:J,MATCH(70,F:F,0),2)))</f>
        <v>Power</v>
      </c>
      <c r="B72" s="463" t="str">
        <f>IF(MAX(F:F)&lt;70,"",INDEX(F:J,MATCH(70,F:F,0),3))</f>
        <v>Power Distribution: Normal (Battle Load)</v>
      </c>
      <c r="C72" s="4" t="str">
        <f>IF(MAX(F:F)&lt;70,"",INDEX(F:J,MATCH(70,F:F,0),4))</f>
        <v>Available:</v>
      </c>
      <c r="D72" s="4" t="str">
        <f>IF(MAX(F:F)&lt;70,"",INDEX(F:J,MATCH(70,F:F,0),5))</f>
        <v>250 PP</v>
      </c>
      <c r="E72" s="73">
        <f t="shared" si="6"/>
        <v>18</v>
      </c>
      <c r="F72" s="73">
        <f t="shared" si="7"/>
        <v>18</v>
      </c>
      <c r="G72" s="397"/>
      <c r="H72" s="12" t="str">
        <f>IF('6-Comp'!B41=0,"",'6-Comp'!B40&amp;" Gunners: "&amp;'6-Comp'!B41)</f>
        <v>Virtual Gunner/01 Gunners: 2</v>
      </c>
      <c r="J72" s="265">
        <f>IF('6-Comp'!B41=0,0,'6-Comp'!F40)</f>
        <v>5000000</v>
      </c>
    </row>
    <row r="73" spans="1:10" ht="16">
      <c r="A73" s="400" t="str">
        <f>IF(MAX(F:F)&lt;71,"",IF(INDEX(F:J,MATCH(71,F:F,0),2)=0,"",INDEX(F:J,MATCH(71,F:F,0),2)))</f>
        <v/>
      </c>
      <c r="B73" s="463" t="str">
        <f>IF(MAX(F:F)&lt;71,"",INDEX(F:J,MATCH(71,F:F,0),3))</f>
        <v>Basic/Hull</v>
      </c>
      <c r="C73" s="4" t="str">
        <f>IF(MAX(F:F)&lt;71,"",INDEX(F:J,MATCH(71,F:F,0),4))</f>
        <v/>
      </c>
      <c r="D73" s="4" t="str">
        <f>IF(MAX(F:F)&lt;71,"",INDEX(F:J,MATCH(71,F:F,0),5))</f>
        <v>60/0 (30) PP</v>
      </c>
      <c r="E73" s="73">
        <f t="shared" si="6"/>
        <v>18</v>
      </c>
      <c r="F73" s="73" t="str">
        <f t="shared" si="7"/>
        <v/>
      </c>
      <c r="G73" s="397"/>
      <c r="H73" s="12" t="str">
        <f>IF('6-Comp'!C42=0,"",'6-Comp'!A42&amp;" "&amp;'6-Comp'!I42)</f>
        <v/>
      </c>
      <c r="J73" s="265">
        <f>'6-Comp'!F42</f>
        <v>0</v>
      </c>
    </row>
    <row r="74" spans="1:10" ht="16">
      <c r="A74" s="400" t="str">
        <f>IF(MAX(F:F)&lt;72,"",IF(INDEX(F:J,MATCH(72,F:F,0),2)=0,"",INDEX(F:J,MATCH(72,F:F,0),2)))</f>
        <v/>
      </c>
      <c r="B74" s="463" t="str">
        <f>IF(MAX(F:F)&lt;72,"",INDEX(F:J,MATCH(72,F:F,0),3))</f>
        <v>Jump</v>
      </c>
      <c r="C74" s="4" t="str">
        <f>IF(MAX(F:F)&lt;72,"",INDEX(F:J,MATCH(72,F:F,0),4))</f>
        <v/>
      </c>
      <c r="D74" s="4" t="str">
        <f>IF(MAX(F:F)&lt;72,"",INDEX(F:J,MATCH(72,F:F,0),5))</f>
        <v>90/0 PP</v>
      </c>
      <c r="E74" s="73">
        <f t="shared" si="6"/>
        <v>18</v>
      </c>
      <c r="F74" s="73" t="str">
        <f t="shared" si="7"/>
        <v/>
      </c>
      <c r="G74" s="397"/>
      <c r="H74" s="12" t="str">
        <f>IF('6-Comp'!B44='6-Comp'!S97,"",'6-Comp'!A44)</f>
        <v/>
      </c>
      <c r="J74" s="265">
        <f>'6-Comp'!F44</f>
        <v>0</v>
      </c>
    </row>
    <row r="75" spans="1:10" ht="16">
      <c r="A75" s="400" t="str">
        <f>IF(MAX(F:F)&lt;73,"",IF(INDEX(F:J,MATCH(73,F:F,0),2)=0,"",INDEX(F:J,MATCH(73,F:F,0),2)))</f>
        <v/>
      </c>
      <c r="B75" s="463" t="str">
        <f>IF(MAX(F:F)&lt;73,"",INDEX(F:J,MATCH(73,F:F,0),3))</f>
        <v>Maneuver</v>
      </c>
      <c r="C75" s="4" t="str">
        <f>IF(MAX(F:F)&lt;73,"",INDEX(F:J,MATCH(73,F:F,0),4))</f>
        <v/>
      </c>
      <c r="D75" s="4" t="str">
        <f>IF(MAX(F:F)&lt;73,"",INDEX(F:J,MATCH(73,F:F,0),5))</f>
        <v>45 (45/0) PP</v>
      </c>
      <c r="E75" s="73">
        <f t="shared" si="6"/>
        <v>19</v>
      </c>
      <c r="F75" s="73">
        <f t="shared" si="7"/>
        <v>19</v>
      </c>
      <c r="G75" s="397"/>
      <c r="H75" s="12" t="str">
        <f>IF('6-Comp'!B48="","",'6-Comp'!B48)</f>
        <v>Science (General)</v>
      </c>
      <c r="J75" s="265">
        <f>'6-Comp'!F48</f>
        <v>25000000</v>
      </c>
    </row>
    <row r="76" spans="1:10" ht="16">
      <c r="A76" s="400" t="str">
        <f>IF(MAX(F:F)&lt;74,"",IF(INDEX(F:J,MATCH(74,F:F,0),2)=0,"",INDEX(F:J,MATCH(74,F:F,0),2)))</f>
        <v/>
      </c>
      <c r="B76" s="463" t="str">
        <f>IF(MAX(F:F)&lt;74,"",INDEX(F:J,MATCH(74,F:F,0),3))</f>
        <v>Fuel</v>
      </c>
      <c r="C76" s="4" t="str">
        <f>IF(MAX(F:F)&lt;74,"",INDEX(F:J,MATCH(74,F:F,0),4))</f>
        <v/>
      </c>
      <c r="D76" s="4" t="str">
        <f>IF(MAX(F:F)&lt;74,"",INDEX(F:J,MATCH(74,F:F,0),5))</f>
        <v>5 PP</v>
      </c>
      <c r="E76" s="73">
        <f t="shared" si="6"/>
        <v>20</v>
      </c>
      <c r="F76" s="73">
        <f t="shared" si="7"/>
        <v>20</v>
      </c>
      <c r="G76" s="397"/>
      <c r="H76" s="12" t="str">
        <f>IF('6-Comp'!B49="","",'6-Comp'!B49&amp;", "&amp;'6-Comp'!C49&amp;" Iteration(s)")</f>
        <v>Science (Specific), 1 Iteration(s)</v>
      </c>
      <c r="J76" s="265">
        <f>'6-Comp'!F49</f>
        <v>20000000</v>
      </c>
    </row>
    <row r="77" spans="1:10" ht="16">
      <c r="A77" s="400" t="str">
        <f>IF(MAX(F:F)&lt;75,"",IF(INDEX(F:J,MATCH(75,F:F,0),2)=0,"",INDEX(F:J,MATCH(75,F:F,0),2)))</f>
        <v/>
      </c>
      <c r="B77" s="463" t="str">
        <f>IF(MAX(F:F)&lt;75,"",INDEX(F:J,MATCH(75,F:F,0),3))</f>
        <v>Sensors</v>
      </c>
      <c r="C77" s="4" t="str">
        <f>IF(MAX(F:F)&lt;75,"",INDEX(F:J,MATCH(75,F:F,0),4))</f>
        <v/>
      </c>
      <c r="D77" s="4" t="str">
        <f>IF(MAX(F:F)&lt;75,"",INDEX(F:J,MATCH(75,F:F,0),5))</f>
        <v>21 PP</v>
      </c>
      <c r="E77" s="73">
        <f t="shared" si="6"/>
        <v>20</v>
      </c>
      <c r="F77" s="73" t="str">
        <f t="shared" si="7"/>
        <v/>
      </c>
      <c r="G77" s="397"/>
      <c r="H77" s="12" t="str">
        <f>IF('6-Comp'!B50="","",'6-Comp'!B50&amp;", "&amp;'6-Comp'!C50&amp;" Iteration(s)")</f>
        <v/>
      </c>
      <c r="J77" s="265">
        <f>'6-Comp'!F50</f>
        <v>0</v>
      </c>
    </row>
    <row r="78" spans="1:10" ht="16">
      <c r="A78" s="400" t="str">
        <f>IF(MAX(F:F)&lt;76,"",IF(INDEX(F:J,MATCH(76,F:F,0),2)=0,"",INDEX(F:J,MATCH(76,F:F,0),2)))</f>
        <v/>
      </c>
      <c r="B78" s="463" t="str">
        <f>IF(MAX(F:F)&lt;76,"",INDEX(F:J,MATCH(76,F:F,0),3))</f>
        <v>Weapons</v>
      </c>
      <c r="C78" s="4" t="str">
        <f>IF(MAX(F:F)&lt;76,"",INDEX(F:J,MATCH(76,F:F,0),4))</f>
        <v/>
      </c>
      <c r="D78" s="4" t="str">
        <f>IF(MAX(F:F)&lt;76,"",INDEX(F:J,MATCH(76,F:F,0),5))</f>
        <v>21 (21) PP</v>
      </c>
      <c r="E78" s="73">
        <f t="shared" si="6"/>
        <v>20</v>
      </c>
      <c r="F78" s="73" t="str">
        <f t="shared" si="7"/>
        <v/>
      </c>
      <c r="G78" s="397"/>
      <c r="H78" s="12" t="str">
        <f>IF('6-Comp'!B51="","",'6-Comp'!B51&amp;", "&amp;'6-Comp'!C51&amp;" Iteration(s)")</f>
        <v/>
      </c>
      <c r="J78" s="265">
        <f>'6-Comp'!F51</f>
        <v>0</v>
      </c>
    </row>
    <row r="79" spans="1:10" ht="16">
      <c r="A79" s="400" t="str">
        <f>IF(MAX(F:F)&lt;77,"",IF(INDEX(F:J,MATCH(77,F:F,0),2)=0,"",INDEX(F:J,MATCH(77,F:F,0),2)))</f>
        <v/>
      </c>
      <c r="B79" s="463" t="str">
        <f>IF(MAX(F:F)&lt;77,"",INDEX(F:J,MATCH(77,F:F,0),3))</f>
        <v>Optional Components</v>
      </c>
      <c r="C79" s="4" t="str">
        <f>IF(MAX(F:F)&lt;77,"",INDEX(F:J,MATCH(77,F:F,0),4))</f>
        <v/>
      </c>
      <c r="D79" s="4" t="str">
        <f>IF(MAX(F:F)&lt;77,"",INDEX(F:J,MATCH(77,F:F,0),5))</f>
        <v>1 PP</v>
      </c>
      <c r="E79" s="73">
        <f t="shared" si="6"/>
        <v>20</v>
      </c>
      <c r="F79" s="73" t="str">
        <f t="shared" si="7"/>
        <v/>
      </c>
      <c r="G79" s="397"/>
      <c r="H79" s="12" t="str">
        <f>IF('6-Comp'!B52="","",'6-Comp'!B52&amp;", "&amp;'6-Comp'!C52&amp;" Iteration(s)")</f>
        <v/>
      </c>
      <c r="J79" s="265">
        <f>'6-Comp'!F52</f>
        <v>0</v>
      </c>
    </row>
    <row r="80" spans="1:10" ht="16">
      <c r="A80" s="400" t="str">
        <f>IF(MAX(F:F)&lt;78,"",IF(INDEX(F:J,MATCH(78,F:F,0),2)=0,"",INDEX(F:J,MATCH(78,F:F,0),2)))</f>
        <v/>
      </c>
      <c r="B80" s="463" t="str">
        <f>IF(MAX(F:F)&lt;78,"",INDEX(F:J,MATCH(78,F:F,0),3))</f>
        <v>Maximum Load (Battle Load)</v>
      </c>
      <c r="C80" s="4" t="str">
        <f>IF(MAX(F:F)&lt;78,"",INDEX(F:J,MATCH(78,F:F,0),4))</f>
        <v/>
      </c>
      <c r="D80" s="4" t="str">
        <f>IF(MAX(F:F)&lt;78,"",INDEX(F:J,MATCH(78,F:F,0),5))</f>
        <v>243 (117)</v>
      </c>
      <c r="E80" s="73">
        <f t="shared" si="6"/>
        <v>21</v>
      </c>
      <c r="F80" s="73">
        <f t="shared" si="7"/>
        <v>21</v>
      </c>
      <c r="G80" s="397"/>
      <c r="H80" s="12" t="str">
        <f>IF('6-Comp'!B53="","",'6-Comp'!B53)</f>
        <v>Planetology/1</v>
      </c>
      <c r="J80" s="265">
        <f>'6-Comp'!F53</f>
        <v>1000000</v>
      </c>
    </row>
    <row r="81" spans="1:10" ht="16">
      <c r="A81" s="400" t="str">
        <f>IF(MAX(F:F)&lt;79,"",IF(INDEX(F:J,MATCH(79,F:F,0),2)=0,"",INDEX(F:J,MATCH(79,F:F,0),2)))</f>
        <v/>
      </c>
      <c r="B81" s="463" t="str">
        <f>IF(MAX(F:F)&lt;79,"",INDEX(F:J,MATCH(79,F:F,0),3))</f>
        <v/>
      </c>
      <c r="C81" s="4" t="str">
        <f>IF(MAX(F:F)&lt;79,"",INDEX(F:J,MATCH(79,F:F,0),4))</f>
        <v/>
      </c>
      <c r="D81" s="4" t="str">
        <f>IF(MAX(F:F)&lt;79,"",INDEX(F:J,MATCH(79,F:F,0),5))</f>
        <v/>
      </c>
      <c r="E81" s="73">
        <f t="shared" si="6"/>
        <v>21</v>
      </c>
      <c r="F81" s="73" t="str">
        <f t="shared" si="7"/>
        <v/>
      </c>
      <c r="G81" s="398"/>
      <c r="H81" s="392" t="str">
        <f>IF('6-Comp'!F55=0,"",'6-Comp'!A55)</f>
        <v/>
      </c>
      <c r="I81" s="403"/>
      <c r="J81" s="266">
        <f>'6-Comp'!F55</f>
        <v>0</v>
      </c>
    </row>
    <row r="82" spans="1:10" ht="16">
      <c r="A82" s="400" t="str">
        <f>IF(MAX(F:F)&lt;80,"",IF(INDEX(F:J,MATCH(80,F:F,0),2)=0,"",INDEX(F:J,MATCH(80,F:F,0),2)))</f>
        <v/>
      </c>
      <c r="B82" s="463" t="str">
        <f>IF(MAX(F:F)&lt;80,"",INDEX(F:J,MATCH(80,F:F,0),3))</f>
        <v/>
      </c>
      <c r="C82" s="4" t="str">
        <f>IF(MAX(F:F)&lt;80,"",INDEX(F:J,MATCH(80,F:F,0),4))</f>
        <v/>
      </c>
      <c r="D82" s="4" t="str">
        <f>IF(MAX(F:F)&lt;80,"",INDEX(F:J,MATCH(80,F:F,0),5))</f>
        <v/>
      </c>
      <c r="E82" s="73">
        <f t="shared" si="6"/>
        <v>22</v>
      </c>
      <c r="F82" s="73">
        <f t="shared" si="7"/>
        <v>22</v>
      </c>
      <c r="G82" s="401" t="str">
        <f>IF(H82="","","Sensors")</f>
        <v>Sensors</v>
      </c>
      <c r="H82" s="391" t="str">
        <f>IF('7-Sensors'!C8=0,"","Main Sensor Array: "&amp;'7-Sensors'!B8&amp;" x"&amp;'7-Sensors'!C8)&amp;IF(Tech_Level=7," Prototype","")</f>
        <v>Main Sensor Array: Class IV - Improved  x1</v>
      </c>
      <c r="I82" s="237">
        <f>'7-Sensors'!H8</f>
        <v>3</v>
      </c>
      <c r="J82" s="387">
        <f>'7-Sensors'!F8</f>
        <v>4300000</v>
      </c>
    </row>
    <row r="83" spans="1:10" ht="16">
      <c r="A83" s="400" t="str">
        <f>IF(MAX(F:F)&lt;81,"",IF(INDEX(F:J,MATCH(81,F:F,0),2)=0,"",INDEX(F:J,MATCH(81,F:F,0),2)))</f>
        <v/>
      </c>
      <c r="B83" s="463" t="str">
        <f>IF(MAX(F:F)&lt;81,"",INDEX(F:J,MATCH(81,F:F,0),3))</f>
        <v/>
      </c>
      <c r="C83" s="4" t="str">
        <f>IF(MAX(F:F)&lt;81,"",INDEX(F:J,MATCH(81,F:F,0),4))</f>
        <v/>
      </c>
      <c r="D83" s="4" t="str">
        <f>IF(MAX(F:F)&lt;81,"",INDEX(F:J,MATCH(81,F:F,0),5))</f>
        <v/>
      </c>
      <c r="E83" s="73">
        <f t="shared" si="6"/>
        <v>23</v>
      </c>
      <c r="F83" s="73">
        <f t="shared" si="7"/>
        <v>23</v>
      </c>
      <c r="G83" s="397" t="str">
        <f>IF(H83="","",IF(G82="","Sensors",""))</f>
        <v/>
      </c>
      <c r="H83" s="12" t="str">
        <f>IF(OR('7-Sensors'!B11="None",'7-Sensors'!C11=0),"","Aux Sensor Array: "&amp;'7-Sensors'!B11&amp;" x"&amp;'7-Sensors'!C11)</f>
        <v>Aux Sensor Array: Class III - Military Grade x1</v>
      </c>
      <c r="I83" s="4">
        <f>'7-Sensors'!H11</f>
        <v>2</v>
      </c>
      <c r="J83" s="265">
        <f>'7-Sensors'!F11</f>
        <v>4100000</v>
      </c>
    </row>
    <row r="84" spans="1:10" ht="16">
      <c r="A84" s="400" t="str">
        <f>IF(MAX(F:F)&lt;82,"",IF(INDEX(F:J,MATCH(82,F:F,0),2)=0,"",INDEX(F:J,MATCH(82,F:F,0),2)))</f>
        <v/>
      </c>
      <c r="B84" s="463" t="str">
        <f>IF(MAX(F:F)&lt;82,"",INDEX(F:J,MATCH(82,F:F,0),3))</f>
        <v/>
      </c>
      <c r="C84" s="4" t="str">
        <f>IF(MAX(F:F)&lt;82,"",INDEX(F:J,MATCH(82,F:F,0),4))</f>
        <v/>
      </c>
      <c r="D84" s="4" t="str">
        <f>IF(MAX(F:F)&lt;82,"",INDEX(F:J,MATCH(82,F:F,0),5))</f>
        <v/>
      </c>
      <c r="E84" s="73">
        <f t="shared" si="6"/>
        <v>23</v>
      </c>
      <c r="F84" s="73" t="str">
        <f t="shared" si="7"/>
        <v/>
      </c>
      <c r="G84" s="397" t="str">
        <f>IF(H84="","",IF(AND(G82="",,G83=""),"Sensors",""))</f>
        <v/>
      </c>
      <c r="H84" s="12" t="str">
        <f>IF('7-Sensors'!B16=0,"",'7-Sensors'!B16&amp;"x "&amp;'7-Sensors'!A16)</f>
        <v/>
      </c>
      <c r="I84" s="4">
        <f>'7-Sensors'!H16</f>
        <v>0</v>
      </c>
      <c r="J84" s="265">
        <f>'7-Sensors'!F16</f>
        <v>0</v>
      </c>
    </row>
    <row r="85" spans="1:10" ht="16">
      <c r="A85" s="400" t="str">
        <f>IF(MAX(F:F)&lt;83,"",IF(INDEX(F:J,MATCH(83,F:F,0),2)=0,"",INDEX(F:J,MATCH(83,F:F,0),2)))</f>
        <v/>
      </c>
      <c r="B85" s="463" t="str">
        <f>IF(MAX(F:F)&lt;83,"",INDEX(F:J,MATCH(83,F:F,0),3))</f>
        <v/>
      </c>
      <c r="C85" s="4" t="str">
        <f>IF(MAX(F:F)&lt;83,"",INDEX(F:J,MATCH(83,F:F,0),4))</f>
        <v/>
      </c>
      <c r="D85" s="4" t="str">
        <f>IF(MAX(F:F)&lt;83,"",INDEX(F:J,MATCH(83,F:F,0),5))</f>
        <v/>
      </c>
      <c r="E85" s="73">
        <f t="shared" si="6"/>
        <v>24</v>
      </c>
      <c r="F85" s="73">
        <f t="shared" si="7"/>
        <v>24</v>
      </c>
      <c r="G85" s="397" t="str">
        <f>IF(H85="","",IF(AND(G82="",G83="",G84=""),"Sensors",""))</f>
        <v/>
      </c>
      <c r="H85" s="12" t="str">
        <f>IF('7-Sensors'!B17=0,"",'7-Sensors'!B17&amp;"x "&amp;'7-Sensors'!A17)</f>
        <v>1x Deep Penetration Scanners</v>
      </c>
      <c r="I85" s="4">
        <f>'7-Sensors'!H17</f>
        <v>1</v>
      </c>
      <c r="J85" s="265">
        <f>'7-Sensors'!F17</f>
        <v>1000000</v>
      </c>
    </row>
    <row r="86" spans="1:10" ht="16">
      <c r="A86" s="400" t="str">
        <f>IF(MAX(F:F)&lt;84,"",IF(INDEX(F:J,MATCH(84,F:F,0),2)=0,"",INDEX(F:J,MATCH(84,F:F,0),2)))</f>
        <v/>
      </c>
      <c r="B86" s="463" t="str">
        <f>IF(MAX(F:F)&lt;84,"",INDEX(F:J,MATCH(84,F:F,0),3))</f>
        <v/>
      </c>
      <c r="C86" s="4" t="str">
        <f>IF(MAX(F:F)&lt;84,"",INDEX(F:J,MATCH(84,F:F,0),4))</f>
        <v/>
      </c>
      <c r="D86" s="4" t="str">
        <f>IF(MAX(F:F)&lt;84,"",INDEX(F:J,MATCH(84,F:F,0),5))</f>
        <v/>
      </c>
      <c r="E86" s="73">
        <f t="shared" si="6"/>
        <v>24</v>
      </c>
      <c r="F86" s="73" t="str">
        <f t="shared" si="7"/>
        <v/>
      </c>
      <c r="G86" s="397" t="str">
        <f>IF(H86="","",IF(AND(G82="",G83="",G85="",G84=""),"Sensors",""))</f>
        <v/>
      </c>
      <c r="H86" s="12" t="str">
        <f>IF('7-Sensors'!B18=0,"",'7-Sensors'!B18&amp;"x "&amp;'7-Sensors'!A18)</f>
        <v/>
      </c>
      <c r="I86" s="4">
        <f>'7-Sensors'!H18</f>
        <v>0</v>
      </c>
      <c r="J86" s="265">
        <f>'7-Sensors'!F18</f>
        <v>0</v>
      </c>
    </row>
    <row r="87" spans="1:10" ht="16">
      <c r="A87" s="400" t="str">
        <f>IF(MAX(F:F)&lt;85,"",IF(INDEX(F:J,MATCH(85,F:F,0),2)=0,"",INDEX(F:J,MATCH(85,F:F,0),2)))</f>
        <v/>
      </c>
      <c r="B87" s="463" t="str">
        <f>IF(MAX(F:F)&lt;85,"",INDEX(F:J,MATCH(85,F:F,0),3))</f>
        <v/>
      </c>
      <c r="C87" s="4" t="str">
        <f>IF(MAX(F:F)&lt;85,"",INDEX(F:J,MATCH(85,F:F,0),4))</f>
        <v/>
      </c>
      <c r="D87" s="4" t="str">
        <f>IF(MAX(F:F)&lt;85,"",INDEX(F:J,MATCH(85,F:F,0),5))</f>
        <v/>
      </c>
      <c r="E87" s="73">
        <f t="shared" si="6"/>
        <v>25</v>
      </c>
      <c r="F87" s="73">
        <f t="shared" si="7"/>
        <v>25</v>
      </c>
      <c r="G87" s="397" t="str">
        <f>IF(H87="","",IF(AND(G82="",G83="",G84="",G86="",G85=""),"Sensors",""))</f>
        <v/>
      </c>
      <c r="H87" s="12" t="str">
        <f>IF('7-Sensors'!B19=0,"",'7-Sensors'!B19&amp;"x "&amp;'7-Sensors'!A19)</f>
        <v>1x Enhanced Signal Processing</v>
      </c>
      <c r="I87" s="4">
        <f>'7-Sensors'!H19</f>
        <v>2</v>
      </c>
      <c r="J87" s="265">
        <f>'7-Sensors'!F19</f>
        <v>8000000</v>
      </c>
    </row>
    <row r="88" spans="1:10" ht="16">
      <c r="A88" s="400" t="str">
        <f>IF(MAX(F:F)&lt;86,"",IF(INDEX(F:J,MATCH(86,F:F,0),2)=0,"",INDEX(F:J,MATCH(86,F:F,0),2)))</f>
        <v/>
      </c>
      <c r="B88" s="463" t="str">
        <f>IF(MAX(F:F)&lt;86,"",INDEX(F:J,MATCH(86,F:F,0),3))</f>
        <v/>
      </c>
      <c r="C88" s="4" t="str">
        <f>IF(MAX(F:F)&lt;86,"",INDEX(F:J,MATCH(86,F:F,0),4))</f>
        <v/>
      </c>
      <c r="D88" s="4" t="str">
        <f>IF(MAX(F:F)&lt;86,"",INDEX(F:J,MATCH(86,F:F,0),5))</f>
        <v/>
      </c>
      <c r="E88" s="73">
        <f t="shared" si="6"/>
        <v>26</v>
      </c>
      <c r="F88" s="73">
        <f t="shared" si="7"/>
        <v>26</v>
      </c>
      <c r="G88" s="397" t="str">
        <f>IF(H88="","",IF(AND(G82="",G83="",G84="",G85="",G87="",G86=""),"Sensors",""))</f>
        <v/>
      </c>
      <c r="H88" s="12" t="str">
        <f>IF('7-Sensors'!B20=0,"",'7-Sensors'!B20&amp;"x "&amp;'7-Sensors'!A20)</f>
        <v>1x Extended Arrays</v>
      </c>
      <c r="I88" s="4">
        <f>'7-Sensors'!H20</f>
        <v>6</v>
      </c>
      <c r="J88" s="265">
        <f>'7-Sensors'!F20</f>
        <v>8600000</v>
      </c>
    </row>
    <row r="89" spans="1:10" ht="16">
      <c r="A89" s="400" t="str">
        <f>IF(MAX(F:F)&lt;87,"",IF(INDEX(F:J,MATCH(87,F:F,0),2)=0,"",INDEX(F:J,MATCH(87,F:F,0),2)))</f>
        <v/>
      </c>
      <c r="B89" s="463" t="str">
        <f>IF(MAX(F:F)&lt;87,"",INDEX(F:J,MATCH(87,F:F,0),3))</f>
        <v/>
      </c>
      <c r="C89" s="4" t="str">
        <f>IF(MAX(F:F)&lt;87,"",INDEX(F:J,MATCH(87,F:F,0),4))</f>
        <v/>
      </c>
      <c r="D89" s="4" t="str">
        <f>IF(MAX(F:F)&lt;87,"",INDEX(F:J,MATCH(87,F:F,0),5))</f>
        <v/>
      </c>
      <c r="E89" s="73">
        <f t="shared" si="6"/>
        <v>27</v>
      </c>
      <c r="F89" s="73">
        <f t="shared" si="7"/>
        <v>27</v>
      </c>
      <c r="G89" s="397" t="str">
        <f>IF(H89="","",IF(AND(G82="",G83="",G84="",G85="",G86="",G88="",G87=""),"Sensors",""))</f>
        <v/>
      </c>
      <c r="H89" s="12" t="str">
        <f>IF('7-Sensors'!B21=0,"",'7-Sensors'!B21&amp;"x "&amp;'7-Sensors'!A21)</f>
        <v>1x Extension Net</v>
      </c>
      <c r="I89" s="4">
        <f>'7-Sensors'!H21</f>
        <v>3</v>
      </c>
      <c r="J89" s="265">
        <f>'7-Sensors'!F21</f>
        <v>3000000</v>
      </c>
    </row>
    <row r="90" spans="1:10" ht="16">
      <c r="A90" s="400" t="str">
        <f>IF(MAX(F:F)&lt;88,"",IF(INDEX(F:J,MATCH(88,F:F,0),2)=0,"",INDEX(F:J,MATCH(88,F:F,0),2)))</f>
        <v/>
      </c>
      <c r="B90" s="463" t="str">
        <f>IF(MAX(F:F)&lt;88,"",INDEX(F:J,MATCH(88,F:F,0),3))</f>
        <v/>
      </c>
      <c r="C90" s="4" t="str">
        <f>IF(MAX(F:F)&lt;88,"",INDEX(F:J,MATCH(88,F:F,0),4))</f>
        <v/>
      </c>
      <c r="D90" s="4" t="str">
        <f>IF(MAX(F:F)&lt;88,"",INDEX(F:J,MATCH(88,F:F,0),5))</f>
        <v/>
      </c>
      <c r="E90" s="73">
        <f t="shared" si="6"/>
        <v>28</v>
      </c>
      <c r="F90" s="73">
        <f t="shared" si="7"/>
        <v>28</v>
      </c>
      <c r="G90" s="397" t="str">
        <f>IF(H90="","",IF(AND(G82="",G83="",G84="",G85="",G86="",G87="",G89="",G88=""),"Sensors",""))</f>
        <v/>
      </c>
      <c r="H90" s="12" t="str">
        <f>IF('7-Sensors'!B22=0,"",'7-Sensors'!B22&amp;"x "&amp;'7-Sensors'!A22)</f>
        <v>1x Improved Signal Processing</v>
      </c>
      <c r="I90" s="4">
        <f>'7-Sensors'!H22</f>
        <v>1</v>
      </c>
      <c r="J90" s="265">
        <f>'7-Sensors'!F22</f>
        <v>4000000</v>
      </c>
    </row>
    <row r="91" spans="1:10" ht="16">
      <c r="A91" s="400" t="str">
        <f>IF(MAX(F:F)&lt;89,"",IF(INDEX(F:J,MATCH(89,F:F,0),2)=0,"",INDEX(F:J,MATCH(89,F:F,0),2)))</f>
        <v/>
      </c>
      <c r="B91" s="463" t="str">
        <f>IF(MAX(F:F)&lt;89,"",INDEX(F:J,MATCH(89,F:F,0),3))</f>
        <v/>
      </c>
      <c r="C91" s="4" t="str">
        <f>IF(MAX(F:F)&lt;89,"",INDEX(F:J,MATCH(89,F:F,0),4))</f>
        <v/>
      </c>
      <c r="D91" s="4" t="str">
        <f>IF(MAX(F:F)&lt;89,"",INDEX(F:J,MATCH(89,F:F,0),5))</f>
        <v/>
      </c>
      <c r="E91" s="73">
        <f t="shared" si="6"/>
        <v>29</v>
      </c>
      <c r="F91" s="73">
        <f t="shared" si="7"/>
        <v>29</v>
      </c>
      <c r="G91" s="397" t="str">
        <f>IF(H91="","",IF(AND(G82="",G83="",G84="",G85="",G86="",G87="",G88="",G90="",G89=""),"Sensors",""))</f>
        <v/>
      </c>
      <c r="H91" s="12" t="str">
        <f>IF('7-Sensors'!B23=0,"",'7-Sensors'!B23&amp;"x "&amp;'7-Sensors'!A23)</f>
        <v>1x Life Scanner</v>
      </c>
      <c r="I91" s="4">
        <f>'7-Sensors'!H23</f>
        <v>1</v>
      </c>
      <c r="J91" s="265">
        <f>'7-Sensors'!F23</f>
        <v>2000000</v>
      </c>
    </row>
    <row r="92" spans="1:10" ht="16">
      <c r="A92" s="400" t="str">
        <f>IF(MAX(F:F)&lt;90,"",IF(INDEX(F:J,MATCH(90,F:F,0),2)=0,"",INDEX(F:J,MATCH(90,F:F,0),2)))</f>
        <v/>
      </c>
      <c r="B92" s="463" t="str">
        <f>IF(MAX(F:F)&lt;90,"",INDEX(F:J,MATCH(90,F:F,0),3))</f>
        <v/>
      </c>
      <c r="C92" s="4" t="str">
        <f>IF(MAX(F:F)&lt;90,"",INDEX(F:J,MATCH(90,F:F,0),4))</f>
        <v/>
      </c>
      <c r="D92" s="4" t="str">
        <f>IF(MAX(F:F)&lt;90,"",INDEX(F:J,MATCH(90,F:F,0),5))</f>
        <v/>
      </c>
      <c r="E92" s="73">
        <f t="shared" si="6"/>
        <v>30</v>
      </c>
      <c r="F92" s="73">
        <f t="shared" si="7"/>
        <v>30</v>
      </c>
      <c r="G92" s="397" t="str">
        <f>IF(H92="","",IF(AND(G82="",G83="",G84="",G85="",G86="",G87="",G88="",G89="",G91="",G90=""),"Sensors",""))</f>
        <v/>
      </c>
      <c r="H92" s="12" t="str">
        <f>IF('7-Sensors'!B24=0,"",'7-Sensors'!B24&amp;"x "&amp;'7-Sensors'!A24)</f>
        <v>1x Life Scanner Analysis Suite</v>
      </c>
      <c r="I92" s="4">
        <f>'7-Sensors'!H24</f>
        <v>1</v>
      </c>
      <c r="J92" s="265">
        <f>'7-Sensors'!F24</f>
        <v>4000000</v>
      </c>
    </row>
    <row r="93" spans="1:10" ht="16">
      <c r="A93" s="400" t="str">
        <f>IF(MAX(F:F)&lt;91,"",IF(INDEX(F:J,MATCH(91,F:F,0),2)=0,"",INDEX(F:J,MATCH(91,F:F,0),2)))</f>
        <v/>
      </c>
      <c r="B93" s="463" t="str">
        <f>IF(MAX(F:F)&lt;91,"",INDEX(F:J,MATCH(91,F:F,0),3))</f>
        <v/>
      </c>
      <c r="C93" s="4" t="str">
        <f>IF(MAX(F:F)&lt;91,"",INDEX(F:J,MATCH(91,F:F,0),4))</f>
        <v/>
      </c>
      <c r="D93" s="4" t="str">
        <f>IF(MAX(F:F)&lt;91,"",INDEX(F:J,MATCH(91,F:F,0),5))</f>
        <v/>
      </c>
      <c r="E93" s="73">
        <f t="shared" si="6"/>
        <v>30</v>
      </c>
      <c r="F93" s="73" t="str">
        <f t="shared" si="7"/>
        <v/>
      </c>
      <c r="G93" s="397" t="str">
        <f>IF(H93="","",IF(AND(G82="",G83="",G84="",G85="",G86="",G87="",G88="",G89="",G90="",G92="",G91=""),"Sensors",""))</f>
        <v/>
      </c>
      <c r="H93" s="12" t="str">
        <f>IF('7-Sensors'!B25=0,"",'7-Sensors'!B25&amp;"x "&amp;'7-Sensors'!A25)</f>
        <v/>
      </c>
      <c r="I93" s="4">
        <f>'7-Sensors'!H25</f>
        <v>0</v>
      </c>
      <c r="J93" s="265">
        <f>'7-Sensors'!F25</f>
        <v>0</v>
      </c>
    </row>
    <row r="94" spans="1:10" ht="16">
      <c r="A94" s="400" t="str">
        <f>IF(MAX(F:F)&lt;92,"",IF(INDEX(F:J,MATCH(92,F:F,0),2)=0,"",INDEX(F:J,MATCH(92,F:F,0),2)))</f>
        <v/>
      </c>
      <c r="B94" s="463" t="str">
        <f>IF(MAX(F:F)&lt;92,"",INDEX(F:J,MATCH(92,F:F,0),3))</f>
        <v/>
      </c>
      <c r="C94" s="4" t="str">
        <f>IF(MAX(F:F)&lt;92,"",INDEX(F:J,MATCH(92,F:F,0),4))</f>
        <v/>
      </c>
      <c r="D94" s="4" t="str">
        <f>IF(MAX(F:F)&lt;92,"",INDEX(F:J,MATCH(92,F:F,0),5))</f>
        <v/>
      </c>
      <c r="E94" s="73">
        <f t="shared" si="6"/>
        <v>30</v>
      </c>
      <c r="F94" s="73" t="str">
        <f t="shared" si="7"/>
        <v/>
      </c>
      <c r="G94" s="397" t="str">
        <f>IF(H94="","",IF(AND(G82="",G83="",G84="",G85="",G86="",G87="",G88="",G89="",G90="",G91="",G93="",G92=""),"Sensors",""))</f>
        <v/>
      </c>
      <c r="H94" s="12" t="str">
        <f>IF('7-Sensors'!B26=0,"",'7-Sensors'!B26&amp;"x "&amp;'7-Sensors'!A26)</f>
        <v/>
      </c>
      <c r="I94" s="4">
        <f>'7-Sensors'!H26</f>
        <v>0</v>
      </c>
      <c r="J94" s="265">
        <f>'7-Sensors'!F26</f>
        <v>0</v>
      </c>
    </row>
    <row r="95" spans="1:10" ht="16">
      <c r="A95" s="400" t="str">
        <f>IF(MAX(F:F)&lt;93,"",IF(INDEX(F:J,MATCH(93,F:F,0),2)=0,"",INDEX(F:J,MATCH(93,F:F,0),2)))</f>
        <v/>
      </c>
      <c r="B95" s="463" t="str">
        <f>IF(MAX(F:F)&lt;93,"",INDEX(F:J,MATCH(93,F:F,0),3))</f>
        <v/>
      </c>
      <c r="C95" s="4" t="str">
        <f>IF(MAX(F:F)&lt;93,"",INDEX(F:J,MATCH(93,F:F,0),4))</f>
        <v/>
      </c>
      <c r="D95" s="4" t="str">
        <f>IF(MAX(F:F)&lt;93,"",INDEX(F:J,MATCH(93,F:F,0),5))</f>
        <v/>
      </c>
      <c r="E95" s="73">
        <f t="shared" si="6"/>
        <v>30</v>
      </c>
      <c r="F95" s="73" t="str">
        <f t="shared" si="7"/>
        <v/>
      </c>
      <c r="G95" s="397" t="str">
        <f>IF(H95="","",IF(AND(G82="",G83="",G84="",G85="",G86="",G87="",G88="",G89="",G90="",G91="",G92="",G94="",G93=""),"Sensors",""))</f>
        <v/>
      </c>
      <c r="H95" s="12" t="str">
        <f>IF('7-Sensors'!B27=0,"",'7-Sensors'!B27&amp;"x "&amp;'7-Sensors'!A27)</f>
        <v/>
      </c>
      <c r="I95" s="4">
        <f>'7-Sensors'!H27</f>
        <v>0</v>
      </c>
      <c r="J95" s="265">
        <f>'7-Sensors'!F27</f>
        <v>0</v>
      </c>
    </row>
    <row r="96" spans="1:10" ht="16">
      <c r="A96" s="400" t="str">
        <f>IF(MAX(F:F)&lt;94,"",IF(INDEX(F:J,MATCH(94,F:F,0),2)=0,"",INDEX(F:J,MATCH(94,F:F,0),2)))</f>
        <v/>
      </c>
      <c r="B96" s="463" t="str">
        <f>IF(MAX(F:F)&lt;94,"",INDEX(F:J,MATCH(94,F:F,0),3))</f>
        <v/>
      </c>
      <c r="C96" s="4" t="str">
        <f>IF(MAX(F:F)&lt;94,"",INDEX(F:J,MATCH(94,F:F,0),4))</f>
        <v/>
      </c>
      <c r="D96" s="4" t="str">
        <f>IF(MAX(F:F)&lt;94,"",INDEX(F:J,MATCH(94,F:F,0),5))</f>
        <v/>
      </c>
      <c r="E96" s="73">
        <f t="shared" si="6"/>
        <v>30</v>
      </c>
      <c r="F96" s="73" t="str">
        <f t="shared" si="7"/>
        <v/>
      </c>
      <c r="G96" s="397" t="str">
        <f>IF(H96="","",IF(AND(G82="",G83="",G84="",G85="",G86="",G87="",G88="",G89="",G90="",G91="",G92="",G93="",G95="",G94=""),"Sensors",""))</f>
        <v/>
      </c>
      <c r="H96" s="12" t="str">
        <f>IF('7-Sensors'!B28=0,"",'7-Sensors'!B28&amp;"x "&amp;'7-Sensors'!A28)</f>
        <v/>
      </c>
      <c r="I96" s="4">
        <f>'7-Sensors'!H28</f>
        <v>0</v>
      </c>
      <c r="J96" s="265">
        <f>'7-Sensors'!F28</f>
        <v>0</v>
      </c>
    </row>
    <row r="97" spans="1:10" ht="16">
      <c r="A97" s="400" t="str">
        <f>IF(MAX(F:F)&lt;95,"",IF(INDEX(F:J,MATCH(95,F:F,0),2)=0,"",INDEX(F:J,MATCH(95,F:F,0),2)))</f>
        <v/>
      </c>
      <c r="B97" s="463" t="str">
        <f>IF(MAX(F:F)&lt;95,"",INDEX(F:J,MATCH(95,F:F,0),3))</f>
        <v/>
      </c>
      <c r="C97" s="4" t="str">
        <f>IF(MAX(F:F)&lt;95,"",INDEX(F:J,MATCH(95,F:F,0),4))</f>
        <v/>
      </c>
      <c r="D97" s="4" t="str">
        <f>IF(MAX(F:F)&lt;95,"",INDEX(F:J,MATCH(95,F:F,0),5))</f>
        <v/>
      </c>
      <c r="E97" s="73">
        <f t="shared" si="6"/>
        <v>31</v>
      </c>
      <c r="F97" s="73">
        <f t="shared" si="7"/>
        <v>31</v>
      </c>
      <c r="G97" s="397" t="str">
        <f>IF(H97="","",IF(AND(G82="",G83="",G84="",G85="",G86="",G87="",G88="",G89="",G90="",G91="",G92="",G93="",G94="",G96="",G95=""),"Sensors",""))</f>
        <v/>
      </c>
      <c r="H97" s="12" t="str">
        <f>IF('7-Sensors'!B29=0,"",'7-Sensors'!B29&amp;"x "&amp;'7-Sensors'!A29)</f>
        <v>1x Mineral Detection Suite</v>
      </c>
      <c r="I97" s="4">
        <f>'7-Sensors'!H29</f>
        <v>1</v>
      </c>
      <c r="J97" s="265">
        <f>'7-Sensors'!F29</f>
        <v>5000000</v>
      </c>
    </row>
    <row r="98" spans="1:10" ht="16">
      <c r="A98" s="400" t="str">
        <f>IF(MAX(F:F)&lt;96,"",IF(INDEX(F:J,MATCH(96,F:F,0),2)=0,"",INDEX(F:J,MATCH(96,F:F,0),2)))</f>
        <v/>
      </c>
      <c r="B98" s="463" t="str">
        <f>IF(MAX(F:F)&lt;96,"",INDEX(F:J,MATCH(96,F:F,0),3))</f>
        <v/>
      </c>
      <c r="C98" s="4" t="str">
        <f>IF(MAX(F:F)&lt;96,"",INDEX(F:J,MATCH(96,F:F,0),4))</f>
        <v/>
      </c>
      <c r="D98" s="4" t="str">
        <f>IF(MAX(F:F)&lt;96,"",INDEX(F:J,MATCH(96,F:F,0),5))</f>
        <v/>
      </c>
      <c r="E98" s="73">
        <f t="shared" si="6"/>
        <v>31</v>
      </c>
      <c r="F98" s="73" t="str">
        <f t="shared" si="7"/>
        <v/>
      </c>
      <c r="G98" s="397" t="str">
        <f>IF(H98="","",IF(AND(G82="",G83="",G84="",G85="",G86="",G87="",G88="",G89="",G90="",G91="",G92="",G93="",G94="",G95="",G97="",G96=""),"Sensors",""))</f>
        <v/>
      </c>
      <c r="H98" s="12" t="str">
        <f>IF('7-Sensors'!B30=0,"",'7-Sensors'!B30&amp;"x "&amp;'7-Sensors'!A30)</f>
        <v/>
      </c>
      <c r="I98" s="4">
        <f>'7-Sensors'!H30</f>
        <v>0</v>
      </c>
      <c r="J98" s="265">
        <f>'7-Sensors'!F30</f>
        <v>0</v>
      </c>
    </row>
    <row r="99" spans="1:10" ht="16">
      <c r="A99" s="400" t="str">
        <f>IF(MAX(F:F)&lt;97,"",IF(INDEX(F:J,MATCH(97,F:F,0),2)=0,"",INDEX(F:J,MATCH(97,F:F,0),2)))</f>
        <v/>
      </c>
      <c r="B99" s="463" t="str">
        <f>IF(MAX(F:F)&lt;97,"",INDEX(F:J,MATCH(97,F:F,0),3))</f>
        <v/>
      </c>
      <c r="C99" s="4" t="str">
        <f>IF(MAX(F:F)&lt;97,"",INDEX(F:J,MATCH(97,F:F,0),4))</f>
        <v/>
      </c>
      <c r="D99" s="4" t="str">
        <f>IF(MAX(F:F)&lt;97,"",INDEX(F:J,MATCH(97,F:F,0),5))</f>
        <v/>
      </c>
      <c r="E99" s="73">
        <f t="shared" si="6"/>
        <v>32</v>
      </c>
      <c r="F99" s="73">
        <f t="shared" si="7"/>
        <v>32</v>
      </c>
      <c r="G99" s="397" t="str">
        <f>IF(H99="","",IF(AND(G82="",G83="",G84="",G85="",G86="",G87="",G88="",G89="",G90="",G91="",G92="",G93="",G94="",G95="",G96="",G98="",G97=""),"Sensors",""))</f>
        <v/>
      </c>
      <c r="H99" s="12" t="str">
        <f>IF('7-Sensors'!B31=0,"",'7-Sensors'!B31&amp;"x "&amp;'7-Sensors'!A31)</f>
        <v>1x Shallow Penetration Suite</v>
      </c>
      <c r="I99" s="4">
        <f>'7-Sensors'!H31</f>
        <v>10</v>
      </c>
      <c r="J99" s="265">
        <f>'7-Sensors'!F31</f>
        <v>5000000</v>
      </c>
    </row>
    <row r="100" spans="1:10" ht="16">
      <c r="A100" s="400" t="str">
        <f>IF(MAX(F:F)&lt;98,"",IF(INDEX(F:J,MATCH(98,F:F,0),2)=0,"",INDEX(F:J,MATCH(98,F:F,0),2)))</f>
        <v/>
      </c>
      <c r="B100" s="463" t="str">
        <f>IF(MAX(F:F)&lt;98,"",INDEX(F:J,MATCH(98,F:F,0),3))</f>
        <v/>
      </c>
      <c r="C100" s="4" t="str">
        <f>IF(MAX(F:F)&lt;98,"",INDEX(F:J,MATCH(98,F:F,0),4))</f>
        <v/>
      </c>
      <c r="D100" s="4" t="str">
        <f>IF(MAX(F:F)&lt;98,"",INDEX(F:J,MATCH(98,F:F,0),5))</f>
        <v/>
      </c>
      <c r="E100" s="73">
        <f t="shared" si="6"/>
        <v>32</v>
      </c>
      <c r="F100" s="73" t="str">
        <f t="shared" si="7"/>
        <v/>
      </c>
      <c r="G100" s="397" t="str">
        <f>IF(H100="","",IF(AND(G82="",G83="",G84="",G85="",G86="",G87="",G88="",G89="",G90="",G91="",G92="",G93="",G94="",G95="",G96="",G97="",G99="",G98=""),"Sensors",""))</f>
        <v/>
      </c>
      <c r="H100" s="12" t="str">
        <f>IF('7-Sensors'!B33="Installed",'7-Sensors'!A33,"")</f>
        <v/>
      </c>
      <c r="I100" s="4">
        <f>'7-Sensors'!H33</f>
        <v>0</v>
      </c>
      <c r="J100" s="265">
        <f>'7-Sensors'!F33</f>
        <v>0</v>
      </c>
    </row>
    <row r="101" spans="1:10" ht="16">
      <c r="A101" s="400" t="str">
        <f>IF(MAX(F:F)&lt;99,"",IF(INDEX(F:J,MATCH(99,F:F,0),2)=0,"",INDEX(F:J,MATCH(99,F:F,0),2)))</f>
        <v/>
      </c>
      <c r="B101" s="463" t="str">
        <f>IF(MAX(F:F)&lt;99,"",INDEX(F:J,MATCH(99,F:F,0),3))</f>
        <v/>
      </c>
      <c r="C101" s="4" t="str">
        <f>IF(MAX(F:F)&lt;99,"",INDEX(F:J,MATCH(99,F:F,0),4))</f>
        <v/>
      </c>
      <c r="D101" s="4" t="str">
        <f>IF(MAX(F:F)&lt;99,"",INDEX(F:J,MATCH(99,F:F,0),5))</f>
        <v/>
      </c>
      <c r="E101" s="73">
        <f t="shared" si="6"/>
        <v>32</v>
      </c>
      <c r="F101" s="73" t="str">
        <f t="shared" si="7"/>
        <v/>
      </c>
      <c r="G101" s="397" t="str">
        <f>IF(H101="","",IF(AND(G82="",G83="",G84="",G85="",G86="",G87="",G88="",G89="",G90="",G91="",G92="",G93="",G94="",G95="",G96="",G97="",G98="",G100="",G99=""),"Sensors",""))</f>
        <v/>
      </c>
      <c r="H101" s="392" t="str">
        <f>IF('7-Sensors'!B34="Installed",'7-Sensors'!A34,"")</f>
        <v/>
      </c>
      <c r="I101" s="403">
        <f>'7-Sensors'!H34</f>
        <v>0</v>
      </c>
      <c r="J101" s="266">
        <f>'7-Sensors'!F34</f>
        <v>0</v>
      </c>
    </row>
    <row r="102" spans="1:10" ht="15" customHeight="1">
      <c r="A102" s="400" t="str">
        <f>IF(MAX(F:F)&lt;100,"",IF(INDEX(F:J,MATCH(100,F:F,0),2)=0,"",INDEX(F:J,MATCH(100,F:F,0),2)))</f>
        <v/>
      </c>
      <c r="B102" s="463" t="str">
        <f>IF(MAX(F:F)&lt;100,"",INDEX(F:J,MATCH(100,F:F,0),3))</f>
        <v/>
      </c>
      <c r="C102" s="4" t="str">
        <f>IF(MAX(F:F)&lt;100,"",INDEX(F:J,MATCH(100,F:F,0),4))</f>
        <v/>
      </c>
      <c r="D102" s="4" t="str">
        <f>IF(MAX(F:F)&lt;100,"",INDEX(F:J,MATCH(100,F:F,0),5))</f>
        <v/>
      </c>
      <c r="E102" s="73">
        <f t="shared" si="6"/>
        <v>33</v>
      </c>
      <c r="F102" s="73">
        <f t="shared" si="7"/>
        <v>33</v>
      </c>
      <c r="G102" s="401" t="str">
        <f>IF(H102="","","Weapons")</f>
        <v>Weapons</v>
      </c>
      <c r="H102" s="391" t="str">
        <f>'8a-Weapons'!AM113</f>
        <v>3x Single Turret: Particle Beam Adv - Easy Repair, Adv - Energy Efficient</v>
      </c>
      <c r="I102" s="237">
        <f>'8a-Weapons'!N12</f>
        <v>3</v>
      </c>
      <c r="J102" s="387">
        <f>'8a-Weapons'!L12</f>
        <v>15750000</v>
      </c>
    </row>
    <row r="103" spans="1:10" ht="16">
      <c r="A103" s="400" t="str">
        <f>IF(MAX(F:F)&lt;101,"",IF(INDEX(F:J,MATCH(101,F:F,0),2)=0,"",INDEX(F:J,MATCH(101,F:F,0),2)))</f>
        <v/>
      </c>
      <c r="B103" s="463" t="str">
        <f>IF(MAX(F:F)&lt;101,"",INDEX(F:J,MATCH(101,F:F,0),3))</f>
        <v/>
      </c>
      <c r="C103" s="4" t="str">
        <f>IF(MAX(F:F)&lt;101,"",INDEX(F:J,MATCH(101,F:F,0),4))</f>
        <v/>
      </c>
      <c r="D103" s="4" t="str">
        <f>IF(MAX(F:F)&lt;101,"",INDEX(F:J,MATCH(101,F:F,0),5))</f>
        <v/>
      </c>
      <c r="E103" s="73">
        <f t="shared" si="6"/>
        <v>33</v>
      </c>
      <c r="F103" s="73" t="str">
        <f t="shared" si="7"/>
        <v/>
      </c>
      <c r="G103" s="397" t="str">
        <f>IF(H103="","",IF(G102="","Weapons",""))</f>
        <v/>
      </c>
      <c r="H103" s="12" t="str">
        <f>'8a-Weapons'!AM114</f>
        <v/>
      </c>
      <c r="I103" s="4">
        <f>'8a-Weapons'!N13</f>
        <v>0</v>
      </c>
      <c r="J103" s="265">
        <f>'8a-Weapons'!L13</f>
        <v>0</v>
      </c>
    </row>
    <row r="104" spans="1:10" ht="15" customHeight="1">
      <c r="A104" s="400" t="str">
        <f>IF(MAX(F:F)&lt;102,"",IF(INDEX(F:J,MATCH(102,F:F,0),2)=0,"",INDEX(F:J,MATCH(102,F:F,0),2)))</f>
        <v/>
      </c>
      <c r="B104" s="463" t="str">
        <f>IF(MAX(F:F)&lt;102,"",INDEX(F:J,MATCH(102,F:F,0),3))</f>
        <v/>
      </c>
      <c r="C104" s="4" t="str">
        <f>IF(MAX(F:F)&lt;102,"",INDEX(F:J,MATCH(102,F:F,0),4))</f>
        <v/>
      </c>
      <c r="D104" s="4" t="str">
        <f>IF(MAX(F:F)&lt;102,"",INDEX(F:J,MATCH(102,F:F,0),5))</f>
        <v/>
      </c>
      <c r="E104" s="73">
        <f t="shared" si="6"/>
        <v>33</v>
      </c>
      <c r="F104" s="73" t="str">
        <f t="shared" si="7"/>
        <v/>
      </c>
      <c r="G104" s="397" t="str">
        <f>IF(H104="","",IF(AND(G103="",G102=""),"Weapons",""))</f>
        <v/>
      </c>
      <c r="H104" s="12" t="str">
        <f>'8a-Weapons'!AM115</f>
        <v/>
      </c>
      <c r="I104" s="4">
        <f>'8a-Weapons'!N14</f>
        <v>0</v>
      </c>
      <c r="J104" s="265">
        <f>'8a-Weapons'!L14</f>
        <v>0</v>
      </c>
    </row>
    <row r="105" spans="1:10" ht="16">
      <c r="A105" s="400" t="str">
        <f>IF(MAX(F:F)&lt;103,"",IF(INDEX(F:J,MATCH(103,F:F,0),2)=0,"",INDEX(F:J,MATCH(103,F:F,0),2)))</f>
        <v/>
      </c>
      <c r="B105" s="463" t="str">
        <f>IF(MAX(F:F)&lt;103,"",INDEX(F:J,MATCH(103,F:F,0),3))</f>
        <v/>
      </c>
      <c r="C105" s="4" t="str">
        <f>IF(MAX(F:F)&lt;103,"",INDEX(F:J,MATCH(103,F:F,0),4))</f>
        <v/>
      </c>
      <c r="D105" s="4" t="str">
        <f>IF(MAX(F:F)&lt;103,"",INDEX(F:J,MATCH(103,F:F,0),5))</f>
        <v/>
      </c>
      <c r="E105" s="73">
        <f t="shared" si="6"/>
        <v>33</v>
      </c>
      <c r="F105" s="73" t="str">
        <f t="shared" si="7"/>
        <v/>
      </c>
      <c r="G105" s="397" t="str">
        <f>IF(H105="","",IF(AND(G104="",G103="",G102=""),"Weapons",""))</f>
        <v/>
      </c>
      <c r="H105" s="12" t="str">
        <f>'8a-Weapons'!AM116</f>
        <v/>
      </c>
      <c r="I105" s="4">
        <f>'8a-Weapons'!N15</f>
        <v>0</v>
      </c>
      <c r="J105" s="265">
        <f>'8a-Weapons'!L15</f>
        <v>0</v>
      </c>
    </row>
    <row r="106" spans="1:10" ht="16">
      <c r="A106" s="400" t="str">
        <f>IF(MAX(F:F)&lt;104,"",IF(INDEX(F:J,MATCH(104,F:F,0),2)=0,"",INDEX(F:J,MATCH(104,F:F,0),2)))</f>
        <v/>
      </c>
      <c r="B106" s="463" t="str">
        <f>IF(MAX(F:F)&lt;104,"",INDEX(F:J,MATCH(104,F:F,0),3))</f>
        <v/>
      </c>
      <c r="C106" s="4" t="str">
        <f>IF(MAX(F:F)&lt;104,"",INDEX(F:J,MATCH(104,F:F,0),4))</f>
        <v/>
      </c>
      <c r="D106" s="4" t="str">
        <f>IF(MAX(F:F)&lt;104,"",INDEX(F:J,MATCH(104,F:F,0),5))</f>
        <v/>
      </c>
      <c r="E106" s="73">
        <f t="shared" si="6"/>
        <v>33</v>
      </c>
      <c r="F106" s="73" t="str">
        <f t="shared" si="7"/>
        <v/>
      </c>
      <c r="G106" s="397" t="str">
        <f>IF(H106="","",IF(AND(G105="",G104="",G103="",G102=""),"Weapons",""))</f>
        <v/>
      </c>
      <c r="H106" s="12" t="str">
        <f>'8a-Weapons'!AM117</f>
        <v/>
      </c>
      <c r="I106" s="4">
        <f>'8a-Weapons'!N16</f>
        <v>0</v>
      </c>
      <c r="J106" s="265">
        <f>'8a-Weapons'!L16</f>
        <v>0</v>
      </c>
    </row>
    <row r="107" spans="1:10" ht="16">
      <c r="A107" s="400" t="str">
        <f>IF(MAX(F:F)&lt;105,"",IF(INDEX(F:J,MATCH(105,F:F,0),2)=0,"",INDEX(F:J,MATCH(105,F:F,0),2)))</f>
        <v/>
      </c>
      <c r="B107" s="463" t="str">
        <f>IF(MAX(F:F)&lt;105,"",INDEX(F:J,MATCH(105,F:F,0),3))</f>
        <v/>
      </c>
      <c r="C107" s="4" t="str">
        <f>IF(MAX(F:F)&lt;105,"",INDEX(F:J,MATCH(105,F:F,0),4))</f>
        <v/>
      </c>
      <c r="D107" s="4" t="str">
        <f>IF(MAX(F:F)&lt;105,"",INDEX(F:J,MATCH(105,F:F,0),5))</f>
        <v/>
      </c>
      <c r="E107" s="73">
        <f t="shared" si="6"/>
        <v>33</v>
      </c>
      <c r="F107" s="73" t="str">
        <f t="shared" si="7"/>
        <v/>
      </c>
      <c r="G107" s="397" t="str">
        <f>IF(H107="","",IF(AND(G106="",G105="",G104="",G103="",G102=""),"Weapons",""))</f>
        <v/>
      </c>
      <c r="H107" s="12" t="str">
        <f>'8a-Weapons'!AM118</f>
        <v/>
      </c>
      <c r="I107" s="4">
        <f>'8a-Weapons'!N17</f>
        <v>0</v>
      </c>
      <c r="J107" s="265">
        <f>'8a-Weapons'!L17</f>
        <v>0</v>
      </c>
    </row>
    <row r="108" spans="1:10" ht="16">
      <c r="A108" s="400" t="str">
        <f>IF(MAX(F:F)&lt;106,"",IF(INDEX(F:J,MATCH(106,F:F,0),2)=0,"",INDEX(F:J,MATCH(106,F:F,0),2)))</f>
        <v/>
      </c>
      <c r="B108" s="463" t="str">
        <f>IF(MAX(F:F)&lt;106,"",INDEX(F:J,MATCH(106,F:F,0),3))</f>
        <v/>
      </c>
      <c r="C108" s="4" t="str">
        <f>IF(MAX(F:F)&lt;106,"",INDEX(F:J,MATCH(106,F:F,0),4))</f>
        <v/>
      </c>
      <c r="D108" s="4" t="str">
        <f>IF(MAX(F:F)&lt;106,"",INDEX(F:J,MATCH(106,F:F,0),5))</f>
        <v/>
      </c>
      <c r="E108" s="73">
        <f t="shared" si="6"/>
        <v>33</v>
      </c>
      <c r="F108" s="73" t="str">
        <f t="shared" si="7"/>
        <v/>
      </c>
      <c r="G108" s="397" t="str">
        <f>IF(H108="","",IF(AND(G107="",G106="",G105="",G104="",G103="",G102=""),"Weapons",""))</f>
        <v/>
      </c>
      <c r="H108" s="12" t="str">
        <f>'8a-Weapons'!AM119</f>
        <v/>
      </c>
      <c r="I108" s="4">
        <f>'8a-Weapons'!N18</f>
        <v>0</v>
      </c>
      <c r="J108" s="265">
        <f>'8a-Weapons'!L18</f>
        <v>0</v>
      </c>
    </row>
    <row r="109" spans="1:10" ht="16">
      <c r="A109" s="400" t="str">
        <f>IF(MAX(F:F)&lt;107,"",IF(INDEX(F:J,MATCH(107,F:F,0),2)=0,"",INDEX(F:J,MATCH(107,F:F,0),2)))</f>
        <v/>
      </c>
      <c r="B109" s="463" t="str">
        <f>IF(MAX(F:F)&lt;107,"",INDEX(F:J,MATCH(107,F:F,0),3))</f>
        <v/>
      </c>
      <c r="C109" s="4" t="str">
        <f>IF(MAX(F:F)&lt;107,"",INDEX(F:J,MATCH(107,F:F,0),4))</f>
        <v/>
      </c>
      <c r="D109" s="4" t="str">
        <f>IF(MAX(F:F)&lt;107,"",INDEX(F:J,MATCH(107,F:F,0),5))</f>
        <v/>
      </c>
      <c r="E109" s="73">
        <f t="shared" si="6"/>
        <v>33</v>
      </c>
      <c r="F109" s="73" t="str">
        <f t="shared" si="7"/>
        <v/>
      </c>
      <c r="G109" s="397" t="str">
        <f>IF(H109="","",IF(AND(G108="",G107="",G106="",G105="",G104="",G103="",G102=""),"Weapons",""))</f>
        <v/>
      </c>
      <c r="H109" s="12" t="str">
        <f>'8a-Weapons'!AM120</f>
        <v/>
      </c>
      <c r="I109" s="4">
        <f>'8a-Weapons'!N19</f>
        <v>0</v>
      </c>
      <c r="J109" s="265">
        <f>'8a-Weapons'!L19</f>
        <v>0</v>
      </c>
    </row>
    <row r="110" spans="1:10" ht="16">
      <c r="A110" s="400" t="str">
        <f>IF(MAX(F:F)&lt;108,"",IF(INDEX(F:J,MATCH(108,F:F,0),2)=0,"",INDEX(F:J,MATCH(108,F:F,0),2)))</f>
        <v/>
      </c>
      <c r="B110" s="463" t="str">
        <f>IF(MAX(F:F)&lt;108,"",INDEX(F:J,MATCH(108,F:F,0),3))</f>
        <v/>
      </c>
      <c r="C110" s="4" t="str">
        <f>IF(MAX(F:F)&lt;108,"",INDEX(F:J,MATCH(108,F:F,0),4))</f>
        <v/>
      </c>
      <c r="D110" s="4" t="str">
        <f>IF(MAX(F:F)&lt;108,"",INDEX(F:J,MATCH(108,F:F,0),5))</f>
        <v/>
      </c>
      <c r="E110" s="73">
        <f t="shared" si="6"/>
        <v>33</v>
      </c>
      <c r="F110" s="73" t="str">
        <f t="shared" si="7"/>
        <v/>
      </c>
      <c r="G110" s="397" t="str">
        <f>IF(H110="","",IF(AND(G109="",G108="",G107="",G106="",G105="",G104="",G103="",G102=""),"Weapons",""))</f>
        <v/>
      </c>
      <c r="H110" s="12" t="str">
        <f>'8a-Weapons'!AM121</f>
        <v/>
      </c>
      <c r="I110" s="4">
        <f>'8a-Weapons'!N20</f>
        <v>0</v>
      </c>
      <c r="J110" s="265">
        <f>'8a-Weapons'!L20</f>
        <v>0</v>
      </c>
    </row>
    <row r="111" spans="1:10" ht="16">
      <c r="A111" s="400" t="str">
        <f>IF(MAX(F:F)&lt;109,"",IF(INDEX(F:J,MATCH(109,F:F,0),2)=0,"",INDEX(F:J,MATCH(109,F:F,0),2)))</f>
        <v/>
      </c>
      <c r="B111" s="463" t="str">
        <f>IF(MAX(F:F)&lt;109,"",INDEX(F:J,MATCH(109,F:F,0),3))</f>
        <v/>
      </c>
      <c r="C111" s="4" t="str">
        <f>IF(MAX(F:F)&lt;109,"",INDEX(F:J,MATCH(109,F:F,0),4))</f>
        <v/>
      </c>
      <c r="D111" s="4" t="str">
        <f>IF(MAX(F:F)&lt;109,"",INDEX(F:J,MATCH(109,F:F,0),5))</f>
        <v/>
      </c>
      <c r="E111" s="73">
        <f t="shared" si="6"/>
        <v>33</v>
      </c>
      <c r="F111" s="73" t="str">
        <f t="shared" si="7"/>
        <v/>
      </c>
      <c r="G111" s="397" t="str">
        <f>IF(H111="","",IF(AND(G110="",G109="",G108="",G107="",G106="",G105="",G104="",G103="",G102=""),"Weapons",""))</f>
        <v/>
      </c>
      <c r="H111" s="12" t="str">
        <f>'8a-Weapons'!AM122</f>
        <v/>
      </c>
      <c r="I111" s="4">
        <f>'8a-Weapons'!N21</f>
        <v>0</v>
      </c>
      <c r="J111" s="265">
        <f>'8a-Weapons'!L21</f>
        <v>0</v>
      </c>
    </row>
    <row r="112" spans="1:10" ht="16">
      <c r="A112" s="400" t="str">
        <f>IF(MAX(F:F)&lt;110,"",IF(INDEX(F:J,MATCH(110,F:F,0),2)=0,"",INDEX(F:J,MATCH(110,F:F,0),2)))</f>
        <v/>
      </c>
      <c r="B112" s="463" t="str">
        <f>IF(MAX(F:F)&lt;110,"",INDEX(F:J,MATCH(110,F:F,0),3))</f>
        <v/>
      </c>
      <c r="C112" s="4" t="str">
        <f>IF(MAX(F:F)&lt;110,"",INDEX(F:J,MATCH(110,F:F,0),4))</f>
        <v/>
      </c>
      <c r="D112" s="4" t="str">
        <f>IF(MAX(F:F)&lt;110,"",INDEX(F:J,MATCH(110,F:F,0),5))</f>
        <v/>
      </c>
      <c r="E112" s="73">
        <f t="shared" si="6"/>
        <v>33</v>
      </c>
      <c r="F112" s="73" t="str">
        <f t="shared" si="7"/>
        <v/>
      </c>
      <c r="G112" s="397" t="str">
        <f>IF(H112="","",IF(AND(G111="",G110="",G109="",G108="",G107="",G106="",G105="",G104="",G103="",G102=""),"Weapons",""))</f>
        <v/>
      </c>
      <c r="H112" s="12" t="str">
        <f>'8a-Weapons'!AM123</f>
        <v/>
      </c>
      <c r="I112" s="4">
        <f>'8a-Weapons'!N22</f>
        <v>0</v>
      </c>
      <c r="J112" s="265">
        <f>'8a-Weapons'!L22</f>
        <v>0</v>
      </c>
    </row>
    <row r="113" spans="1:10" ht="16">
      <c r="A113" s="400" t="str">
        <f>IF(MAX(F:F)&lt;111,"",IF(INDEX(F:J,MATCH(111,F:F,0),2)=0,"",INDEX(F:J,MATCH(111,F:F,0),2)))</f>
        <v/>
      </c>
      <c r="B113" s="463" t="str">
        <f>IF(MAX(F:F)&lt;111,"",INDEX(F:J,MATCH(111,F:F,0),3))</f>
        <v/>
      </c>
      <c r="C113" s="4" t="str">
        <f>IF(MAX(F:F)&lt;111,"",INDEX(F:J,MATCH(111,F:F,0),4))</f>
        <v/>
      </c>
      <c r="D113" s="4" t="str">
        <f>IF(MAX(F:F)&lt;111,"",INDEX(F:J,MATCH(111,F:F,0),5))</f>
        <v/>
      </c>
      <c r="E113" s="73">
        <f t="shared" si="6"/>
        <v>33</v>
      </c>
      <c r="F113" s="73" t="str">
        <f t="shared" si="7"/>
        <v/>
      </c>
      <c r="G113" s="397" t="str">
        <f>IF(H113="","",IF(AND(G112="",G111="",G110="",G109="",G108="",G107="",G106="",G105="",G104="",G103="",G102=""),"Weapons",""))</f>
        <v/>
      </c>
      <c r="H113" s="12" t="str">
        <f>'8a-Weapons'!AM124</f>
        <v/>
      </c>
      <c r="I113" s="4">
        <f>'8a-Weapons'!N23</f>
        <v>0</v>
      </c>
      <c r="J113" s="265">
        <f>'8a-Weapons'!L23</f>
        <v>0</v>
      </c>
    </row>
    <row r="114" spans="1:10" ht="16">
      <c r="A114" s="400" t="str">
        <f>IF(MAX(F:F)&lt;112,"",IF(INDEX(F:J,MATCH(112,F:F,0),2)=0,"",INDEX(F:J,MATCH(112,F:F,0),2)))</f>
        <v/>
      </c>
      <c r="B114" s="463" t="str">
        <f>IF(MAX(F:F)&lt;112,"",INDEX(F:J,MATCH(112,F:F,0),3))</f>
        <v/>
      </c>
      <c r="C114" s="4" t="str">
        <f>IF(MAX(F:F)&lt;112,"",INDEX(F:J,MATCH(112,F:F,0),4))</f>
        <v/>
      </c>
      <c r="D114" s="4" t="str">
        <f>IF(MAX(F:F)&lt;112,"",INDEX(F:J,MATCH(112,F:F,0),5))</f>
        <v/>
      </c>
      <c r="E114" s="73">
        <f t="shared" si="6"/>
        <v>33</v>
      </c>
      <c r="F114" s="73" t="str">
        <f t="shared" si="7"/>
        <v/>
      </c>
      <c r="G114" s="397" t="str">
        <f>IF(H114="","",IF(AND(G113="",G112="",G111="",G110="",G109="",G108="",G107="",G106="",G105="",G104="",G103="",G102=""),"Weapons",""))</f>
        <v/>
      </c>
      <c r="H114" s="12" t="str">
        <f>'8a-Weapons'!AM125</f>
        <v/>
      </c>
      <c r="I114" s="4">
        <f>'8a-Weapons'!N24</f>
        <v>0</v>
      </c>
      <c r="J114" s="265">
        <f>'8a-Weapons'!L24</f>
        <v>0</v>
      </c>
    </row>
    <row r="115" spans="1:10" ht="16">
      <c r="A115" s="400" t="str">
        <f>IF(MAX(F:F)&lt;113,"",IF(INDEX(F:J,MATCH(113,F:F,0),2)=0,"",INDEX(F:J,MATCH(113,F:F,0),2)))</f>
        <v/>
      </c>
      <c r="B115" s="463" t="str">
        <f>IF(MAX(F:F)&lt;113,"",INDEX(F:J,MATCH(113,F:F,0),3))</f>
        <v/>
      </c>
      <c r="C115" s="4" t="str">
        <f>IF(MAX(F:F)&lt;113,"",INDEX(F:J,MATCH(113,F:F,0),4))</f>
        <v/>
      </c>
      <c r="D115" s="4" t="str">
        <f>IF(MAX(F:F)&lt;113,"",INDEX(F:J,MATCH(113,F:F,0),5))</f>
        <v/>
      </c>
      <c r="E115" s="73">
        <f t="shared" si="6"/>
        <v>33</v>
      </c>
      <c r="F115" s="73" t="str">
        <f t="shared" si="7"/>
        <v/>
      </c>
      <c r="G115" s="397" t="str">
        <f>IF(H115="","",IF(AND(G114="",G113="",G112="",G111="",G110="",G109="",G108="",G107="",G106="",G105="",G104="",G103="",G102=""),"Weapons",""))</f>
        <v/>
      </c>
      <c r="H115" s="12" t="str">
        <f>'8a-Weapons'!AM126</f>
        <v/>
      </c>
      <c r="I115" s="4">
        <f>'8a-Weapons'!N25</f>
        <v>0</v>
      </c>
      <c r="J115" s="265">
        <f>'8a-Weapons'!L25</f>
        <v>0</v>
      </c>
    </row>
    <row r="116" spans="1:10" ht="16">
      <c r="A116" s="400" t="str">
        <f>IF(MAX(F:F)&lt;114,"",IF(INDEX(F:J,MATCH(114,F:F,0),2)=0,"",INDEX(F:J,MATCH(114,F:F,0),2)))</f>
        <v/>
      </c>
      <c r="B116" s="463" t="str">
        <f>IF(MAX(F:F)&lt;114,"",INDEX(F:J,MATCH(114,F:F,0),3))</f>
        <v/>
      </c>
      <c r="C116" s="4" t="str">
        <f>IF(MAX(F:F)&lt;114,"",INDEX(F:J,MATCH(114,F:F,0),4))</f>
        <v/>
      </c>
      <c r="D116" s="4" t="str">
        <f>IF(MAX(F:F)&lt;114,"",INDEX(F:J,MATCH(114,F:F,0),5))</f>
        <v/>
      </c>
      <c r="E116" s="73">
        <f t="shared" si="6"/>
        <v>33</v>
      </c>
      <c r="F116" s="73" t="str">
        <f t="shared" si="7"/>
        <v/>
      </c>
      <c r="G116" s="397" t="str">
        <f>IF(H116="","",IF(AND(G115="",G114="",G113="",G112="",G111="",G110="",G109="",G108="",G107="",G106="",G105="",G104="",G103="",G102=""),"Weapons",""))</f>
        <v/>
      </c>
      <c r="H116" s="12" t="str">
        <f>'8a-Weapons'!AM127</f>
        <v/>
      </c>
      <c r="I116" s="4">
        <f>'8a-Weapons'!N26</f>
        <v>0</v>
      </c>
      <c r="J116" s="265">
        <f>'8a-Weapons'!L26</f>
        <v>0</v>
      </c>
    </row>
    <row r="117" spans="1:10" ht="16">
      <c r="A117" s="400" t="str">
        <f>IF(MAX(F:F)&lt;115,"",IF(INDEX(F:J,MATCH(115,F:F,0),2)=0,"",INDEX(F:J,MATCH(115,F:F,0),2)))</f>
        <v/>
      </c>
      <c r="B117" s="463" t="str">
        <f>IF(MAX(F:F)&lt;115,"",INDEX(F:J,MATCH(115,F:F,0),3))</f>
        <v/>
      </c>
      <c r="C117" s="4" t="str">
        <f>IF(MAX(F:F)&lt;115,"",INDEX(F:J,MATCH(115,F:F,0),4))</f>
        <v/>
      </c>
      <c r="D117" s="4" t="str">
        <f>IF(MAX(F:F)&lt;115,"",INDEX(F:J,MATCH(115,F:F,0),5))</f>
        <v/>
      </c>
      <c r="E117" s="73">
        <f t="shared" si="6"/>
        <v>33</v>
      </c>
      <c r="F117" s="73" t="str">
        <f t="shared" si="7"/>
        <v/>
      </c>
      <c r="G117" s="397" t="str">
        <f>IF(H117="","",IF(AND(G116="",G115="",G114="",G113="",G112="",G111="",G110="",G109="",G108="",G107="",G106="",G105="",G104="",G103="",G102=""),"Weapons",""))</f>
        <v/>
      </c>
      <c r="H117" s="12" t="str">
        <f>'8a-Weapons'!AM128</f>
        <v/>
      </c>
      <c r="I117" s="4">
        <f>'8a-Weapons'!N27</f>
        <v>0</v>
      </c>
      <c r="J117" s="265">
        <f>'8a-Weapons'!L27</f>
        <v>0</v>
      </c>
    </row>
    <row r="118" spans="1:10" ht="16">
      <c r="A118" s="400" t="str">
        <f>IF(MAX(F:F)&lt;116,"",IF(INDEX(F:J,MATCH(116,F:F,0),2)=0,"",INDEX(F:J,MATCH(116,F:F,0),2)))</f>
        <v/>
      </c>
      <c r="B118" s="463" t="str">
        <f>IF(MAX(F:F)&lt;116,"",INDEX(F:J,MATCH(116,F:F,0),3))</f>
        <v/>
      </c>
      <c r="C118" s="4" t="str">
        <f>IF(MAX(F:F)&lt;116,"",INDEX(F:J,MATCH(116,F:F,0),4))</f>
        <v/>
      </c>
      <c r="D118" s="4" t="str">
        <f>IF(MAX(F:F)&lt;116,"",INDEX(F:J,MATCH(116,F:F,0),5))</f>
        <v/>
      </c>
      <c r="E118" s="73">
        <f t="shared" si="6"/>
        <v>33</v>
      </c>
      <c r="F118" s="73" t="str">
        <f t="shared" si="7"/>
        <v/>
      </c>
      <c r="G118" s="397" t="str">
        <f>IF(H118="","",IF(AND(G117="",G116="",G115="",G114="",G113="",G112="",G111="",G110="",G109="",G108="",G107="",G106="",G105="",G104="",G103="",G102=""),"Weapons",""))</f>
        <v/>
      </c>
      <c r="H118" s="12" t="str">
        <f>'8a-Weapons'!AM129</f>
        <v/>
      </c>
      <c r="I118" s="4">
        <f>'8a-Weapons'!N28</f>
        <v>0</v>
      </c>
      <c r="J118" s="265">
        <f>'8a-Weapons'!L28</f>
        <v>0</v>
      </c>
    </row>
    <row r="119" spans="1:10" ht="16">
      <c r="A119" s="400" t="str">
        <f>IF(MAX(F:F)&lt;117,"",IF(INDEX(F:J,MATCH(117,F:F,0),2)=0,"",INDEX(F:J,MATCH(117,F:F,0),2)))</f>
        <v/>
      </c>
      <c r="B119" s="463" t="str">
        <f>IF(MAX(F:F)&lt;117,"",INDEX(F:J,MATCH(117,F:F,0),3))</f>
        <v/>
      </c>
      <c r="C119" s="4" t="str">
        <f>IF(MAX(F:F)&lt;117,"",INDEX(F:J,MATCH(117,F:F,0),4))</f>
        <v/>
      </c>
      <c r="D119" s="4" t="str">
        <f>IF(MAX(F:F)&lt;117,"",INDEX(F:J,MATCH(117,F:F,0),5))</f>
        <v/>
      </c>
      <c r="E119" s="73">
        <f t="shared" si="6"/>
        <v>33</v>
      </c>
      <c r="F119" s="73" t="str">
        <f t="shared" si="7"/>
        <v/>
      </c>
      <c r="G119" s="397" t="str">
        <f>IF(H119="","",IF(AND(G118="",G117="",G116="",G115="",G114="",G113="",G112="",G111="",G110="",G109="",G108="",G107="",G106="",G105="",G104="",G103="",G102=""),"Weapons",""))</f>
        <v/>
      </c>
      <c r="H119" s="12" t="str">
        <f>'8a-Weapons'!AM130</f>
        <v/>
      </c>
      <c r="I119" s="4">
        <f>'8a-Weapons'!N29</f>
        <v>0</v>
      </c>
      <c r="J119" s="265">
        <f>'8a-Weapons'!L29</f>
        <v>0</v>
      </c>
    </row>
    <row r="120" spans="1:10" ht="16">
      <c r="A120" s="400" t="str">
        <f>IF(MAX(F:F)&lt;118,"",IF(INDEX(F:J,MATCH(118,F:F,0),2)=0,"",INDEX(F:J,MATCH(118,F:F,0),2)))</f>
        <v/>
      </c>
      <c r="B120" s="463" t="str">
        <f>IF(MAX(F:F)&lt;118,"",INDEX(F:J,MATCH(118,F:F,0),3))</f>
        <v/>
      </c>
      <c r="C120" s="4" t="str">
        <f>IF(MAX(F:F)&lt;118,"",INDEX(F:J,MATCH(118,F:F,0),4))</f>
        <v/>
      </c>
      <c r="D120" s="4" t="str">
        <f>IF(MAX(F:F)&lt;118,"",INDEX(F:J,MATCH(118,F:F,0),5))</f>
        <v/>
      </c>
      <c r="E120" s="73">
        <f t="shared" si="6"/>
        <v>33</v>
      </c>
      <c r="F120" s="73" t="str">
        <f t="shared" si="7"/>
        <v/>
      </c>
      <c r="G120" s="397" t="str">
        <f>IF(H120="","",IF(AND(G119="",G118="",G117="",G116="",G115="",G114="",G113="",G112="",G111="",G110="",G109="",G108="",G107="",G106="",G105="",G104="",G103="",G102=""),"Weapons",""))</f>
        <v/>
      </c>
      <c r="H120" s="12" t="str">
        <f>'8a-Weapons'!AM131</f>
        <v/>
      </c>
      <c r="I120" s="4">
        <f>'8a-Weapons'!N30</f>
        <v>0</v>
      </c>
      <c r="J120" s="265">
        <f>'8a-Weapons'!L30</f>
        <v>0</v>
      </c>
    </row>
    <row r="121" spans="1:10" ht="16">
      <c r="A121" s="400" t="str">
        <f>IF(MAX(F:F)&lt;119,"",IF(INDEX(F:J,MATCH(119,F:F,0),2)=0,"",INDEX(F:J,MATCH(119,F:F,0),2)))</f>
        <v/>
      </c>
      <c r="B121" s="463" t="str">
        <f>IF(MAX(F:F)&lt;119,"",INDEX(F:J,MATCH(119,F:F,0),3))</f>
        <v/>
      </c>
      <c r="C121" s="4" t="str">
        <f>IF(MAX(F:F)&lt;119,"",INDEX(F:J,MATCH(119,F:F,0),4))</f>
        <v/>
      </c>
      <c r="D121" s="4" t="str">
        <f>IF(MAX(F:F)&lt;119,"",INDEX(F:J,MATCH(119,F:F,0),5))</f>
        <v/>
      </c>
      <c r="E121" s="73">
        <f t="shared" si="6"/>
        <v>33</v>
      </c>
      <c r="F121" s="73" t="str">
        <f t="shared" si="7"/>
        <v/>
      </c>
      <c r="G121" s="397" t="str">
        <f>IF(H121="","",IF(AND(G120="",G119="",G118="",G117="",G116="",G115="",G114="",G113="",G112="",G111="",G110="",G109="",G108="",G107="",G106="",G105="",G104="",G103="",G102=""),"Weapons",""))</f>
        <v/>
      </c>
      <c r="H121" s="392" t="str">
        <f>'8a-Weapons'!AM132</f>
        <v/>
      </c>
      <c r="I121" s="403">
        <f>'8a-Weapons'!N31</f>
        <v>0</v>
      </c>
      <c r="J121" s="266">
        <f>'8a-Weapons'!L31</f>
        <v>0</v>
      </c>
    </row>
    <row r="122" spans="1:10" ht="16">
      <c r="A122" s="400" t="str">
        <f>IF(MAX(F:F)&lt;120,"",IF(INDEX(F:J,MATCH(120,F:F,0),2)=0,"",INDEX(F:J,MATCH(120,F:F,0),2)))</f>
        <v/>
      </c>
      <c r="B122" s="463" t="str">
        <f>IF(MAX(F:F)&lt;120,"",INDEX(F:J,MATCH(120,F:F,0),3))</f>
        <v/>
      </c>
      <c r="C122" s="4" t="str">
        <f>IF(MAX(F:F)&lt;120,"",INDEX(F:J,MATCH(120,F:F,0),4))</f>
        <v/>
      </c>
      <c r="D122" s="4" t="str">
        <f>IF(MAX(F:F)&lt;120,"",INDEX(F:J,MATCH(120,F:F,0),5))</f>
        <v/>
      </c>
      <c r="E122" s="73">
        <f t="shared" si="6"/>
        <v>33</v>
      </c>
      <c r="F122" s="73" t="str">
        <f t="shared" si="7"/>
        <v/>
      </c>
      <c r="G122" s="401" t="str">
        <f>IF(H122="","","SmallWeapons")</f>
        <v/>
      </c>
      <c r="H122" s="391" t="str">
        <f>IF('8a-Weapons'!D32=0,"",'8a-Weapons'!D32&amp;" "&amp;'8a-Weapons'!C32)</f>
        <v/>
      </c>
      <c r="I122" s="237">
        <f>'8a-Weapons'!N32</f>
        <v>0</v>
      </c>
      <c r="J122" s="387">
        <f>'8a-Weapons'!L32</f>
        <v>0</v>
      </c>
    </row>
    <row r="123" spans="1:10" ht="16">
      <c r="A123" s="400" t="str">
        <f>IF(MAX(F:F)&lt;121,"",IF(INDEX(F:J,MATCH(121,F:F,0),2)=0,"",INDEX(F:J,MATCH(121,F:F,0),2)))</f>
        <v/>
      </c>
      <c r="B123" s="463" t="str">
        <f>IF(MAX(F:F)&lt;121,"",INDEX(F:J,MATCH(121,F:F,0),3))</f>
        <v/>
      </c>
      <c r="C123" s="4" t="str">
        <f>IF(MAX(F:F)&lt;121,"",INDEX(F:J,MATCH(121,F:F,0),4))</f>
        <v/>
      </c>
      <c r="D123" s="4" t="str">
        <f>IF(MAX(F:F)&lt;121,"",INDEX(F:J,MATCH(121,F:F,0),5))</f>
        <v/>
      </c>
      <c r="E123" s="73">
        <f t="shared" si="6"/>
        <v>33</v>
      </c>
      <c r="F123" s="73" t="str">
        <f t="shared" si="7"/>
        <v/>
      </c>
      <c r="G123" s="397" t="str">
        <f>IF(H123="","",IF(G122="","SmallWeapons",""))</f>
        <v/>
      </c>
      <c r="H123" s="12" t="str">
        <f>IF('8a-Weapons'!D33=0,"",'8a-Weapons'!D33&amp;" "&amp;'8a-Weapons'!C33)</f>
        <v/>
      </c>
      <c r="I123" s="4">
        <f>'8a-Weapons'!N33</f>
        <v>0</v>
      </c>
      <c r="J123" s="265">
        <f>'8a-Weapons'!L33</f>
        <v>0</v>
      </c>
    </row>
    <row r="124" spans="1:10" ht="16">
      <c r="A124" s="400" t="str">
        <f>IF(MAX(F:F)&lt;122,"",IF(INDEX(F:J,MATCH(122,F:F,0),2)=0,"",INDEX(F:J,MATCH(122,F:F,0),2)))</f>
        <v/>
      </c>
      <c r="B124" s="463" t="str">
        <f>IF(MAX(F:F)&lt;122,"",INDEX(F:J,MATCH(122,F:F,0),3))</f>
        <v/>
      </c>
      <c r="C124" s="4" t="str">
        <f>IF(MAX(F:F)&lt;122,"",INDEX(F:J,MATCH(122,F:F,0),4))</f>
        <v/>
      </c>
      <c r="D124" s="4" t="str">
        <f>IF(MAX(F:F)&lt;122,"",INDEX(F:J,MATCH(122,F:F,0),5))</f>
        <v/>
      </c>
      <c r="E124" s="73">
        <f t="shared" si="6"/>
        <v>33</v>
      </c>
      <c r="F124" s="73" t="str">
        <f t="shared" si="7"/>
        <v/>
      </c>
      <c r="G124" s="398" t="str">
        <f>IF(H124="","",IF(AND(G122="",G123=""),"SmallWeapons",""))</f>
        <v/>
      </c>
      <c r="H124" s="392" t="str">
        <f>IF('8a-Weapons'!D34=0,"",'8a-Weapons'!D34&amp;" Fixed Vehicle Weapon Mounts")</f>
        <v/>
      </c>
      <c r="I124" s="403">
        <f>'8a-Weapons'!N34</f>
        <v>0</v>
      </c>
      <c r="J124" s="266">
        <f>'8a-Weapons'!L34</f>
        <v>0</v>
      </c>
    </row>
    <row r="125" spans="1:10" ht="16">
      <c r="A125" s="400" t="str">
        <f>IF(MAX(F:F)&lt;123,"",IF(INDEX(F:J,MATCH(123,F:F,0),2)=0,"",INDEX(F:J,MATCH(123,F:F,0),2)))</f>
        <v/>
      </c>
      <c r="B125" s="463" t="str">
        <f>IF(MAX(F:F)&lt;123,"",INDEX(F:J,MATCH(123,F:F,0),3))</f>
        <v/>
      </c>
      <c r="C125" s="4" t="str">
        <f>IF(MAX(F:F)&lt;123,"",INDEX(F:J,MATCH(123,F:F,0),4))</f>
        <v/>
      </c>
      <c r="D125" s="4" t="str">
        <f>IF(MAX(F:F)&lt;123,"",INDEX(F:J,MATCH(123,F:F,0),5))</f>
        <v/>
      </c>
      <c r="E125" s="73">
        <f t="shared" si="6"/>
        <v>33</v>
      </c>
      <c r="F125" s="73" t="str">
        <f t="shared" si="7"/>
        <v/>
      </c>
      <c r="G125" s="399" t="str">
        <f>IF(H125="","","Spinal Mount")</f>
        <v/>
      </c>
      <c r="H125" s="393" t="str">
        <f>'8a-Weapons'!AM136</f>
        <v/>
      </c>
      <c r="I125" s="420">
        <f>'8a-Weapons'!N36</f>
        <v>0</v>
      </c>
      <c r="J125" s="388">
        <f>'8a-Weapons'!L36</f>
        <v>0</v>
      </c>
    </row>
    <row r="126" spans="1:10" ht="16">
      <c r="A126" s="400" t="str">
        <f>IF(MAX(F:F)&lt;124,"",IF(INDEX(F:J,MATCH(124,F:F,0),2)=0,"",INDEX(F:J,MATCH(124,F:F,0),2)))</f>
        <v/>
      </c>
      <c r="B126" s="463" t="str">
        <f>IF(MAX(F:F)&lt;124,"",INDEX(F:J,MATCH(124,F:F,0),3))</f>
        <v/>
      </c>
      <c r="C126" s="4" t="str">
        <f>IF(MAX(F:F)&lt;124,"",INDEX(F:J,MATCH(124,F:F,0),4))</f>
        <v/>
      </c>
      <c r="D126" s="4" t="str">
        <f>IF(MAX(F:F)&lt;124,"",INDEX(F:J,MATCH(124,F:F,0),5))</f>
        <v/>
      </c>
      <c r="E126" s="73">
        <f t="shared" si="6"/>
        <v>33</v>
      </c>
      <c r="F126" s="73" t="str">
        <f t="shared" si="7"/>
        <v/>
      </c>
      <c r="G126" s="401" t="str">
        <f>IF(H126="","","Screens")</f>
        <v/>
      </c>
      <c r="H126" s="391" t="str">
        <f>IF('8b-Screens'!B9='8b-Screens'!S9,"",'8b-Screens'!E9&amp;"x "&amp;'8b-Screens'!B9&amp;IF('8b-Screens'!A9='8b-Screens'!S1,""," Hardened")&amp;IF('8b-Screens'!A11='8b-Screens'!S1,""," Armored")&amp;" "&amp;'8b-Screens'!T58)</f>
        <v/>
      </c>
      <c r="I126" s="237">
        <f>'8b-Screens'!H9</f>
        <v>0</v>
      </c>
      <c r="J126" s="387">
        <f>'8b-Screens'!F9</f>
        <v>0</v>
      </c>
    </row>
    <row r="127" spans="1:10" ht="16">
      <c r="A127" s="400" t="str">
        <f>IF(MAX(F:F)&lt;125,"",IF(INDEX(F:J,MATCH(125,F:F,0),2)=0,"",INDEX(F:J,MATCH(125,F:F,0),2)))</f>
        <v/>
      </c>
      <c r="B127" s="463" t="str">
        <f>IF(MAX(F:F)&lt;125,"",INDEX(F:J,MATCH(125,F:F,0),3))</f>
        <v/>
      </c>
      <c r="C127" s="4" t="str">
        <f>IF(MAX(F:F)&lt;125,"",INDEX(F:J,MATCH(125,F:F,0),4))</f>
        <v/>
      </c>
      <c r="D127" s="4" t="str">
        <f>IF(MAX(F:F)&lt;125,"",INDEX(F:J,MATCH(125,F:F,0),5))</f>
        <v/>
      </c>
      <c r="E127" s="73">
        <f t="shared" si="6"/>
        <v>33</v>
      </c>
      <c r="F127" s="73" t="str">
        <f t="shared" si="7"/>
        <v/>
      </c>
      <c r="G127" s="397" t="str">
        <f>IF(H127="","",IF(G126="","Screens",""))</f>
        <v/>
      </c>
      <c r="H127" s="12" t="str">
        <f>IF('8b-Screens'!B14='8b-Screens'!S9,"",'8b-Screens'!E14&amp;"x "&amp;'8b-Screens'!B14&amp;IF('8b-Screens'!A14='8b-Screens'!S1,""," Hardened")&amp;IF('8b-Screens'!A16='8b-Screens'!S1,""," Armored")&amp;" "&amp;'8b-Screens'!V58)</f>
        <v/>
      </c>
      <c r="I127" s="4">
        <f>'8b-Screens'!H14</f>
        <v>0</v>
      </c>
      <c r="J127" s="265">
        <f>'8b-Screens'!F14</f>
        <v>0</v>
      </c>
    </row>
    <row r="128" spans="1:10" ht="16">
      <c r="A128" s="400" t="str">
        <f>IF(MAX(F:F)&lt;126,"",IF(INDEX(F:J,MATCH(126,F:F,0),2)=0,"",INDEX(F:J,MATCH(126,F:F,0),2)))</f>
        <v/>
      </c>
      <c r="B128" s="463" t="str">
        <f>IF(MAX(F:F)&lt;126,"",INDEX(F:J,MATCH(126,F:F,0),3))</f>
        <v/>
      </c>
      <c r="C128" s="4" t="str">
        <f>IF(MAX(F:F)&lt;126,"",INDEX(F:J,MATCH(126,F:F,0),4))</f>
        <v/>
      </c>
      <c r="D128" s="4" t="str">
        <f>IF(MAX(F:F)&lt;126,"",INDEX(F:J,MATCH(126,F:F,0),5))</f>
        <v/>
      </c>
      <c r="E128" s="73">
        <f t="shared" si="6"/>
        <v>33</v>
      </c>
      <c r="F128" s="73" t="str">
        <f t="shared" si="7"/>
        <v/>
      </c>
      <c r="G128" s="397" t="str">
        <f>IF(H128="","",IF(AND(G127="",G126=""),"Screens",""))</f>
        <v/>
      </c>
      <c r="H128" s="12" t="str">
        <f>IF('8b-Screens'!B19='8b-Screens'!S9,"",'8b-Screens'!E19&amp;"x "&amp;'8b-Screens'!B19&amp;IF('8b-Screens'!A19='8b-Screens'!S1,""," Hardened")&amp;IF('8b-Screens'!A21='8b-Screens'!S1,""," Armored")&amp;" "&amp;'8b-Screens'!X58)</f>
        <v/>
      </c>
      <c r="I128" s="4">
        <f>'8b-Screens'!H19</f>
        <v>0</v>
      </c>
      <c r="J128" s="265">
        <f>'8b-Screens'!F19</f>
        <v>0</v>
      </c>
    </row>
    <row r="129" spans="1:10" ht="16">
      <c r="A129" s="400" t="str">
        <f>IF(MAX(F:F)&lt;127,"",IF(INDEX(F:J,MATCH(127,F:F,0),2)=0,"",INDEX(F:J,MATCH(127,F:F,0),2)))</f>
        <v/>
      </c>
      <c r="B129" s="463" t="str">
        <f>IF(MAX(F:F)&lt;127,"",INDEX(F:J,MATCH(127,F:F,0),3))</f>
        <v/>
      </c>
      <c r="C129" s="4" t="str">
        <f>IF(MAX(F:F)&lt;127,"",INDEX(F:J,MATCH(127,F:F,0),4))</f>
        <v/>
      </c>
      <c r="D129" s="4" t="str">
        <f>IF(MAX(F:F)&lt;127,"",INDEX(F:J,MATCH(127,F:F,0),5))</f>
        <v/>
      </c>
      <c r="E129" s="73">
        <f t="shared" si="6"/>
        <v>33</v>
      </c>
      <c r="F129" s="73" t="str">
        <f t="shared" si="7"/>
        <v/>
      </c>
      <c r="G129" s="397" t="str">
        <f>IF(H129="","",IF(AND(G128="",G127="",G126=""),"Screens",""))</f>
        <v/>
      </c>
      <c r="H129" s="12" t="str">
        <f>IF('8b-Screens'!B24='8b-Screens'!S9,"",'8b-Screens'!E24&amp;"x "&amp;'8b-Screens'!B24&amp;IF('8b-Screens'!A24='8b-Screens'!S1,""," Hardened")&amp;IF('8b-Screens'!A26='8b-Screens'!S1,""," Armored")&amp;" "&amp;'8b-Screens'!Z58)</f>
        <v/>
      </c>
      <c r="I129" s="4">
        <f>'8b-Screens'!H24</f>
        <v>0</v>
      </c>
      <c r="J129" s="265">
        <f>'8b-Screens'!F24</f>
        <v>0</v>
      </c>
    </row>
    <row r="130" spans="1:10" ht="16">
      <c r="A130" s="400" t="str">
        <f>IF(MAX(F:F)&lt;128,"",IF(INDEX(F:J,MATCH(128,F:F,0),2)=0,"",INDEX(F:J,MATCH(128,F:F,0),2)))</f>
        <v/>
      </c>
      <c r="B130" s="463" t="str">
        <f>IF(MAX(F:F)&lt;128,"",INDEX(F:J,MATCH(128,F:F,0),3))</f>
        <v/>
      </c>
      <c r="C130" s="4" t="str">
        <f>IF(MAX(F:F)&lt;128,"",INDEX(F:J,MATCH(128,F:F,0),4))</f>
        <v/>
      </c>
      <c r="D130" s="4" t="str">
        <f>IF(MAX(F:F)&lt;128,"",INDEX(F:J,MATCH(128,F:F,0),5))</f>
        <v/>
      </c>
      <c r="E130" s="73">
        <f t="shared" si="6"/>
        <v>33</v>
      </c>
      <c r="F130" s="73" t="str">
        <f t="shared" si="7"/>
        <v/>
      </c>
      <c r="G130" s="397" t="str">
        <f>IF(H130="","",IF(AND(G129="",G128="",G127="",G126=""),"Screens",""))</f>
        <v/>
      </c>
      <c r="H130" s="12" t="str">
        <f>IF('8b-Screens'!E29=0,"",'8b-Screens'!E29&amp;"x "&amp;'8b-Screens'!B29&amp;IF('8b-Screens'!A29='8b-Screens'!S1,""," Hardened")&amp;IF('8b-Screens'!A31='8b-Screens'!S1,""," Armored")&amp;" "&amp;'8b-Screens'!Y51)</f>
        <v/>
      </c>
      <c r="I130" s="4">
        <f>'8b-Screens'!H29</f>
        <v>0</v>
      </c>
      <c r="J130" s="265">
        <f>'8b-Screens'!F29</f>
        <v>0</v>
      </c>
    </row>
    <row r="131" spans="1:10" ht="16">
      <c r="A131" s="400" t="str">
        <f>IF(MAX(F:F)&lt;129,"",IF(INDEX(F:J,MATCH(129,F:F,0),2)=0,"",INDEX(F:J,MATCH(129,F:F,0),2)))</f>
        <v/>
      </c>
      <c r="B131" s="463" t="str">
        <f>IF(MAX(F:F)&lt;129,"",INDEX(F:J,MATCH(129,F:F,0),3))</f>
        <v/>
      </c>
      <c r="C131" s="4" t="str">
        <f>IF(MAX(F:F)&lt;129,"",INDEX(F:J,MATCH(129,F:F,0),4))</f>
        <v/>
      </c>
      <c r="D131" s="4" t="str">
        <f>IF(MAX(F:F)&lt;129,"",INDEX(F:J,MATCH(129,F:F,0),5))</f>
        <v/>
      </c>
      <c r="E131" s="73">
        <f t="shared" si="6"/>
        <v>33</v>
      </c>
      <c r="F131" s="73" t="str">
        <f t="shared" si="7"/>
        <v/>
      </c>
      <c r="G131" s="397" t="str">
        <f>IF(H131="","",IF(AND(G130="",G129="",G128="",G127="",G126=""),"Screens",""))</f>
        <v/>
      </c>
      <c r="H131" s="12" t="str">
        <f>IF('8b-Screens'!D34&lt;10,"",'8b-Screens'!B34&amp;" "&amp;'8b-Screens'!W69)</f>
        <v/>
      </c>
      <c r="I131" s="4">
        <f>'8b-Screens'!H34</f>
        <v>0</v>
      </c>
      <c r="J131" s="4">
        <f>'8b-Screens'!F34</f>
        <v>0</v>
      </c>
    </row>
    <row r="132" spans="1:10" ht="16">
      <c r="A132" s="400" t="str">
        <f>IF(MAX(F:F)&lt;130,"",IF(INDEX(F:J,MATCH(130,F:F,0),2)=0,"",INDEX(F:J,MATCH(130,F:F,0),2)))</f>
        <v/>
      </c>
      <c r="B132" s="463" t="str">
        <f>IF(MAX(F:F)&lt;130,"",INDEX(F:J,MATCH(130,F:F,0),3))</f>
        <v/>
      </c>
      <c r="C132" s="4" t="str">
        <f>IF(MAX(F:F)&lt;130,"",INDEX(F:J,MATCH(130,F:F,0),4))</f>
        <v/>
      </c>
      <c r="D132" s="4" t="str">
        <f>IF(MAX(F:F)&lt;130,"",INDEX(F:J,MATCH(130,F:F,0),5))</f>
        <v/>
      </c>
      <c r="E132" s="73">
        <f t="shared" si="6"/>
        <v>33</v>
      </c>
      <c r="F132" s="73" t="str">
        <f t="shared" si="7"/>
        <v/>
      </c>
      <c r="G132" s="397" t="str">
        <f>IF(H132="","",IF(AND(G131="",G130="",G129="",G128="",G127="",G126=""),"Screens",""))</f>
        <v/>
      </c>
      <c r="H132" s="12" t="str">
        <f>IF('8b-Screens'!C39='8b-Screens'!S6,"",'8b-Screens'!B39&amp;IF('8b-Screens'!A39='8b-Screens'!S1,""," Hardened")&amp;IF('8b-Screens'!A41='8b-Screens'!S1,""," Armored"))</f>
        <v/>
      </c>
      <c r="I132" s="4">
        <f>'8b-Screens'!H39</f>
        <v>0</v>
      </c>
      <c r="J132" s="265">
        <f>'8b-Screens'!F39</f>
        <v>0</v>
      </c>
    </row>
    <row r="133" spans="1:10" ht="16">
      <c r="A133" s="400" t="str">
        <f>IF(MAX(F:F)&lt;131,"",IF(INDEX(F:J,MATCH(131,F:F,0),2)=0,"",INDEX(F:J,MATCH(131,F:F,0),2)))</f>
        <v/>
      </c>
      <c r="B133" s="463" t="str">
        <f>IF(MAX(F:F)&lt;131,"",INDEX(F:J,MATCH(131,F:F,0),3))</f>
        <v/>
      </c>
      <c r="C133" s="4" t="str">
        <f>IF(MAX(F:F)&lt;131,"",INDEX(F:J,MATCH(131,F:F,0),4))</f>
        <v/>
      </c>
      <c r="D133" s="4" t="str">
        <f>IF(MAX(F:F)&lt;131,"",INDEX(F:J,MATCH(131,F:F,0),5))</f>
        <v/>
      </c>
      <c r="E133" s="73">
        <f t="shared" ref="E133:E196" si="8">IF(H133="",E132,E132+1)</f>
        <v>33</v>
      </c>
      <c r="F133" s="73" t="str">
        <f t="shared" ref="F133:F196" si="9">IF(E133=E132,"",E133)</f>
        <v/>
      </c>
      <c r="G133" s="398" t="str">
        <f>IF(H133="","",IF(AND(G132="",G130="",G129="",G128="",G127="",G126=""),"Screens",""))</f>
        <v/>
      </c>
      <c r="H133" s="392" t="str">
        <f>IF('8b-Screens'!E40=0,"",'8b-Screens'!D40&amp;" "&amp;'8b-Screens'!E40)</f>
        <v/>
      </c>
      <c r="I133" s="403">
        <f>'8b-Screens'!H40</f>
        <v>0</v>
      </c>
      <c r="J133" s="266">
        <f>'8b-Screens'!F40</f>
        <v>0</v>
      </c>
    </row>
    <row r="134" spans="1:10" ht="16">
      <c r="A134" s="400" t="str">
        <f>IF(MAX(F:F)&lt;132,"",IF(INDEX(F:J,MATCH(132,F:F,0),2)=0,"",INDEX(F:J,MATCH(132,F:F,0),2)))</f>
        <v/>
      </c>
      <c r="B134" s="463" t="str">
        <f>IF(MAX(F:F)&lt;132,"",INDEX(F:J,MATCH(132,F:F,0),3))</f>
        <v/>
      </c>
      <c r="C134" s="4" t="str">
        <f>IF(MAX(F:F)&lt;132,"",INDEX(F:J,MATCH(132,F:F,0),4))</f>
        <v/>
      </c>
      <c r="D134" s="4" t="str">
        <f>IF(MAX(F:F)&lt;132,"",INDEX(F:J,MATCH(132,F:F,0),5))</f>
        <v/>
      </c>
      <c r="E134" s="73">
        <f t="shared" si="8"/>
        <v>33</v>
      </c>
      <c r="F134" s="73" t="str">
        <f t="shared" si="9"/>
        <v/>
      </c>
      <c r="G134" s="401" t="str">
        <f>IF('9a-Optional'!H35=0,"","Craft")</f>
        <v/>
      </c>
      <c r="H134" s="391" t="str">
        <f>IF('9a-Optional'!H35=0,"",'9a-Optional'!C35&amp;"x "&amp;'9a-Optional'!D35&amp;" ton "&amp;'9a-Optional'!A35)</f>
        <v/>
      </c>
      <c r="I134" s="237">
        <f>'9a-Optional'!H35</f>
        <v>0</v>
      </c>
      <c r="J134" s="387">
        <f>'9a-Optional'!F35</f>
        <v>0</v>
      </c>
    </row>
    <row r="135" spans="1:10" ht="16">
      <c r="A135" s="400" t="str">
        <f>IF(MAX(F:F)&lt;133,"",IF(INDEX(F:J,MATCH(133,F:F,0),2)=0,"",INDEX(F:J,MATCH(133,F:F,0),2)))</f>
        <v/>
      </c>
      <c r="B135" s="463" t="str">
        <f>IF(MAX(F:F)&lt;133,"",INDEX(F:J,MATCH(133,F:F,0),3))</f>
        <v/>
      </c>
      <c r="C135" s="4" t="str">
        <f>IF(MAX(F:F)&lt;133,"",INDEX(F:J,MATCH(133,F:F,0),4))</f>
        <v/>
      </c>
      <c r="D135" s="4" t="str">
        <f>IF(MAX(F:F)&lt;133,"",INDEX(F:J,MATCH(133,F:F,0),5))</f>
        <v/>
      </c>
      <c r="E135" s="73">
        <f t="shared" si="8"/>
        <v>33</v>
      </c>
      <c r="F135" s="73" t="str">
        <f t="shared" si="9"/>
        <v/>
      </c>
      <c r="G135" s="397" t="str">
        <f>IF('9a-Optional'!H36=0,"",IF(G134="","Craft",""))</f>
        <v/>
      </c>
      <c r="H135" s="12" t="str">
        <f>IF('9a-Optional'!H36=0,"",'9a-Optional'!C36&amp;"x "&amp;'9a-Optional'!D36&amp;" ton "&amp;'9a-Optional'!A36)</f>
        <v/>
      </c>
      <c r="I135" s="4">
        <f>'9a-Optional'!H36</f>
        <v>0</v>
      </c>
      <c r="J135" s="265">
        <f>'9a-Optional'!F36</f>
        <v>0</v>
      </c>
    </row>
    <row r="136" spans="1:10" ht="16">
      <c r="A136" s="400" t="str">
        <f>IF(MAX(F:F)&lt;134,"",IF(INDEX(F:J,MATCH(134,F:F,0),2)=0,"",INDEX(F:J,MATCH(134,F:F,0),2)))</f>
        <v/>
      </c>
      <c r="B136" s="463" t="str">
        <f>IF(MAX(F:F)&lt;134,"",INDEX(F:J,MATCH(134,F:F,0),3))</f>
        <v/>
      </c>
      <c r="C136" s="4" t="str">
        <f>IF(MAX(F:F)&lt;134,"",INDEX(F:J,MATCH(134,F:F,0),4))</f>
        <v/>
      </c>
      <c r="D136" s="4" t="str">
        <f>IF(MAX(F:F)&lt;134,"",INDEX(F:J,MATCH(134,F:F,0),5))</f>
        <v/>
      </c>
      <c r="E136" s="73">
        <f t="shared" si="8"/>
        <v>33</v>
      </c>
      <c r="F136" s="73" t="str">
        <f t="shared" si="9"/>
        <v/>
      </c>
      <c r="G136" s="397" t="str">
        <f>IF('9a-Optional'!H37=0,"",IF(AND(G134="",G135=""),"Craft",""))</f>
        <v/>
      </c>
      <c r="H136" s="12" t="str">
        <f>IF('9a-Optional'!H37=0,"",'9a-Optional'!C37&amp;"x "&amp;'9a-Optional'!D37&amp;" ton "&amp;'9a-Optional'!A37)</f>
        <v/>
      </c>
      <c r="I136" s="4">
        <f>'9a-Optional'!H37</f>
        <v>0</v>
      </c>
      <c r="J136" s="265">
        <f>'9a-Optional'!F37</f>
        <v>0</v>
      </c>
    </row>
    <row r="137" spans="1:10" ht="16">
      <c r="A137" s="400" t="str">
        <f>IF(MAX(F:F)&lt;135,"",IF(INDEX(F:J,MATCH(135,F:F,0),2)=0,"",INDEX(F:J,MATCH(135,F:F,0),2)))</f>
        <v/>
      </c>
      <c r="B137" s="463" t="str">
        <f>IF(MAX(F:F)&lt;135,"",INDEX(F:J,MATCH(135,F:F,0),3))</f>
        <v/>
      </c>
      <c r="C137" s="4" t="str">
        <f>IF(MAX(F:F)&lt;135,"",INDEX(F:J,MATCH(135,F:F,0),4))</f>
        <v/>
      </c>
      <c r="D137" s="4" t="str">
        <f>IF(MAX(F:F)&lt;135,"",INDEX(F:J,MATCH(135,F:F,0),5))</f>
        <v/>
      </c>
      <c r="E137" s="73">
        <f t="shared" si="8"/>
        <v>33</v>
      </c>
      <c r="F137" s="73" t="str">
        <f t="shared" si="9"/>
        <v/>
      </c>
      <c r="G137" s="397" t="str">
        <f>IF('9a-Optional'!H38=0,"",IF(AND(G134="",G135="",G136=""),"Craft",""))</f>
        <v/>
      </c>
      <c r="H137" s="12" t="str">
        <f>IF('9a-Optional'!H38=0,"",'9a-Optional'!C38&amp;"x "&amp;'9a-Optional'!D38&amp;" ton "&amp;'9a-Optional'!A38)</f>
        <v/>
      </c>
      <c r="I137" s="4">
        <f>'9a-Optional'!H38</f>
        <v>0</v>
      </c>
      <c r="J137" s="265">
        <f>'9a-Optional'!F38</f>
        <v>0</v>
      </c>
    </row>
    <row r="138" spans="1:10" ht="16">
      <c r="A138" s="400" t="str">
        <f>IF(MAX(F:F)&lt;136,"",IF(INDEX(F:J,MATCH(136,F:F,0),2)=0,"",INDEX(F:J,MATCH(136,F:F,0),2)))</f>
        <v/>
      </c>
      <c r="B138" s="463" t="str">
        <f>IF(MAX(F:F)&lt;136,"",INDEX(F:J,MATCH(136,F:F,0),3))</f>
        <v/>
      </c>
      <c r="C138" s="4" t="str">
        <f>IF(MAX(F:F)&lt;136,"",INDEX(F:J,MATCH(136,F:F,0),4))</f>
        <v/>
      </c>
      <c r="D138" s="4" t="str">
        <f>IF(MAX(F:F)&lt;136,"",INDEX(F:J,MATCH(136,F:F,0),5))</f>
        <v/>
      </c>
      <c r="E138" s="73">
        <f t="shared" si="8"/>
        <v>33</v>
      </c>
      <c r="F138" s="73" t="str">
        <f t="shared" si="9"/>
        <v/>
      </c>
      <c r="G138" s="397" t="str">
        <f>IF('9a-Optional'!H39=0,"",IF(AND(G134="",G135="",G136="",G137=""),"Craft",""))</f>
        <v/>
      </c>
      <c r="H138" s="12" t="str">
        <f>IF('9a-Optional'!H39=0,"",'9a-Optional'!C39&amp;"x "&amp;'9a-Optional'!D39&amp;" ton "&amp;'9a-Optional'!A39)</f>
        <v/>
      </c>
      <c r="I138" s="4">
        <f>'9a-Optional'!H39</f>
        <v>0</v>
      </c>
      <c r="J138" s="265">
        <f>'9a-Optional'!F39</f>
        <v>0</v>
      </c>
    </row>
    <row r="139" spans="1:10" ht="16">
      <c r="A139" s="400" t="str">
        <f>IF(MAX(F:F)&lt;137,"",IF(INDEX(F:J,MATCH(137,F:F,0),2)=0,"",INDEX(F:J,MATCH(137,F:F,0),2)))</f>
        <v/>
      </c>
      <c r="B139" s="463" t="str">
        <f>IF(MAX(F:F)&lt;137,"",INDEX(F:J,MATCH(137,F:F,0),3))</f>
        <v/>
      </c>
      <c r="C139" s="4" t="str">
        <f>IF(MAX(F:F)&lt;137,"",INDEX(F:J,MATCH(137,F:F,0),4))</f>
        <v/>
      </c>
      <c r="D139" s="4" t="str">
        <f>IF(MAX(F:F)&lt;137,"",INDEX(F:J,MATCH(137,F:F,0),5))</f>
        <v/>
      </c>
      <c r="E139" s="73">
        <f t="shared" si="8"/>
        <v>33</v>
      </c>
      <c r="F139" s="73" t="str">
        <f t="shared" si="9"/>
        <v/>
      </c>
      <c r="G139" s="397" t="str">
        <f>IF('9a-Optional'!H40=0,"",IF(AND(G134="",G135="",G136="",G137="",G138=""),"Craft",""))</f>
        <v/>
      </c>
      <c r="H139" s="12" t="str">
        <f>IF('9a-Optional'!H40=0,"",'9a-Optional'!C40&amp;"x "&amp;'9a-Optional'!D40&amp;" ton "&amp;'9a-Optional'!A40)</f>
        <v/>
      </c>
      <c r="I139" s="4">
        <f>'9a-Optional'!H40</f>
        <v>0</v>
      </c>
      <c r="J139" s="265">
        <f>'9a-Optional'!F40</f>
        <v>0</v>
      </c>
    </row>
    <row r="140" spans="1:10" ht="16">
      <c r="A140" s="400" t="str">
        <f>IF(MAX(F:F)&lt;138,"",IF(INDEX(F:J,MATCH(138,F:F,0),2)=0,"",INDEX(F:J,MATCH(138,F:F,0),2)))</f>
        <v/>
      </c>
      <c r="B140" s="463" t="str">
        <f>IF(MAX(F:F)&lt;138,"",INDEX(F:J,MATCH(138,F:F,0),3))</f>
        <v/>
      </c>
      <c r="C140" s="4" t="str">
        <f>IF(MAX(F:F)&lt;138,"",INDEX(F:J,MATCH(138,F:F,0),4))</f>
        <v/>
      </c>
      <c r="D140" s="4" t="str">
        <f>IF(MAX(F:F)&lt;138,"",INDEX(F:J,MATCH(138,F:F,0),5))</f>
        <v/>
      </c>
      <c r="E140" s="73">
        <f t="shared" si="8"/>
        <v>33</v>
      </c>
      <c r="F140" s="73" t="str">
        <f t="shared" si="9"/>
        <v/>
      </c>
      <c r="G140" s="397" t="str">
        <f>IF('9a-Optional'!H41=0,"",IF(AND(G134="",G135="",G136="",G137="",G138="",G139=""),"Craft",""))</f>
        <v/>
      </c>
      <c r="H140" s="12" t="str">
        <f>IF(I140=0,"",'9a-Optional'!C42&amp;"x "&amp;'9a-Optional'!A42)</f>
        <v/>
      </c>
      <c r="I140" s="4">
        <f>'9a-Optional'!H42</f>
        <v>0</v>
      </c>
      <c r="J140" s="265">
        <f>'9a-Optional'!F42</f>
        <v>0</v>
      </c>
    </row>
    <row r="141" spans="1:10" ht="16">
      <c r="A141" s="400" t="str">
        <f>IF(MAX(F:F)&lt;139,"",IF(INDEX(F:J,MATCH(139,F:F,0),2)=0,"",INDEX(F:J,MATCH(139,F:F,0),2)))</f>
        <v/>
      </c>
      <c r="B141" s="463" t="str">
        <f>IF(MAX(F:F)&lt;139,"",INDEX(F:J,MATCH(139,F:F,0),3))</f>
        <v/>
      </c>
      <c r="C141" s="4" t="str">
        <f>IF(MAX(F:F)&lt;139,"",INDEX(F:J,MATCH(139,F:F,0),4))</f>
        <v/>
      </c>
      <c r="D141" s="4" t="str">
        <f>IF(MAX(F:F)&lt;139,"",INDEX(F:J,MATCH(139,F:F,0),5))</f>
        <v/>
      </c>
      <c r="E141" s="73">
        <f t="shared" si="8"/>
        <v>34</v>
      </c>
      <c r="F141" s="73">
        <f t="shared" si="9"/>
        <v>34</v>
      </c>
      <c r="G141" s="397" t="str">
        <f>IF('9a-Optional'!H42=0,"",IF(AND(G134="",G135="",G136="",G137="",G138="",G139="",G140=""),"Craft",""))</f>
        <v/>
      </c>
      <c r="H141" s="12" t="str">
        <f>IF(I141=0,"",'9a-Optional'!C43&amp;"x "&amp;'9a-Optional'!A43)</f>
        <v>3x Docking Clamp Type II</v>
      </c>
      <c r="I141" s="4">
        <f>'9a-Optional'!H43</f>
        <v>15</v>
      </c>
      <c r="J141" s="265">
        <f>'9a-Optional'!F43</f>
        <v>3000000</v>
      </c>
    </row>
    <row r="142" spans="1:10" ht="16">
      <c r="A142" s="400" t="str">
        <f>IF(MAX(F:F)&lt;140,"",IF(INDEX(F:J,MATCH(140,F:F,0),2)=0,"",INDEX(F:J,MATCH(140,F:F,0),2)))</f>
        <v/>
      </c>
      <c r="B142" s="463" t="str">
        <f>IF(MAX(F:F)&lt;140,"",INDEX(F:J,MATCH(140,F:F,0),3))</f>
        <v/>
      </c>
      <c r="C142" s="4" t="str">
        <f>IF(MAX(F:F)&lt;140,"",INDEX(F:J,MATCH(140,F:F,0),4))</f>
        <v/>
      </c>
      <c r="D142" s="4" t="str">
        <f>IF(MAX(F:F)&lt;140,"",INDEX(F:J,MATCH(140,F:F,0),5))</f>
        <v/>
      </c>
      <c r="E142" s="73">
        <f t="shared" si="8"/>
        <v>34</v>
      </c>
      <c r="F142" s="73" t="str">
        <f t="shared" si="9"/>
        <v/>
      </c>
      <c r="G142" s="397" t="str">
        <f>IF('9a-Optional'!H43=0,"",IF(AND(G134="",G135="",G136="",G137="",G138="",G139="",G140="",G141=""),"Craft",""))</f>
        <v>Craft</v>
      </c>
      <c r="H142" s="12" t="str">
        <f>IF(I142=0,"",'9a-Optional'!C44&amp;"x "&amp;'9a-Optional'!A44)</f>
        <v/>
      </c>
      <c r="I142" s="4">
        <f>'9a-Optional'!H44</f>
        <v>0</v>
      </c>
      <c r="J142" s="265">
        <f>'9a-Optional'!F44</f>
        <v>0</v>
      </c>
    </row>
    <row r="143" spans="1:10" ht="16">
      <c r="A143" s="400" t="str">
        <f>IF(MAX(F:F)&lt;141,"",IF(INDEX(F:J,MATCH(141,F:F,0),2)=0,"",INDEX(F:J,MATCH(141,F:F,0),2)))</f>
        <v/>
      </c>
      <c r="B143" s="463" t="str">
        <f>IF(MAX(F:F)&lt;141,"",INDEX(F:J,MATCH(141,F:F,0),3))</f>
        <v/>
      </c>
      <c r="C143" s="4" t="str">
        <f>IF(MAX(F:F)&lt;141,"",INDEX(F:J,MATCH(141,F:F,0),4))</f>
        <v/>
      </c>
      <c r="D143" s="4" t="str">
        <f>IF(MAX(F:F)&lt;141,"",INDEX(F:J,MATCH(141,F:F,0),5))</f>
        <v/>
      </c>
      <c r="E143" s="73">
        <f t="shared" si="8"/>
        <v>34</v>
      </c>
      <c r="F143" s="73" t="str">
        <f t="shared" si="9"/>
        <v/>
      </c>
      <c r="G143" s="397" t="str">
        <f>IF('9a-Optional'!H44=0,"",IF(AND(G134="",G135="",G136="",G137="",G138="",G139="",G140="",G141="",G142=""),"Craft",""))</f>
        <v/>
      </c>
      <c r="H143" s="12" t="str">
        <f>IF(I143=0,"",'9a-Optional'!C45&amp;"x "&amp;'9a-Optional'!A45)</f>
        <v/>
      </c>
      <c r="I143" s="4">
        <f>'9a-Optional'!H45</f>
        <v>0</v>
      </c>
      <c r="J143" s="265">
        <f>'9a-Optional'!F45</f>
        <v>0</v>
      </c>
    </row>
    <row r="144" spans="1:10" ht="16">
      <c r="A144" s="400" t="str">
        <f>IF(MAX(F:F)&lt;142,"",IF(INDEX(F:J,MATCH(142,F:F,0),2)=0,"",INDEX(F:J,MATCH(142,F:F,0),2)))</f>
        <v/>
      </c>
      <c r="B144" s="463" t="str">
        <f>IF(MAX(F:F)&lt;142,"",INDEX(F:J,MATCH(142,F:F,0),3))</f>
        <v/>
      </c>
      <c r="C144" s="4" t="str">
        <f>IF(MAX(F:F)&lt;142,"",INDEX(F:J,MATCH(142,F:F,0),4))</f>
        <v/>
      </c>
      <c r="D144" s="4" t="str">
        <f>IF(MAX(F:F)&lt;142,"",INDEX(F:J,MATCH(142,F:F,0),5))</f>
        <v/>
      </c>
      <c r="E144" s="73">
        <f t="shared" si="8"/>
        <v>34</v>
      </c>
      <c r="F144" s="73" t="str">
        <f t="shared" si="9"/>
        <v/>
      </c>
      <c r="G144" s="397" t="str">
        <f>IF('9a-Optional'!H45=0,"",IF(AND(G134="",G135="",G136="",G137="",G138="",G139="",G140="",G141="",G142="",G143=""),"Craft",""))</f>
        <v/>
      </c>
      <c r="H144" s="12" t="str">
        <f>IF(I144=0,"",'9a-Optional'!C46&amp;"x "&amp;'9a-Optional'!A46)</f>
        <v/>
      </c>
      <c r="I144" s="4">
        <f>'9a-Optional'!H46</f>
        <v>0</v>
      </c>
      <c r="J144" s="265">
        <f>'9a-Optional'!F46</f>
        <v>0</v>
      </c>
    </row>
    <row r="145" spans="1:10" ht="16">
      <c r="A145" s="400" t="str">
        <f>IF(MAX(F:F)&lt;143,"",IF(INDEX(F:J,MATCH(143,F:F,0),2)=0,"",INDEX(F:J,MATCH(143,F:F,0),2)))</f>
        <v/>
      </c>
      <c r="B145" s="463" t="str">
        <f>IF(MAX(F:F)&lt;143,"",INDEX(F:J,MATCH(143,F:F,0),3))</f>
        <v/>
      </c>
      <c r="C145" s="4" t="str">
        <f>IF(MAX(F:F)&lt;143,"",INDEX(F:J,MATCH(143,F:F,0),4))</f>
        <v/>
      </c>
      <c r="D145" s="4" t="str">
        <f>IF(MAX(F:F)&lt;143,"",INDEX(F:J,MATCH(143,F:F,0),5))</f>
        <v/>
      </c>
      <c r="E145" s="73">
        <f t="shared" si="8"/>
        <v>34</v>
      </c>
      <c r="F145" s="73" t="str">
        <f t="shared" si="9"/>
        <v/>
      </c>
      <c r="G145" s="397" t="str">
        <f>IF('9a-Optional'!H46=0,"",IF(AND(G134="",G135="",G136="",G137="",G138="",G139="",G140="",G141="",G142="",G143="",G144=""),"Craft",""))</f>
        <v/>
      </c>
      <c r="H145" s="12" t="str">
        <f>IF('9a-Optional'!H48=0,"",'9a-Optional'!C48&amp;"x "&amp;'9a-Optional'!D48&amp;" ton "&amp;'9a-Optional'!A48)</f>
        <v/>
      </c>
      <c r="I145" s="4">
        <f>'9a-Optional'!H48</f>
        <v>0</v>
      </c>
      <c r="J145" s="265">
        <f>'9a-Optional'!F48</f>
        <v>0</v>
      </c>
    </row>
    <row r="146" spans="1:10" ht="16">
      <c r="A146" s="400" t="str">
        <f>IF(MAX(F:F)&lt;144,"",IF(INDEX(F:J,MATCH(144,F:F,0),2)=0,"",INDEX(F:J,MATCH(144,F:F,0),2)))</f>
        <v/>
      </c>
      <c r="B146" s="463" t="str">
        <f>IF(MAX(F:F)&lt;144,"",INDEX(F:J,MATCH(144,F:F,0),3))</f>
        <v/>
      </c>
      <c r="C146" s="4" t="str">
        <f>IF(MAX(F:F)&lt;144,"",INDEX(F:J,MATCH(144,F:F,0),4))</f>
        <v/>
      </c>
      <c r="D146" s="4" t="str">
        <f>IF(MAX(F:F)&lt;144,"",INDEX(F:J,MATCH(144,F:F,0),5))</f>
        <v/>
      </c>
      <c r="E146" s="73">
        <f t="shared" si="8"/>
        <v>34</v>
      </c>
      <c r="F146" s="73" t="str">
        <f t="shared" si="9"/>
        <v/>
      </c>
      <c r="G146" s="397" t="str">
        <f>IF('9a-Optional'!H47=0,"",IF(AND(G134="",G135="",G136="",G137="",G138="",G139="",G140="",G141="",G142="",G143="",G144="",G145=""),"Craft",""))</f>
        <v/>
      </c>
      <c r="H146" s="12" t="str">
        <f>IF('9a-Optional'!H49=0,"",'9a-Optional'!C49&amp;"x "&amp;'9a-Optional'!D49&amp;" ton "&amp;'9a-Optional'!A49)</f>
        <v/>
      </c>
      <c r="I146" s="4">
        <f>'9a-Optional'!H49</f>
        <v>0</v>
      </c>
      <c r="J146" s="265">
        <f>'9a-Optional'!F49</f>
        <v>0</v>
      </c>
    </row>
    <row r="147" spans="1:10" ht="16">
      <c r="A147" s="400" t="str">
        <f>IF(MAX(F:F)&lt;145,"",IF(INDEX(F:J,MATCH(145,F:F,0),2)=0,"",INDEX(F:J,MATCH(145,F:F,0),2)))</f>
        <v/>
      </c>
      <c r="B147" s="463" t="str">
        <f>IF(MAX(F:F)&lt;145,"",INDEX(F:J,MATCH(145,F:F,0),3))</f>
        <v/>
      </c>
      <c r="C147" s="4" t="str">
        <f>IF(MAX(F:F)&lt;145,"",INDEX(F:J,MATCH(145,F:F,0),4))</f>
        <v/>
      </c>
      <c r="D147" s="4" t="str">
        <f>IF(MAX(F:F)&lt;145,"",INDEX(F:J,MATCH(145,F:F,0),5))</f>
        <v/>
      </c>
      <c r="E147" s="73">
        <f t="shared" si="8"/>
        <v>34</v>
      </c>
      <c r="F147" s="73" t="str">
        <f t="shared" si="9"/>
        <v/>
      </c>
      <c r="G147" s="397" t="str">
        <f>IF('9a-Optional'!H48=0,"",IF(AND(G134="",G135="",G136="",G137="",G138="",G139="",G140="",G141="",G142="",G143="",G144="",G145="",G146=""),"Craft",""))</f>
        <v/>
      </c>
      <c r="H147" s="12" t="str">
        <f>IF('9a-Optional'!H50=0,"",'9a-Optional'!C50&amp;"x "&amp;'9a-Optional'!D50&amp;" ton "&amp;'9a-Optional'!A50)</f>
        <v/>
      </c>
      <c r="I147" s="4">
        <f>'9a-Optional'!H50</f>
        <v>0</v>
      </c>
      <c r="J147" s="265">
        <f>'9a-Optional'!F50</f>
        <v>0</v>
      </c>
    </row>
    <row r="148" spans="1:10" ht="16">
      <c r="A148" s="400" t="str">
        <f>IF(MAX(F:F)&lt;146,"",IF(INDEX(F:J,MATCH(146,F:F,0),2)=0,"",INDEX(F:J,MATCH(146,F:F,0),2)))</f>
        <v/>
      </c>
      <c r="B148" s="463" t="str">
        <f>IF(MAX(F:F)&lt;146,"",INDEX(F:J,MATCH(146,F:F,0),3))</f>
        <v/>
      </c>
      <c r="C148" s="4" t="str">
        <f>IF(MAX(F:F)&lt;146,"",INDEX(F:J,MATCH(146,F:F,0),4))</f>
        <v/>
      </c>
      <c r="D148" s="4" t="str">
        <f>IF(MAX(F:F)&lt;146,"",INDEX(F:J,MATCH(146,F:F,0),5))</f>
        <v/>
      </c>
      <c r="E148" s="73">
        <f t="shared" si="8"/>
        <v>34</v>
      </c>
      <c r="F148" s="73" t="str">
        <f t="shared" si="9"/>
        <v/>
      </c>
      <c r="G148" s="397" t="str">
        <f>IF('9a-Optional'!H49=0,"",IF(AND(G134="",G135="",G136="",G137="",G138="",G139="",G140="",G141="",G142="",G143="",G144="",G145="",G146="",G147=""),"Craft",""))</f>
        <v/>
      </c>
      <c r="H148" s="12" t="str">
        <f>IF('9a-Optional'!H51=0,"",'9a-Optional'!C51&amp;"x "&amp;'9a-Optional'!D51&amp;" ton "&amp;'9a-Optional'!A51)</f>
        <v/>
      </c>
      <c r="I148" s="4">
        <f>'9a-Optional'!H51</f>
        <v>0</v>
      </c>
      <c r="J148" s="265">
        <f>'9a-Optional'!F51</f>
        <v>0</v>
      </c>
    </row>
    <row r="149" spans="1:10" ht="16">
      <c r="A149" s="400" t="str">
        <f>IF(MAX(F:F)&lt;147,"",IF(INDEX(F:J,MATCH(147,F:F,0),2)=0,"",INDEX(F:J,MATCH(147,F:F,0),2)))</f>
        <v/>
      </c>
      <c r="B149" s="463" t="str">
        <f>IF(MAX(F:F)&lt;147,"",INDEX(F:J,MATCH(147,F:F,0),3))</f>
        <v/>
      </c>
      <c r="C149" s="4" t="str">
        <f>IF(MAX(F:F)&lt;147,"",INDEX(F:J,MATCH(147,F:F,0),4))</f>
        <v/>
      </c>
      <c r="D149" s="4" t="str">
        <f>IF(MAX(F:F)&lt;147,"",INDEX(F:J,MATCH(147,F:F,0),5))</f>
        <v/>
      </c>
      <c r="E149" s="73">
        <f t="shared" si="8"/>
        <v>34</v>
      </c>
      <c r="F149" s="73" t="str">
        <f t="shared" si="9"/>
        <v/>
      </c>
      <c r="G149" s="397" t="str">
        <f>IF('9a-Optional'!H50=0,"",IF(AND(G134="",G135="",G136="",G137="",G138="",G139="",G140="",G141="",G142="",G143="",G144="",G145="",G146="",G147="",G148=""),"Craft",""))</f>
        <v/>
      </c>
      <c r="H149" s="12" t="str">
        <f>IF('9a-Optional'!H52=0,"",'9a-Optional'!C52&amp;"x "&amp;'9a-Optional'!D52&amp;" ton "&amp;'9a-Optional'!A52)</f>
        <v/>
      </c>
      <c r="I149" s="4">
        <f>'9a-Optional'!H52</f>
        <v>0</v>
      </c>
      <c r="J149" s="265">
        <f>'9a-Optional'!F52</f>
        <v>0</v>
      </c>
    </row>
    <row r="150" spans="1:10" ht="16">
      <c r="A150" s="400" t="str">
        <f>IF(MAX(F:F)&lt;148,"",IF(INDEX(F:J,MATCH(148,F:F,0),2)=0,"",INDEX(F:J,MATCH(148,F:F,0),2)))</f>
        <v/>
      </c>
      <c r="B150" s="463" t="str">
        <f>IF(MAX(F:F)&lt;148,"",INDEX(F:J,MATCH(148,F:F,0),3))</f>
        <v/>
      </c>
      <c r="C150" s="4" t="str">
        <f>IF(MAX(F:F)&lt;148,"",INDEX(F:J,MATCH(148,F:F,0),4))</f>
        <v/>
      </c>
      <c r="D150" s="4" t="str">
        <f>IF(MAX(F:F)&lt;148,"",INDEX(F:J,MATCH(148,F:F,0),5))</f>
        <v/>
      </c>
      <c r="E150" s="73">
        <f t="shared" si="8"/>
        <v>34</v>
      </c>
      <c r="F150" s="73" t="str">
        <f t="shared" si="9"/>
        <v/>
      </c>
      <c r="G150" s="397" t="str">
        <f>IF('9a-Optional'!H51=0,"",IF(AND(G134="",G135="",G136="",G137="",G138="",G139="",G140="",G141="",G142="",G143="",G144="",G145="",G146="",G147="",G148="",G149=""),"Craft",""))</f>
        <v/>
      </c>
      <c r="H150" s="12" t="str">
        <f>IF('9a-Optional'!H54=0,"",'9a-Optional'!C54&amp;"x "&amp;'9a-Optional'!D54&amp;" ton Launch Tube")</f>
        <v/>
      </c>
      <c r="I150" s="4">
        <f>'9a-Optional'!H54</f>
        <v>0</v>
      </c>
      <c r="J150" s="265">
        <f>'9a-Optional'!F54</f>
        <v>0</v>
      </c>
    </row>
    <row r="151" spans="1:10" ht="16">
      <c r="A151" s="400" t="str">
        <f>IF(MAX(F:F)&lt;149,"",IF(INDEX(F:J,MATCH(149,F:F,0),2)=0,"",INDEX(F:J,MATCH(149,F:F,0),2)))</f>
        <v/>
      </c>
      <c r="B151" s="463" t="str">
        <f>IF(MAX(F:F)&lt;149,"",INDEX(F:J,MATCH(149,F:F,0),3))</f>
        <v/>
      </c>
      <c r="C151" s="4" t="str">
        <f>IF(MAX(F:F)&lt;149,"",INDEX(F:J,MATCH(149,F:F,0),4))</f>
        <v/>
      </c>
      <c r="D151" s="4" t="str">
        <f>IF(MAX(F:F)&lt;149,"",INDEX(F:J,MATCH(149,F:F,0),5))</f>
        <v/>
      </c>
      <c r="E151" s="73">
        <f t="shared" si="8"/>
        <v>34</v>
      </c>
      <c r="F151" s="73" t="str">
        <f t="shared" si="9"/>
        <v/>
      </c>
      <c r="G151" s="397" t="str">
        <f>IF('9a-Optional'!H52=0,"",IF(AND(G134="",G135="",G136="",G137="",G138="",G139="",G140="",G141="",G142="",G143="",G144="",G145="",G146="",G147="",G148="",G149="",G150=""),"Craft",""))</f>
        <v/>
      </c>
      <c r="H151" s="12" t="str">
        <f>IF('9a-Optional'!H55=0,"",'9a-Optional'!C55&amp;"x "&amp;'9a-Optional'!D55&amp;" ton Launch Tube")</f>
        <v/>
      </c>
      <c r="I151" s="4">
        <f>'9a-Optional'!H55</f>
        <v>0</v>
      </c>
      <c r="J151" s="265">
        <f>'9a-Optional'!F55</f>
        <v>0</v>
      </c>
    </row>
    <row r="152" spans="1:10" ht="16">
      <c r="A152" s="400" t="str">
        <f>IF(MAX(F:F)&lt;150,"",IF(INDEX(F:J,MATCH(150,F:F,0),2)=0,"",INDEX(F:J,MATCH(150,F:F,0),2)))</f>
        <v/>
      </c>
      <c r="B152" s="463" t="str">
        <f>IF(MAX(F:F)&lt;150,"",INDEX(F:J,MATCH(150,F:F,0),3))</f>
        <v/>
      </c>
      <c r="C152" s="4" t="str">
        <f>IF(MAX(F:F)&lt;150,"",INDEX(F:J,MATCH(150,F:F,0),4))</f>
        <v/>
      </c>
      <c r="D152" s="4" t="str">
        <f>IF(MAX(F:F)&lt;150,"",INDEX(F:J,MATCH(150,F:F,0),5))</f>
        <v/>
      </c>
      <c r="E152" s="73">
        <f t="shared" si="8"/>
        <v>34</v>
      </c>
      <c r="F152" s="73" t="str">
        <f t="shared" si="9"/>
        <v/>
      </c>
      <c r="G152" s="397" t="str">
        <f>IF('9a-Optional'!H53=0,"",IF(AND(G134="",G135="",G136="",G137="",G138="",G139="",G140="",G141="",G142="",G143="",G144="",G145="",G146="",G147="",G148="",G149="",G150="",G151=""),"Craft",""))</f>
        <v/>
      </c>
      <c r="H152" s="12" t="str">
        <f>IF('9a-Optional'!H56=0,"",'9a-Optional'!C56&amp;"x "&amp;'9a-Optional'!D56&amp;" ton Launch Tube")</f>
        <v/>
      </c>
      <c r="I152" s="4">
        <f>'9a-Optional'!H56</f>
        <v>0</v>
      </c>
      <c r="J152" s="265">
        <f>'9a-Optional'!F56</f>
        <v>0</v>
      </c>
    </row>
    <row r="153" spans="1:10" ht="16">
      <c r="A153" s="400" t="str">
        <f>IF(MAX(F:F)&lt;151,"",IF(INDEX(F:J,MATCH(151,F:F,0),2)=0,"",INDEX(F:J,MATCH(151,F:F,0),2)))</f>
        <v/>
      </c>
      <c r="B153" s="463" t="str">
        <f>IF(MAX(F:F)&lt;151,"",INDEX(F:J,MATCH(151,F:F,0),3))</f>
        <v/>
      </c>
      <c r="C153" s="4" t="str">
        <f>IF(MAX(F:F)&lt;151,"",INDEX(F:J,MATCH(151,F:F,0),4))</f>
        <v/>
      </c>
      <c r="D153" s="4" t="str">
        <f>IF(MAX(F:F)&lt;151,"",INDEX(F:J,MATCH(151,F:F,0),5))</f>
        <v/>
      </c>
      <c r="E153" s="73">
        <f t="shared" si="8"/>
        <v>34</v>
      </c>
      <c r="F153" s="73" t="str">
        <f t="shared" si="9"/>
        <v/>
      </c>
      <c r="G153" s="397" t="str">
        <f>IF('9a-Optional'!H54=0,"",IF(AND(G134="",G135="",G136="",G137="",G138="",G139="",G140="",G141="",G142="",G143="",G144="",G145="",G146="",G147="",G148="",G149="",G150="",G151="",G152=""),"Craft",""))</f>
        <v/>
      </c>
      <c r="H153" s="12" t="str">
        <f>IF('9a-Optional'!H57=0,"",'9a-Optional'!C57&amp;"x "&amp;'9a-Optional'!D57&amp;" ton Launch Tube")</f>
        <v/>
      </c>
      <c r="I153" s="4">
        <f>'9a-Optional'!H57</f>
        <v>0</v>
      </c>
      <c r="J153" s="265">
        <f>'9a-Optional'!F57</f>
        <v>0</v>
      </c>
    </row>
    <row r="154" spans="1:10" ht="16">
      <c r="A154" s="400" t="str">
        <f>IF(MAX(F:F)&lt;152,"",IF(INDEX(F:J,MATCH(152,F:F,0),2)=0,"",INDEX(F:J,MATCH(152,F:F,0),2)))</f>
        <v/>
      </c>
      <c r="B154" s="463" t="str">
        <f>IF(MAX(F:F)&lt;152,"",INDEX(F:J,MATCH(152,F:F,0),3))</f>
        <v/>
      </c>
      <c r="C154" s="4" t="str">
        <f>IF(MAX(F:F)&lt;152,"",INDEX(F:J,MATCH(152,F:F,0),4))</f>
        <v/>
      </c>
      <c r="D154" s="4" t="str">
        <f>IF(MAX(F:F)&lt;152,"",INDEX(F:J,MATCH(152,F:F,0),5))</f>
        <v/>
      </c>
      <c r="E154" s="73">
        <f t="shared" si="8"/>
        <v>34</v>
      </c>
      <c r="F154" s="73" t="str">
        <f t="shared" si="9"/>
        <v/>
      </c>
      <c r="G154" s="397" t="str">
        <f>IF('9a-Optional'!H55=0,"",IF(AND(G134="",G135="",G136="",G137="",G138="",G139="",G140="",G141="",G142="",G143="",G144="",G145="",G146="",G147="",G148="",G149="",G150="",G151="",G152="",G153=""),"Craft",""))</f>
        <v/>
      </c>
      <c r="H154" s="12" t="str">
        <f>IF('9a-Optional'!H58=0,"",'9a-Optional'!C58&amp;"x "&amp;'9a-Optional'!D58&amp;" ton Launch Tube")</f>
        <v/>
      </c>
      <c r="I154" s="4">
        <f>'9a-Optional'!H58</f>
        <v>0</v>
      </c>
      <c r="J154" s="265">
        <f>'9a-Optional'!F58</f>
        <v>0</v>
      </c>
    </row>
    <row r="155" spans="1:10" ht="16">
      <c r="A155" s="400" t="str">
        <f>IF(MAX(F:F)&lt;153,"",IF(INDEX(F:J,MATCH(153,F:F,0),2)=0,"",INDEX(F:J,MATCH(153,F:F,0),2)))</f>
        <v/>
      </c>
      <c r="B155" s="463" t="str">
        <f>IF(MAX(F:F)&lt;153,"",INDEX(F:J,MATCH(153,F:F,0),3))</f>
        <v/>
      </c>
      <c r="C155" s="4" t="str">
        <f>IF(MAX(F:F)&lt;153,"",INDEX(F:J,MATCH(153,F:F,0),4))</f>
        <v/>
      </c>
      <c r="D155" s="4" t="str">
        <f>IF(MAX(F:F)&lt;153,"",INDEX(F:J,MATCH(153,F:F,0),5))</f>
        <v/>
      </c>
      <c r="E155" s="73">
        <f t="shared" si="8"/>
        <v>34</v>
      </c>
      <c r="F155" s="73" t="str">
        <f t="shared" si="9"/>
        <v/>
      </c>
      <c r="G155" s="397" t="str">
        <f>IF('9a-Optional'!H56=0,"",IF(AND(G134="",G135="",G136="",G137="",G138="",G139="",G140="",G141="",G142="",G143="",G144="",G145="",G146="",G147="",G148="",G149="",G150="",G151="",G152="",G153="",G154=""),"Craft",""))</f>
        <v/>
      </c>
      <c r="H155" s="12" t="str">
        <f>IF('9a-Optional'!H60=0,"",'9a-Optional'!C60&amp;"x "&amp;'9a-Optional'!D60&amp;" ton Recovery Bay")</f>
        <v/>
      </c>
      <c r="I155" s="4">
        <f>'9a-Optional'!H60</f>
        <v>0</v>
      </c>
      <c r="J155" s="265">
        <f>'9a-Optional'!F60</f>
        <v>0</v>
      </c>
    </row>
    <row r="156" spans="1:10" ht="16">
      <c r="A156" s="400" t="str">
        <f>IF(MAX(F:F)&lt;154,"",IF(INDEX(F:J,MATCH(154,F:F,0),2)=0,"",INDEX(F:J,MATCH(154,F:F,0),2)))</f>
        <v/>
      </c>
      <c r="B156" s="463" t="str">
        <f>IF(MAX(F:F)&lt;154,"",INDEX(F:J,MATCH(154,F:F,0),3))</f>
        <v/>
      </c>
      <c r="C156" s="4" t="str">
        <f>IF(MAX(F:F)&lt;154,"",INDEX(F:J,MATCH(154,F:F,0),4))</f>
        <v/>
      </c>
      <c r="D156" s="4" t="str">
        <f>IF(MAX(F:F)&lt;154,"",INDEX(F:J,MATCH(154,F:F,0),5))</f>
        <v/>
      </c>
      <c r="E156" s="73">
        <f t="shared" si="8"/>
        <v>34</v>
      </c>
      <c r="F156" s="73" t="str">
        <f t="shared" si="9"/>
        <v/>
      </c>
      <c r="G156" s="397" t="str">
        <f>IF('9a-Optional'!H57=0,"",IF(AND(G134="",G135="",G136="",G137="",G138="",G139="",G140="",G141="",G142="",G143="",G144="",G145="",G146="",G147="",G148="",G149="",G150="",G151="",G152="",G153="",G154="",G155=""),"Craft",""))</f>
        <v/>
      </c>
      <c r="H156" s="12" t="str">
        <f>IF('9a-Optional'!H61=0,"",'9a-Optional'!C61&amp;"x "&amp;'9a-Optional'!D61&amp;" ton Recovery Bay")</f>
        <v/>
      </c>
      <c r="I156" s="4">
        <f>'9a-Optional'!H61</f>
        <v>0</v>
      </c>
      <c r="J156" s="265">
        <f>'9a-Optional'!F61</f>
        <v>0</v>
      </c>
    </row>
    <row r="157" spans="1:10" ht="16">
      <c r="A157" s="400" t="str">
        <f>IF(MAX(F:F)&lt;155,"",IF(INDEX(F:J,MATCH(155,F:F,0),2)=0,"",INDEX(F:J,MATCH(155,F:F,0),2)))</f>
        <v/>
      </c>
      <c r="B157" s="463" t="str">
        <f>IF(MAX(F:F)&lt;155,"",INDEX(F:J,MATCH(155,F:F,0),3))</f>
        <v/>
      </c>
      <c r="C157" s="4" t="str">
        <f>IF(MAX(F:F)&lt;155,"",INDEX(F:J,MATCH(155,F:F,0),4))</f>
        <v/>
      </c>
      <c r="D157" s="4" t="str">
        <f>IF(MAX(F:F)&lt;155,"",INDEX(F:J,MATCH(155,F:F,0),5))</f>
        <v/>
      </c>
      <c r="E157" s="73">
        <f t="shared" si="8"/>
        <v>34</v>
      </c>
      <c r="F157" s="73" t="str">
        <f t="shared" si="9"/>
        <v/>
      </c>
      <c r="G157" s="397" t="str">
        <f>IF('9a-Optional'!H58=0,"",IF(AND(G134="",G135="",G136="",G137="",G138="",G139="",G140="",G141="",G142="",G143="",G144="",G145="",G146="",G147="",G148="",G149="",G150="",G151="",G152="",G153="",G154="",G155="",G156=""),"Craft",""))</f>
        <v/>
      </c>
      <c r="H157" s="12" t="str">
        <f>IF('9a-Optional'!H62=0,"",'9a-Optional'!C62&amp;"x "&amp;'9a-Optional'!D62&amp;" ton Recovery Bay")</f>
        <v/>
      </c>
      <c r="I157" s="4">
        <f>'9a-Optional'!H62</f>
        <v>0</v>
      </c>
      <c r="J157" s="265">
        <f>'9a-Optional'!F62</f>
        <v>0</v>
      </c>
    </row>
    <row r="158" spans="1:10" ht="16">
      <c r="A158" s="400" t="str">
        <f>IF(MAX(F:F)&lt;156,"",IF(INDEX(F:J,MATCH(156,F:F,0),2)=0,"",INDEX(F:J,MATCH(156,F:F,0),2)))</f>
        <v/>
      </c>
      <c r="B158" s="463" t="str">
        <f>IF(MAX(F:F)&lt;156,"",INDEX(F:J,MATCH(156,F:F,0),3))</f>
        <v/>
      </c>
      <c r="C158" s="4" t="str">
        <f>IF(MAX(F:F)&lt;156,"",INDEX(F:J,MATCH(156,F:F,0),4))</f>
        <v/>
      </c>
      <c r="D158" s="4" t="str">
        <f>IF(MAX(F:F)&lt;156,"",INDEX(F:J,MATCH(156,F:F,0),5))</f>
        <v/>
      </c>
      <c r="E158" s="73">
        <f t="shared" si="8"/>
        <v>34</v>
      </c>
      <c r="F158" s="73" t="str">
        <f t="shared" si="9"/>
        <v/>
      </c>
      <c r="G158" s="397" t="str">
        <f>IF('9a-Optional'!H59=0,"",IF(AND(G134="",G135="",G136="",G137="",G138="",G139="",G140="",G141="",G142="",G143="",G144="",G145="",G146="",G147="",G148="",G149="",G150="",G151="",G152="",G153="",G154="",G155="",G156="",G157=""),"Craft",""))</f>
        <v/>
      </c>
      <c r="H158" s="12" t="str">
        <f>IF('9a-Optional'!H63=0,"",'9a-Optional'!C63&amp;"x "&amp;'9a-Optional'!D63&amp;" ton Recovery Bay")</f>
        <v/>
      </c>
      <c r="I158" s="4">
        <f>'9a-Optional'!H63</f>
        <v>0</v>
      </c>
      <c r="J158" s="265">
        <f>'9a-Optional'!F63</f>
        <v>0</v>
      </c>
    </row>
    <row r="159" spans="1:10" ht="16">
      <c r="A159" s="400" t="str">
        <f>IF(MAX(F:F)&lt;157,"",IF(INDEX(F:J,MATCH(157,F:F,0),2)=0,"",INDEX(F:J,MATCH(157,F:F,0),2)))</f>
        <v/>
      </c>
      <c r="B159" s="463" t="str">
        <f>IF(MAX(F:F)&lt;157,"",INDEX(F:J,MATCH(157,F:F,0),3))</f>
        <v/>
      </c>
      <c r="C159" s="4" t="str">
        <f>IF(MAX(F:F)&lt;157,"",INDEX(F:J,MATCH(157,F:F,0),4))</f>
        <v/>
      </c>
      <c r="D159" s="4" t="str">
        <f>IF(MAX(F:F)&lt;157,"",INDEX(F:J,MATCH(157,F:F,0),5))</f>
        <v/>
      </c>
      <c r="E159" s="73">
        <f t="shared" si="8"/>
        <v>34</v>
      </c>
      <c r="F159" s="73" t="str">
        <f t="shared" si="9"/>
        <v/>
      </c>
      <c r="G159" s="397" t="str">
        <f>IF('9a-Optional'!H60=0,"",IF(AND(G134="",G135="",G136="",G137="",G138="",G139="",G140="",G141="",G142="",G143="",G144="",G145="",G146="",G147="",G148="",G149="",G150="",G151="",G152="",G153="",G154="",G155="",G156="",G157="",G158=""),"Craft",""))</f>
        <v/>
      </c>
      <c r="H159" s="12" t="str">
        <f>IF('9a-Optional'!H64=0,"",'9a-Optional'!C64&amp;"x "&amp;'9a-Optional'!D64&amp;" ton Recovery Bay")</f>
        <v/>
      </c>
      <c r="I159" s="4">
        <f>'9a-Optional'!H64</f>
        <v>0</v>
      </c>
      <c r="J159" s="265">
        <f>'9a-Optional'!F64</f>
        <v>0</v>
      </c>
    </row>
    <row r="160" spans="1:10" ht="16">
      <c r="A160" s="400" t="str">
        <f>IF(MAX(F:F)&lt;158,"",IF(INDEX(F:J,MATCH(158,F:F,0),2)=0,"",INDEX(F:J,MATCH(158,F:F,0),2)))</f>
        <v/>
      </c>
      <c r="B160" s="463" t="str">
        <f>IF(MAX(F:F)&lt;158,"",INDEX(F:J,MATCH(158,F:F,0),3))</f>
        <v/>
      </c>
      <c r="C160" s="4" t="str">
        <f>IF(MAX(F:F)&lt;158,"",INDEX(F:J,MATCH(158,F:F,0),4))</f>
        <v/>
      </c>
      <c r="D160" s="4" t="str">
        <f>IF(MAX(F:F)&lt;158,"",INDEX(F:J,MATCH(158,F:F,0),5))</f>
        <v/>
      </c>
      <c r="E160" s="73">
        <f t="shared" si="8"/>
        <v>34</v>
      </c>
      <c r="F160" s="73" t="str">
        <f t="shared" si="9"/>
        <v/>
      </c>
      <c r="G160" s="397" t="str">
        <f>IF(H160="","",IF(AND(G134="",G135="",G136="",G137="",G138="",G139="",G140="",G141="",G142="",G143="",G144="",G145="",G146="",G147="",G148="",G149="",G150="",G151="",G152="",G153="",G154="",G155="",G156="",G157="",G158="",G159=""),"Craft",""))</f>
        <v/>
      </c>
      <c r="H160" s="12" t="str">
        <f>IF('9a-Optional'!C66="No","","EM Hardened Launch Tubes/Recovery Bays")</f>
        <v/>
      </c>
      <c r="I160" s="4">
        <f>'9a-Optional'!H65</f>
        <v>0</v>
      </c>
      <c r="J160" s="265">
        <f>'9a-Optional'!F66</f>
        <v>0</v>
      </c>
    </row>
    <row r="161" spans="1:10" ht="16">
      <c r="A161" s="400" t="str">
        <f>IF(MAX(F:F)&lt;159,"",IF(INDEX(F:J,MATCH(159,F:F,0),2)=0,"",INDEX(F:J,MATCH(159,F:F,0),2)))</f>
        <v/>
      </c>
      <c r="B161" s="463" t="str">
        <f>IF(MAX(F:F)&lt;159,"",INDEX(F:J,MATCH(159,F:F,0),3))</f>
        <v/>
      </c>
      <c r="C161" s="4" t="str">
        <f>IF(MAX(F:F)&lt;159,"",INDEX(F:J,MATCH(159,F:F,0),4))</f>
        <v/>
      </c>
      <c r="D161" s="4" t="str">
        <f>IF(MAX(F:F)&lt;159,"",INDEX(F:J,MATCH(159,F:F,0),5))</f>
        <v/>
      </c>
      <c r="E161" s="73">
        <f t="shared" si="8"/>
        <v>35</v>
      </c>
      <c r="F161" s="73">
        <f t="shared" si="9"/>
        <v>35</v>
      </c>
      <c r="G161" s="397" t="str">
        <f>IF(H161="","",IF(AND(G134="",G135="",G136="",G137="",G138="",G139="",G140="",G141="",G142="",G143="",G144="",G145="",G146="",G147="",G148="",G149="",G150="",G151="",G152="",G153="",G154="",G155="",G156="",G157="",G158="",G159="",G160=""),"Craft",""))</f>
        <v/>
      </c>
      <c r="H161" s="12" t="str">
        <f>'9a-Optional'!AZ2</f>
        <v>Zhodani Brechatsnech Belt Survey Vessel x1 (60 tons)</v>
      </c>
      <c r="J161" s="265">
        <f>'9a-Optional'!BA2</f>
        <v>37070000</v>
      </c>
    </row>
    <row r="162" spans="1:10" ht="16">
      <c r="A162" s="400" t="str">
        <f>IF(MAX(F:F)&lt;160,"",IF(INDEX(F:J,MATCH(160,F:F,0),2)=0,"",INDEX(F:J,MATCH(160,F:F,0),2)))</f>
        <v/>
      </c>
      <c r="B162" s="463" t="str">
        <f>IF(MAX(F:F)&lt;160,"",INDEX(F:J,MATCH(160,F:F,0),3))</f>
        <v/>
      </c>
      <c r="C162" s="4" t="str">
        <f>IF(MAX(F:F)&lt;160,"",INDEX(F:J,MATCH(160,F:F,0),4))</f>
        <v/>
      </c>
      <c r="D162" s="4" t="str">
        <f>IF(MAX(F:F)&lt;160,"",INDEX(F:J,MATCH(160,F:F,0),5))</f>
        <v/>
      </c>
      <c r="E162" s="73">
        <f t="shared" si="8"/>
        <v>36</v>
      </c>
      <c r="F162" s="73">
        <f t="shared" si="9"/>
        <v>36</v>
      </c>
      <c r="G162" s="397" t="str">
        <f>IF(H162="","",IF(AND(G134="",G135="",G136="",G137="",G138="",G139="",G140="",G141="",G142="",G143="",G144="",G145="",G146="",G147="",G148="",G149="",G150="",G151="",G152="",G153="",G154="",G155="",G156="",G157="",G158="",G159="",G160="",G161=""),"Craft",""))</f>
        <v/>
      </c>
      <c r="H162" s="12" t="str">
        <f>'9a-Optional'!AZ3</f>
        <v>Zhodani Neishetsienz Gas Giant Survey Vessel x1 (60 tons)</v>
      </c>
      <c r="J162" s="265">
        <f>'9a-Optional'!BA3</f>
        <v>65550000</v>
      </c>
    </row>
    <row r="163" spans="1:10" ht="16">
      <c r="A163" s="400" t="str">
        <f>IF(MAX(F:F)&lt;161,"",IF(INDEX(F:J,MATCH(161,F:F,0),2)=0,"",INDEX(F:J,MATCH(161,F:F,0),2)))</f>
        <v/>
      </c>
      <c r="B163" s="463" t="str">
        <f>IF(MAX(F:F)&lt;161,"",INDEX(F:J,MATCH(161,F:F,0),3))</f>
        <v/>
      </c>
      <c r="C163" s="4" t="str">
        <f>IF(MAX(F:F)&lt;161,"",INDEX(F:J,MATCH(161,F:F,0),4))</f>
        <v/>
      </c>
      <c r="D163" s="4" t="str">
        <f>IF(MAX(F:F)&lt;161,"",INDEX(F:J,MATCH(161,F:F,0),5))</f>
        <v/>
      </c>
      <c r="E163" s="73">
        <f t="shared" si="8"/>
        <v>37</v>
      </c>
      <c r="F163" s="73">
        <f t="shared" si="9"/>
        <v>37</v>
      </c>
      <c r="G163" s="397" t="str">
        <f>IF(H163="","",IF(AND(G134="",G135="",G136="",G137="",G138="",G139="",G140="",G141="",G142="",G143="",G144="",G145="",G146="",G147="",G148="",G149="",G150="",G151="",G152="",G153="",G154="",G155="",G156="",G157="",G158="",G159="",G160="",G161="",G162=""),"Craft",""))</f>
        <v/>
      </c>
      <c r="H163" s="12" t="str">
        <f>'9a-Optional'!AZ4</f>
        <v>Zhodani Drabr Chtor Terrestrial Survey Vessel x1 (80 tons)</v>
      </c>
      <c r="J163" s="265">
        <f>'9a-Optional'!BA4</f>
        <v>48995000</v>
      </c>
    </row>
    <row r="164" spans="1:10" ht="16">
      <c r="A164" s="400" t="str">
        <f>IF(MAX(F:F)&lt;162,"",IF(INDEX(F:J,MATCH(162,F:F,0),2)=0,"",INDEX(F:J,MATCH(162,F:F,0),2)))</f>
        <v/>
      </c>
      <c r="B164" s="463" t="str">
        <f>IF(MAX(F:F)&lt;162,"",INDEX(F:J,MATCH(162,F:F,0),3))</f>
        <v/>
      </c>
      <c r="C164" s="4" t="str">
        <f>IF(MAX(F:F)&lt;162,"",INDEX(F:J,MATCH(162,F:F,0),4))</f>
        <v/>
      </c>
      <c r="D164" s="4" t="str">
        <f>IF(MAX(F:F)&lt;162,"",INDEX(F:J,MATCH(162,F:F,0),5))</f>
        <v/>
      </c>
      <c r="E164" s="73">
        <f t="shared" si="8"/>
        <v>37</v>
      </c>
      <c r="F164" s="73" t="str">
        <f t="shared" si="9"/>
        <v/>
      </c>
      <c r="G164" s="397" t="str">
        <f>IF(H164="","",IF(AND(G134="",G135="",G136="",G137="",G138="",G139="",G140="",G141="",G142="",G143="",G144="",G145="",G146="",G147="",G148="",G149="",G150="",G151="",G152="",G153="",G154="",G155="",G156="",G157="",G158="",G159="",G160="",G161="",G162="",G163=""),"Craft",""))</f>
        <v/>
      </c>
      <c r="H164" s="12" t="str">
        <f>'9a-Optional'!AZ5</f>
        <v/>
      </c>
      <c r="J164" s="265">
        <f>'9a-Optional'!BA5</f>
        <v>0</v>
      </c>
    </row>
    <row r="165" spans="1:10" ht="16">
      <c r="A165" s="400" t="str">
        <f>IF(MAX(F:F)&lt;163,"",IF(INDEX(F:J,MATCH(163,F:F,0),2)=0,"",INDEX(F:J,MATCH(163,F:F,0),2)))</f>
        <v/>
      </c>
      <c r="B165" s="463" t="str">
        <f>IF(MAX(F:F)&lt;163,"",INDEX(F:J,MATCH(163,F:F,0),3))</f>
        <v/>
      </c>
      <c r="C165" s="4" t="str">
        <f>IF(MAX(F:F)&lt;163,"",INDEX(F:J,MATCH(163,F:F,0),4))</f>
        <v/>
      </c>
      <c r="D165" s="4" t="str">
        <f>IF(MAX(F:F)&lt;163,"",INDEX(F:J,MATCH(163,F:F,0),5))</f>
        <v/>
      </c>
      <c r="E165" s="73">
        <f t="shared" si="8"/>
        <v>37</v>
      </c>
      <c r="F165" s="73" t="str">
        <f t="shared" si="9"/>
        <v/>
      </c>
      <c r="G165" s="397" t="str">
        <f>IF(H165="","",IF(AND(G134="",G135="",G136="",G137="",G138="",G139="",G140="",G141="",G142="",G143="",G144="",G145="",G146="",G147="",G148="",G149="",G150="",G151="",G152="",G153="",G154="",G155="",G156="",G157="",G158="",G159="",G160="",G161="",G162="",G163="",G164=""),"Craft",""))</f>
        <v/>
      </c>
      <c r="H165" s="12" t="str">
        <f>'9a-Optional'!AZ6</f>
        <v/>
      </c>
      <c r="J165" s="265">
        <f>'9a-Optional'!BA6</f>
        <v>0</v>
      </c>
    </row>
    <row r="166" spans="1:10" ht="16">
      <c r="A166" s="400" t="str">
        <f>IF(MAX(F:F)&lt;164,"",IF(INDEX(F:J,MATCH(164,F:F,0),2)=0,"",INDEX(F:J,MATCH(164,F:F,0),2)))</f>
        <v/>
      </c>
      <c r="B166" s="463" t="str">
        <f>IF(MAX(F:F)&lt;164,"",INDEX(F:J,MATCH(164,F:F,0),3))</f>
        <v/>
      </c>
      <c r="C166" s="4" t="str">
        <f>IF(MAX(F:F)&lt;164,"",INDEX(F:J,MATCH(164,F:F,0),4))</f>
        <v/>
      </c>
      <c r="D166" s="4" t="str">
        <f>IF(MAX(F:F)&lt;164,"",INDEX(F:J,MATCH(164,F:F,0),5))</f>
        <v/>
      </c>
      <c r="E166" s="73">
        <f t="shared" si="8"/>
        <v>37</v>
      </c>
      <c r="F166" s="73" t="str">
        <f t="shared" si="9"/>
        <v/>
      </c>
      <c r="G166" s="397" t="str">
        <f>IF(H166="","",IF(AND(G134="",G135="",G136="",G137="",G138="",G139="",G140="",G141="",G142="",G143="",G144="",G145="",G146="",G147="",G148="",G149="",G150="",G151="",G152="",G153="",G154="",G155="",G156="",G157="",G158="",G159="",G160="",G161="",G162="",G163="",G164="",G165=""),"Craft",""))</f>
        <v/>
      </c>
      <c r="H166" s="12" t="str">
        <f>'9a-Optional'!AZ7</f>
        <v/>
      </c>
      <c r="J166" s="265">
        <f>'9a-Optional'!BA7</f>
        <v>0</v>
      </c>
    </row>
    <row r="167" spans="1:10" ht="16">
      <c r="A167" s="400" t="str">
        <f>IF(MAX(F:F)&lt;165,"",IF(INDEX(F:J,MATCH(165,F:F,0),2)=0,"",INDEX(F:J,MATCH(165,F:F,0),2)))</f>
        <v/>
      </c>
      <c r="B167" s="463" t="str">
        <f>IF(MAX(F:F)&lt;165,"",INDEX(F:J,MATCH(165,F:F,0),3))</f>
        <v/>
      </c>
      <c r="C167" s="4" t="str">
        <f>IF(MAX(F:F)&lt;165,"",INDEX(F:J,MATCH(165,F:F,0),4))</f>
        <v/>
      </c>
      <c r="D167" s="4" t="str">
        <f>IF(MAX(F:F)&lt;165,"",INDEX(F:J,MATCH(165,F:F,0),5))</f>
        <v/>
      </c>
      <c r="E167" s="73">
        <f t="shared" si="8"/>
        <v>37</v>
      </c>
      <c r="F167" s="73" t="str">
        <f t="shared" si="9"/>
        <v/>
      </c>
      <c r="G167" s="397" t="str">
        <f>IF(H167="","",IF(AND(G134="",G135="",G136="",G137="",G138="",G139="",G140="",G141="",G142="",G143="",G144="",G145="",G146="",G147="",G148="",G149="",G150="",G151="",G152="",G153="",G154="",G155="",G156="",G157="",G158="",G159="",G160="",G161="",G162="",G163="",G164="",G165="",G166=""),"Craft",""))</f>
        <v/>
      </c>
      <c r="H167" s="12" t="str">
        <f>'9a-Optional'!AZ8</f>
        <v/>
      </c>
      <c r="J167" s="265">
        <f>'9a-Optional'!BA8</f>
        <v>0</v>
      </c>
    </row>
    <row r="168" spans="1:10" ht="16">
      <c r="A168" s="400" t="str">
        <f>IF(MAX(F:F)&lt;166,"",IF(INDEX(F:J,MATCH(166,F:F,0),2)=0,"",INDEX(F:J,MATCH(166,F:F,0),2)))</f>
        <v/>
      </c>
      <c r="B168" s="463" t="str">
        <f>IF(MAX(F:F)&lt;166,"",INDEX(F:J,MATCH(166,F:F,0),3))</f>
        <v/>
      </c>
      <c r="C168" s="4" t="str">
        <f>IF(MAX(F:F)&lt;166,"",INDEX(F:J,MATCH(166,F:F,0),4))</f>
        <v/>
      </c>
      <c r="D168" s="4" t="str">
        <f>IF(MAX(F:F)&lt;166,"",INDEX(F:J,MATCH(166,F:F,0),5))</f>
        <v/>
      </c>
      <c r="E168" s="73">
        <f t="shared" si="8"/>
        <v>37</v>
      </c>
      <c r="F168" s="73" t="str">
        <f t="shared" si="9"/>
        <v/>
      </c>
      <c r="G168" s="397" t="str">
        <f>IF(H168="","",IF(AND(G134="",G135="",G136="",G137="",G138="",G139="",G140="",G141="",G142="",G143="",G144="",G145="",G146="",G147="",G148="",G149="",G150="",G151="",G152="",G153="",G154="",G155="",G156="",G157="",G158="",G159="",G160="",G161="",G162="",G163="",G164="",G165="",G166="",G167=""),"Craft",""))</f>
        <v/>
      </c>
      <c r="H168" s="12" t="str">
        <f>'9a-Optional'!AZ9</f>
        <v/>
      </c>
      <c r="J168" s="265">
        <f>'9a-Optional'!BA9</f>
        <v>0</v>
      </c>
    </row>
    <row r="169" spans="1:10" ht="16">
      <c r="A169" s="400" t="str">
        <f>IF(MAX(F:F)&lt;167,"",IF(INDEX(F:J,MATCH(167,F:F,0),2)=0,"",INDEX(F:J,MATCH(167,F:F,0),2)))</f>
        <v/>
      </c>
      <c r="B169" s="463" t="str">
        <f>IF(MAX(F:F)&lt;167,"",INDEX(F:J,MATCH(167,F:F,0),3))</f>
        <v/>
      </c>
      <c r="C169" s="4" t="str">
        <f>IF(MAX(F:F)&lt;167,"",INDEX(F:J,MATCH(167,F:F,0),4))</f>
        <v/>
      </c>
      <c r="D169" s="4" t="str">
        <f>IF(MAX(F:F)&lt;167,"",INDEX(F:J,MATCH(167,F:F,0),5))</f>
        <v/>
      </c>
      <c r="E169" s="73">
        <f t="shared" si="8"/>
        <v>37</v>
      </c>
      <c r="F169" s="73" t="str">
        <f t="shared" si="9"/>
        <v/>
      </c>
      <c r="G169" s="397" t="str">
        <f>IF(H169="","",IF(AND(G134="",G135="",G136="",G137="",G138="",G139="",G140="",G141="",G142="",G143="",G144="",G145="",G146="",G147="",G148="",G149="",G150="",G151="",G152="",G153="",G154="",G155="",G156="",G157="",G158="",G159="",G160="",G161="",G162="",G163="",G164="",G165="",G166="",G167="",G168=""),"Craft",""))</f>
        <v/>
      </c>
      <c r="H169" s="12" t="str">
        <f>'9a-Optional'!AZ10</f>
        <v/>
      </c>
      <c r="J169" s="265">
        <f>'9a-Optional'!BA10</f>
        <v>0</v>
      </c>
    </row>
    <row r="170" spans="1:10" ht="16">
      <c r="A170" s="400" t="str">
        <f>IF(MAX(F:F)&lt;168,"",IF(INDEX(F:J,MATCH(168,F:F,0),2)=0,"",INDEX(F:J,MATCH(168,F:F,0),2)))</f>
        <v/>
      </c>
      <c r="B170" s="463" t="str">
        <f>IF(MAX(F:F)&lt;168,"",INDEX(F:J,MATCH(168,F:F,0),3))</f>
        <v/>
      </c>
      <c r="C170" s="4" t="str">
        <f>IF(MAX(F:F)&lt;168,"",INDEX(F:J,MATCH(168,F:F,0),4))</f>
        <v/>
      </c>
      <c r="D170" s="4" t="str">
        <f>IF(MAX(F:F)&lt;168,"",INDEX(F:J,MATCH(168,F:F,0),5))</f>
        <v/>
      </c>
      <c r="E170" s="73">
        <f t="shared" si="8"/>
        <v>37</v>
      </c>
      <c r="F170" s="73" t="str">
        <f t="shared" si="9"/>
        <v/>
      </c>
      <c r="G170" s="397" t="str">
        <f>IF(H170="","",IF(AND(G134="",G135="",G136="",G137="",G138="",G139="",G140="",G141="",G142="",G143="",G144="",G145="",G146="",G147="",G148="",G149="",G150="",G151="",G152="",G153="",G154="",G155="",G156="",G157="",G158="",G159="",G160="",G161="",G162="",G163="",G164="",G165="",G166="",G167="",G168="",G169=""),"Craft",""))</f>
        <v/>
      </c>
      <c r="H170" s="12" t="str">
        <f>'9a-Optional'!AZ11</f>
        <v/>
      </c>
      <c r="J170" s="265">
        <f>'9a-Optional'!BA11</f>
        <v>0</v>
      </c>
    </row>
    <row r="171" spans="1:10" ht="16">
      <c r="A171" s="400" t="str">
        <f>IF(MAX(F:F)&lt;169,"",IF(INDEX(F:J,MATCH(169,F:F,0),2)=0,"",INDEX(F:J,MATCH(169,F:F,0),2)))</f>
        <v/>
      </c>
      <c r="B171" s="463" t="str">
        <f>IF(MAX(F:F)&lt;169,"",INDEX(F:J,MATCH(169,F:F,0),3))</f>
        <v/>
      </c>
      <c r="C171" s="4" t="str">
        <f>IF(MAX(F:F)&lt;169,"",INDEX(F:J,MATCH(169,F:F,0),4))</f>
        <v/>
      </c>
      <c r="D171" s="4" t="str">
        <f>IF(MAX(F:F)&lt;169,"",INDEX(F:J,MATCH(169,F:F,0),5))</f>
        <v/>
      </c>
      <c r="E171" s="73">
        <f t="shared" si="8"/>
        <v>37</v>
      </c>
      <c r="F171" s="73" t="str">
        <f t="shared" si="9"/>
        <v/>
      </c>
      <c r="G171" s="397" t="str">
        <f>IF(H171="","",IF(AND(G134="",G135="",G136="",G137="",G138="",G139="",G140="",G141="",G142="",G143="",G144="",G145="",G146="",G147="",G148="",G149="",G150="",G151="",G152="",G153="",G154="",G155="",G156="",G157="",G158="",G159="",G160="",G161="",G162="",G163="",G164="",G165="",G166="",G167="",G168="",G169="",G170=""),"Craft",""))</f>
        <v/>
      </c>
      <c r="H171" s="12" t="str">
        <f>'9a-Optional'!AZ12</f>
        <v/>
      </c>
      <c r="J171" s="265">
        <f>'9a-Optional'!BA12</f>
        <v>0</v>
      </c>
    </row>
    <row r="172" spans="1:10" ht="16">
      <c r="A172" s="400" t="str">
        <f>IF(MAX(F:F)&lt;170,"",IF(INDEX(F:J,MATCH(170,F:F,0),2)=0,"",INDEX(F:J,MATCH(170,F:F,0),2)))</f>
        <v/>
      </c>
      <c r="B172" s="463" t="str">
        <f>IF(MAX(F:F)&lt;170,"",INDEX(F:J,MATCH(170,F:F,0),3))</f>
        <v/>
      </c>
      <c r="C172" s="4" t="str">
        <f>IF(MAX(F:F)&lt;170,"",INDEX(F:J,MATCH(170,F:F,0),4))</f>
        <v/>
      </c>
      <c r="D172" s="4" t="str">
        <f>IF(MAX(F:F)&lt;170,"",INDEX(F:J,MATCH(170,F:F,0),5))</f>
        <v/>
      </c>
      <c r="E172" s="73">
        <f t="shared" si="8"/>
        <v>37</v>
      </c>
      <c r="F172" s="73" t="str">
        <f t="shared" si="9"/>
        <v/>
      </c>
      <c r="G172" s="397" t="str">
        <f>IF(H172="","",IF(AND(G134="",G135="",G136="",G137="",G138="",G139="",G140="",G141="",G142="",G143="",G144="",G145="",G146="",G147="",G148="",G149="",G150="",G151="",G152="",G153="",G154="",G155="",G156="",G157="",G158="",G159="",G160="",G161="",G162="",G163="",G164="",G165="",G166="",G167="",G168="",G169="",G170="",G171=""),"Craft",""))</f>
        <v/>
      </c>
      <c r="H172" s="12" t="str">
        <f>'9a-Optional'!AZ13</f>
        <v/>
      </c>
      <c r="J172" s="265">
        <f>'9a-Optional'!BA13</f>
        <v>0</v>
      </c>
    </row>
    <row r="173" spans="1:10" ht="16">
      <c r="A173" s="400" t="str">
        <f>IF(MAX(F:F)&lt;171,"",IF(INDEX(F:J,MATCH(171,F:F,0),2)=0,"",INDEX(F:J,MATCH(171,F:F,0),2)))</f>
        <v/>
      </c>
      <c r="B173" s="463" t="str">
        <f>IF(MAX(F:F)&lt;171,"",INDEX(F:J,MATCH(171,F:F,0),3))</f>
        <v/>
      </c>
      <c r="C173" s="4" t="str">
        <f>IF(MAX(F:F)&lt;171,"",INDEX(F:J,MATCH(171,F:F,0),4))</f>
        <v/>
      </c>
      <c r="D173" s="4" t="str">
        <f>IF(MAX(F:F)&lt;171,"",INDEX(F:J,MATCH(171,F:F,0),5))</f>
        <v/>
      </c>
      <c r="E173" s="73">
        <f t="shared" si="8"/>
        <v>37</v>
      </c>
      <c r="F173" s="73" t="str">
        <f t="shared" si="9"/>
        <v/>
      </c>
      <c r="G173" s="397" t="str">
        <f>IF(H173="","",IF(AND(G134="",G135="",G136="",G137="",G138="",G139="",G140="",G141="",G142="",G143="",G144="",G145="",G146="",G147="",G148="",G149="",G150="",G151="",G152="",G153="",G154="",G155="",G156="",G157="",G158="",G159="",G160="",G161="",G162="",G163="",G164="",G165="",G166="",G167="",G168="",G169="",G170="",G171="",G172=""),"Craft",""))</f>
        <v/>
      </c>
      <c r="H173" s="12" t="str">
        <f>'9a-Optional'!AZ14</f>
        <v/>
      </c>
      <c r="J173" s="265">
        <f>'9a-Optional'!BA14</f>
        <v>0</v>
      </c>
    </row>
    <row r="174" spans="1:10" ht="16">
      <c r="A174" s="400" t="str">
        <f>IF(MAX(F:F)&lt;172,"",IF(INDEX(F:J,MATCH(172,F:F,0),2)=0,"",INDEX(F:J,MATCH(172,F:F,0),2)))</f>
        <v/>
      </c>
      <c r="B174" s="463" t="str">
        <f>IF(MAX(F:F)&lt;172,"",INDEX(F:J,MATCH(172,F:F,0),3))</f>
        <v/>
      </c>
      <c r="C174" s="4" t="str">
        <f>IF(MAX(F:F)&lt;172,"",INDEX(F:J,MATCH(172,F:F,0),4))</f>
        <v/>
      </c>
      <c r="D174" s="4" t="str">
        <f>IF(MAX(F:F)&lt;172,"",INDEX(F:J,MATCH(172,F:F,0),5))</f>
        <v/>
      </c>
      <c r="E174" s="73">
        <f t="shared" si="8"/>
        <v>37</v>
      </c>
      <c r="F174" s="73" t="str">
        <f t="shared" si="9"/>
        <v/>
      </c>
      <c r="G174" s="397" t="str">
        <f>IF(H174="","",IF(AND(G134="",G135="",G136="",G137="",G138="",G139="",G140="",G141="",G142="",G143="",G144="",G145="",G146="",G147="",G148="",G149="",G150="",G151="",G152="",G153="",G154="",G155="",G156="",G157="",G158="",G159="",G160="",G161="",G162="",G163="",G164="",G165="",G166="",G167="",G168="",G169="",G170="",G171="",G172="",G173=""),"Craft",""))</f>
        <v/>
      </c>
      <c r="H174" s="12" t="str">
        <f>'9a-Optional'!AZ15</f>
        <v/>
      </c>
      <c r="J174" s="265">
        <f>'9a-Optional'!BA15</f>
        <v>0</v>
      </c>
    </row>
    <row r="175" spans="1:10" ht="16">
      <c r="A175" s="400" t="str">
        <f>IF(MAX(F:F)&lt;173,"",IF(INDEX(F:J,MATCH(173,F:F,0),2)=0,"",INDEX(F:J,MATCH(173,F:F,0),2)))</f>
        <v/>
      </c>
      <c r="B175" s="463" t="str">
        <f>IF(MAX(F:F)&lt;173,"",INDEX(F:J,MATCH(173,F:F,0),3))</f>
        <v/>
      </c>
      <c r="C175" s="4" t="str">
        <f>IF(MAX(F:F)&lt;173,"",INDEX(F:J,MATCH(173,F:F,0),4))</f>
        <v/>
      </c>
      <c r="D175" s="4" t="str">
        <f>IF(MAX(F:F)&lt;173,"",INDEX(F:J,MATCH(173,F:F,0),5))</f>
        <v/>
      </c>
      <c r="E175" s="73">
        <f t="shared" si="8"/>
        <v>37</v>
      </c>
      <c r="F175" s="73" t="str">
        <f t="shared" si="9"/>
        <v/>
      </c>
      <c r="G175" s="397" t="str">
        <f>IF(H175="","",IF(AND(G134="",G135="",G136="",G137="",G138="",G139="",G140="",G141="",G142="",G143="",G144="",G145="",G146="",G147="",G148="",G149="",G150="",G151="",G152="",G153="",G154="",G155="",G156="",G157="",G158="",G159="",G160="",G161="",G162="",G163="",G164="",G165="",G166="",G167="",G168="",G169="",G170="",G171="",G172="",G173="",G174=""),"Craft",""))</f>
        <v/>
      </c>
      <c r="H175" s="12" t="str">
        <f>'9a-Optional'!AZ16</f>
        <v/>
      </c>
      <c r="J175" s="265">
        <f>'9a-Optional'!BA16</f>
        <v>0</v>
      </c>
    </row>
    <row r="176" spans="1:10" ht="16">
      <c r="A176" s="400" t="str">
        <f>IF(MAX(F:F)&lt;174,"",IF(INDEX(F:J,MATCH(174,F:F,0),2)=0,"",INDEX(F:J,MATCH(174,F:F,0),2)))</f>
        <v/>
      </c>
      <c r="B176" s="463" t="str">
        <f>IF(MAX(F:F)&lt;174,"",INDEX(F:J,MATCH(174,F:F,0),3))</f>
        <v/>
      </c>
      <c r="C176" s="4" t="str">
        <f>IF(MAX(F:F)&lt;174,"",INDEX(F:J,MATCH(174,F:F,0),4))</f>
        <v/>
      </c>
      <c r="D176" s="4" t="str">
        <f>IF(MAX(F:F)&lt;174,"",INDEX(F:J,MATCH(174,F:F,0),5))</f>
        <v/>
      </c>
      <c r="E176" s="73">
        <f t="shared" si="8"/>
        <v>37</v>
      </c>
      <c r="F176" s="73" t="str">
        <f t="shared" si="9"/>
        <v/>
      </c>
      <c r="G176" s="397" t="str">
        <f>IF(H176="","",IF(AND(G134="",G135="",G136="",G137="",G138="",G139="",G140="",G141="",G142="",G143="",G144="",G145="",G146="",G147="",G148="",G149="",G150="",G151="",G152="",G153="",G154="",G155="",G156="",G157="",G158="",G159="",G160="",G161="",G162="",G163="",G164="",G165="",G166="",G167="",G168="",G169="",G170="",G171="",G172="",G173="",G174="",G175=""),"Craft",""))</f>
        <v/>
      </c>
      <c r="H176" s="12" t="str">
        <f>'9a-Optional'!AZ17</f>
        <v/>
      </c>
      <c r="J176" s="265">
        <f>'9a-Optional'!BA17</f>
        <v>0</v>
      </c>
    </row>
    <row r="177" spans="1:10" ht="16">
      <c r="A177" s="400" t="str">
        <f>IF(MAX(F:F)&lt;175,"",IF(INDEX(F:J,MATCH(175,F:F,0),2)=0,"",INDEX(F:J,MATCH(175,F:F,0),2)))</f>
        <v/>
      </c>
      <c r="B177" s="463" t="str">
        <f>IF(MAX(F:F)&lt;175,"",INDEX(F:J,MATCH(175,F:F,0),3))</f>
        <v/>
      </c>
      <c r="C177" s="4" t="str">
        <f>IF(MAX(F:F)&lt;175,"",INDEX(F:J,MATCH(175,F:F,0),4))</f>
        <v/>
      </c>
      <c r="D177" s="4" t="str">
        <f>IF(MAX(F:F)&lt;175,"",INDEX(F:J,MATCH(175,F:F,0),5))</f>
        <v/>
      </c>
      <c r="E177" s="73">
        <f t="shared" si="8"/>
        <v>37</v>
      </c>
      <c r="F177" s="73" t="str">
        <f t="shared" si="9"/>
        <v/>
      </c>
      <c r="G177" s="397" t="str">
        <f>IF(H177="","",IF(AND(G134="",G135="",G136="",G137="",G138="",G139="",G140="",G141="",G142="",G143="",G144="",G145="",G146="",G147="",G148="",G149="",G150="",G151="",G152="",G153="",G154="",G155="",G156="",G157="",G158="",G159="",G160="",G161="",G162="",G163="",G164="",G165="",G166="",G167="",G168="",G169="",G170="",G171="",G172="",G173="",G174="",G175="",G176=""),"Craft",""))</f>
        <v/>
      </c>
      <c r="H177" s="12" t="str">
        <f>'9a-Optional'!AZ18</f>
        <v/>
      </c>
      <c r="J177" s="265">
        <f>'9a-Optional'!BA18</f>
        <v>0</v>
      </c>
    </row>
    <row r="178" spans="1:10" ht="16">
      <c r="A178" s="400" t="str">
        <f>IF(MAX(F:F)&lt;176,"",IF(INDEX(F:J,MATCH(176,F:F,0),2)=0,"",INDEX(F:J,MATCH(176,F:F,0),2)))</f>
        <v/>
      </c>
      <c r="B178" s="463" t="str">
        <f>IF(MAX(F:F)&lt;176,"",INDEX(F:J,MATCH(176,F:F,0),3))</f>
        <v/>
      </c>
      <c r="C178" s="4" t="str">
        <f>IF(MAX(F:F)&lt;176,"",INDEX(F:J,MATCH(176,F:F,0),4))</f>
        <v/>
      </c>
      <c r="D178" s="4" t="str">
        <f>IF(MAX(F:F)&lt;176,"",INDEX(F:J,MATCH(176,F:F,0),5))</f>
        <v/>
      </c>
      <c r="E178" s="73">
        <f t="shared" si="8"/>
        <v>37</v>
      </c>
      <c r="F178" s="73" t="str">
        <f t="shared" si="9"/>
        <v/>
      </c>
      <c r="G178" s="397" t="str">
        <f>IF(H178="","",IF(AND(G134="",G135="",G136="",G137="",G138="",G139="",G140="",G141="",G142="",G143="",G144="",G145="",G146="",G147="",G148="",G149="",G150="",G151="",G152="",G153="",G154="",G155="",G156="",G157="",G158="",G159="",G160="",G161="",G162="",G163="",G164="",G165="",G166="",G167="",G168="",G169="",G170="",G171="",G172="",G173="",G174="",G175="",G176="",G177=""),"Craft",""))</f>
        <v/>
      </c>
      <c r="H178" s="12" t="str">
        <f>'9a-Optional'!AZ19</f>
        <v/>
      </c>
      <c r="J178" s="265">
        <f>'9a-Optional'!BA19</f>
        <v>0</v>
      </c>
    </row>
    <row r="179" spans="1:10" ht="16">
      <c r="A179" s="400" t="str">
        <f>IF(MAX(F:F)&lt;177,"",IF(INDEX(F:J,MATCH(177,F:F,0),2)=0,"",INDEX(F:J,MATCH(177,F:F,0),2)))</f>
        <v/>
      </c>
      <c r="B179" s="463" t="str">
        <f>IF(MAX(F:F)&lt;177,"",INDEX(F:J,MATCH(177,F:F,0),3))</f>
        <v/>
      </c>
      <c r="C179" s="4" t="str">
        <f>IF(MAX(F:F)&lt;177,"",INDEX(F:J,MATCH(177,F:F,0),4))</f>
        <v/>
      </c>
      <c r="D179" s="4" t="str">
        <f>IF(MAX(F:F)&lt;177,"",INDEX(F:J,MATCH(177,F:F,0),5))</f>
        <v/>
      </c>
      <c r="E179" s="73">
        <f t="shared" si="8"/>
        <v>37</v>
      </c>
      <c r="F179" s="73" t="str">
        <f t="shared" si="9"/>
        <v/>
      </c>
      <c r="G179" s="397" t="str">
        <f>IF(H179="","",IF(AND(G134="",G135="",G136="",G137="",G138="",G139="",G140="",G141="",G142="",G143="",G144="",G145="",G146="",G147="",G148="",G149="",G150="",G151="",G152="",G153="",G154="",G155="",G156="",G157="",G158="",G159="",G160="",G161="",G162="",G163="",G164="",G165="",G166="",G167="",G168="",G169="",G170="",G171="",G172="",G173="",G174="",G175="",G176="",G177="",G178=""),"Craft",""))</f>
        <v/>
      </c>
      <c r="H179" s="12" t="str">
        <f>'9a-Optional'!AZ20</f>
        <v/>
      </c>
      <c r="J179" s="265">
        <f>'9a-Optional'!BA20</f>
        <v>0</v>
      </c>
    </row>
    <row r="180" spans="1:10" ht="16">
      <c r="A180" s="400" t="str">
        <f>IF(MAX(F:F)&lt;178,"",IF(INDEX(F:J,MATCH(178,F:F,0),2)=0,"",INDEX(F:J,MATCH(178,F:F,0),2)))</f>
        <v/>
      </c>
      <c r="B180" s="463" t="str">
        <f>IF(MAX(F:F)&lt;178,"",INDEX(F:J,MATCH(178,F:F,0),3))</f>
        <v/>
      </c>
      <c r="C180" s="4" t="str">
        <f>IF(MAX(F:F)&lt;178,"",INDEX(F:J,MATCH(178,F:F,0),4))</f>
        <v/>
      </c>
      <c r="D180" s="4" t="str">
        <f>IF(MAX(F:F)&lt;178,"",INDEX(F:J,MATCH(178,F:F,0),5))</f>
        <v/>
      </c>
      <c r="E180" s="73">
        <f t="shared" si="8"/>
        <v>37</v>
      </c>
      <c r="F180" s="73" t="str">
        <f t="shared" si="9"/>
        <v/>
      </c>
      <c r="G180" s="397" t="str">
        <f>IF(H180="","",IF(AND(G134="",G135="",G136="",G137="",G138="",G139="",G140="",G141="",G142="",G143="",G144="",G145="",G146="",G147="",G148="",G149="",G150="",G151="",G152="",G153="",G154="",G155="",G156="",G157="",G158="",G159="",G160="",G161="",G162="",G163="",G164="",G165="",G166="",G167="",G168="",G169="",G170="",G171="",G172="",G173="",G174="",G175="",G176="",G177="",G178="",G179=""),"Craft",""))</f>
        <v/>
      </c>
      <c r="H180" s="12" t="str">
        <f>'9a-Optional'!AZ21</f>
        <v/>
      </c>
      <c r="J180" s="265">
        <f>'9a-Optional'!BA21</f>
        <v>0</v>
      </c>
    </row>
    <row r="181" spans="1:10" ht="16">
      <c r="A181" s="400" t="str">
        <f>IF(MAX(F:F)&lt;179,"",IF(INDEX(F:J,MATCH(179,F:F,0),2)=0,"",INDEX(F:J,MATCH(179,F:F,0),2)))</f>
        <v/>
      </c>
      <c r="B181" s="463" t="str">
        <f>IF(MAX(F:F)&lt;179,"",INDEX(F:J,MATCH(179,F:F,0),3))</f>
        <v/>
      </c>
      <c r="C181" s="4" t="str">
        <f>IF(MAX(F:F)&lt;179,"",INDEX(F:J,MATCH(179,F:F,0),4))</f>
        <v/>
      </c>
      <c r="D181" s="4" t="str">
        <f>IF(MAX(F:F)&lt;179,"",INDEX(F:J,MATCH(179,F:F,0),5))</f>
        <v/>
      </c>
      <c r="E181" s="73">
        <f t="shared" si="8"/>
        <v>37</v>
      </c>
      <c r="F181" s="73" t="str">
        <f t="shared" si="9"/>
        <v/>
      </c>
      <c r="G181" s="397" t="str">
        <f>IF(H181="","",IF(AND(G134="",G135="",G136="",G137="",G138="",G139="",G140="",G141="",G142="",G143="",G144="",G145="",G146="",G147="",G148="",G149="",G150="",G151="",G152="",G153="",G154="",G155="",G156="",G157="",G158="",G159="",G160="",G161="",G162="",G163="",G164="",G165="",G166="",G167="",G168="",G169="",G170="",G171="",G172="",G173="",G174="",G175="",G176="",G177="",G178="",G179="",G180=""),"Craft",""))</f>
        <v/>
      </c>
      <c r="H181" s="12" t="str">
        <f>'9a-Optional'!AZ22</f>
        <v/>
      </c>
      <c r="J181" s="265">
        <f>'9a-Optional'!BA22</f>
        <v>0</v>
      </c>
    </row>
    <row r="182" spans="1:10" ht="16">
      <c r="A182" s="400" t="str">
        <f>IF(MAX(F:F)&lt;180,"",IF(INDEX(F:J,MATCH(180,F:F,0),2)=0,"",INDEX(F:J,MATCH(180,F:F,0),2)))</f>
        <v/>
      </c>
      <c r="B182" s="463" t="str">
        <f>IF(MAX(F:F)&lt;180,"",INDEX(F:J,MATCH(180,F:F,0),3))</f>
        <v/>
      </c>
      <c r="C182" s="4" t="str">
        <f>IF(MAX(F:F)&lt;180,"",INDEX(F:J,MATCH(180,F:F,0),4))</f>
        <v/>
      </c>
      <c r="D182" s="4" t="str">
        <f>IF(MAX(F:F)&lt;180,"",INDEX(F:J,MATCH(180,F:F,0),5))</f>
        <v/>
      </c>
      <c r="E182" s="73">
        <f t="shared" si="8"/>
        <v>37</v>
      </c>
      <c r="F182" s="73" t="str">
        <f t="shared" si="9"/>
        <v/>
      </c>
      <c r="G182" s="397" t="str">
        <f>IF(H182="","",IF(AND(G134="",G135="",G136="",G137="",G138="",G139="",G140="",G141="",G142="",G143="",G144="",G145="",G146="",G147="",G148="",G149="",G150="",G151="",G152="",G153="",G154="",G155="",G156="",G157="",G158="",G159="",G160="",G161="",G162="",G163="",G164="",G165="",G166="",G167="",G168="",G169="",G170="",G171="",G172="",G173="",G174="",G175="",G176="",G177="",G178="",G179="",G180="",G181=""),"Craft",""))</f>
        <v/>
      </c>
      <c r="H182" s="12" t="str">
        <f>'9a-Optional'!AZ23</f>
        <v/>
      </c>
      <c r="J182" s="265">
        <f>'9a-Optional'!BA23</f>
        <v>0</v>
      </c>
    </row>
    <row r="183" spans="1:10" ht="16">
      <c r="A183" s="400" t="str">
        <f>IF(MAX(F:F)&lt;181,"",IF(INDEX(F:J,MATCH(181,F:F,0),2)=0,"",INDEX(F:J,MATCH(181,F:F,0),2)))</f>
        <v/>
      </c>
      <c r="B183" s="463" t="str">
        <f>IF(MAX(F:F)&lt;181,"",INDEX(F:J,MATCH(181,F:F,0),3))</f>
        <v/>
      </c>
      <c r="C183" s="4" t="str">
        <f>IF(MAX(F:F)&lt;181,"",INDEX(F:J,MATCH(181,F:F,0),4))</f>
        <v/>
      </c>
      <c r="D183" s="4" t="str">
        <f>IF(MAX(F:F)&lt;181,"",INDEX(F:J,MATCH(181,F:F,0),5))</f>
        <v/>
      </c>
      <c r="E183" s="73">
        <f t="shared" si="8"/>
        <v>37</v>
      </c>
      <c r="F183" s="73" t="str">
        <f t="shared" si="9"/>
        <v/>
      </c>
      <c r="G183" s="397" t="str">
        <f>IF(H183="","",IF(AND(G134="",G135="",G136="",G137="",G138="",G139="",G140="",G141="",G142="",G143="",G144="",G145="",G146="",G147="",G148="",G149="",G150="",G151="",G152="",G153="",G154="",G155="",G156="",G157="",G158="",G159="",G160="",G161="",G162="",G163="",G164="",G165="",G166="",G167="",G168="",G169="",G170="",G171="",G172="",G173="",G174="",G175="",G176="",G177="",G178="",G179="",G180="",G181="",G182=""),"Craft",""))</f>
        <v/>
      </c>
      <c r="H183" s="12" t="str">
        <f>'9a-Optional'!AZ24</f>
        <v/>
      </c>
      <c r="J183" s="265">
        <f>'9a-Optional'!BA24</f>
        <v>0</v>
      </c>
    </row>
    <row r="184" spans="1:10" ht="16">
      <c r="A184" s="400" t="str">
        <f>IF(MAX(F:F)&lt;182,"",IF(INDEX(F:J,MATCH(182,F:F,0),2)=0,"",INDEX(F:J,MATCH(182,F:F,0),2)))</f>
        <v/>
      </c>
      <c r="B184" s="463" t="str">
        <f>IF(MAX(F:F)&lt;182,"",INDEX(F:J,MATCH(182,F:F,0),3))</f>
        <v/>
      </c>
      <c r="C184" s="4" t="str">
        <f>IF(MAX(F:F)&lt;182,"",INDEX(F:J,MATCH(182,F:F,0),4))</f>
        <v/>
      </c>
      <c r="D184" s="4" t="str">
        <f>IF(MAX(F:F)&lt;182,"",INDEX(F:J,MATCH(182,F:F,0),5))</f>
        <v/>
      </c>
      <c r="E184" s="73">
        <f t="shared" si="8"/>
        <v>37</v>
      </c>
      <c r="F184" s="73" t="str">
        <f t="shared" si="9"/>
        <v/>
      </c>
      <c r="G184" s="397" t="str">
        <f>IF(H184="","",IF(AND(G134="",G135="",G136="",G137="",G138="",G139="",G140="",G141="",G142="",G143="",G144="",G145="",G146="",G147="",G148="",G149="",G150="",G151="",G152="",G153="",G154="",G155="",G156="",G157="",G158="",G159="",G160="",G161="",G162="",G163="",G164="",G165="",G166="",G167="",G168="",G169="",G170="",G171="",G172="",G173="",G174="",G175="",G176="",G177="",G178="",G179="",G180="",G181="",G182="",G183=""),"Craft",""))</f>
        <v/>
      </c>
      <c r="H184" s="12" t="str">
        <f>'9a-Optional'!AZ25</f>
        <v/>
      </c>
      <c r="J184" s="265">
        <f>'9a-Optional'!BA25</f>
        <v>0</v>
      </c>
    </row>
    <row r="185" spans="1:10" ht="16">
      <c r="A185" s="400" t="str">
        <f>IF(MAX(F:F)&lt;183,"",IF(INDEX(F:J,MATCH(183,F:F,0),2)=0,"",INDEX(F:J,MATCH(183,F:F,0),2)))</f>
        <v/>
      </c>
      <c r="B185" s="463" t="str">
        <f>IF(MAX(F:F)&lt;183,"",INDEX(F:J,MATCH(183,F:F,0),3))</f>
        <v/>
      </c>
      <c r="C185" s="4" t="str">
        <f>IF(MAX(F:F)&lt;183,"",INDEX(F:J,MATCH(183,F:F,0),4))</f>
        <v/>
      </c>
      <c r="D185" s="4" t="str">
        <f>IF(MAX(F:F)&lt;183,"",INDEX(F:J,MATCH(183,F:F,0),5))</f>
        <v/>
      </c>
      <c r="E185" s="73">
        <f t="shared" si="8"/>
        <v>37</v>
      </c>
      <c r="F185" s="73" t="str">
        <f t="shared" si="9"/>
        <v/>
      </c>
      <c r="G185" s="397" t="str">
        <f>IF(H185="","",IF(AND(G134="",G135="",G136="",G137="",G138="",G139="",G140="",G141="",G142="",G143="",G144="",G145="",G146="",G147="",G148="",G149="",G150="",G151="",G152="",G153="",G154="",G155="",G156="",G157="",G158="",G159="",G160="",G161="",G162="",G163="",G164="",G165="",G166="",G167="",G168="",G169="",G170="",G171="",G172="",G173="",G174="",G175="",G176="",G177="",G178="",G179="",G180="",G181="",G182="",G183="",G184=""),"Craft",""))</f>
        <v/>
      </c>
      <c r="H185" s="12" t="str">
        <f>'9a-Optional'!AZ26</f>
        <v/>
      </c>
      <c r="J185" s="265">
        <f>'9a-Optional'!BA26</f>
        <v>0</v>
      </c>
    </row>
    <row r="186" spans="1:10" ht="16">
      <c r="A186" s="400" t="str">
        <f>IF(MAX(F:F)&lt;184,"",IF(INDEX(F:J,MATCH(184,F:F,0),2)=0,"",INDEX(F:J,MATCH(184,F:F,0),2)))</f>
        <v/>
      </c>
      <c r="B186" s="463" t="str">
        <f>IF(MAX(F:F)&lt;184,"",INDEX(F:J,MATCH(184,F:F,0),3))</f>
        <v/>
      </c>
      <c r="C186" s="4" t="str">
        <f>IF(MAX(F:F)&lt;184,"",INDEX(F:J,MATCH(184,F:F,0),4))</f>
        <v/>
      </c>
      <c r="D186" s="4" t="str">
        <f>IF(MAX(F:F)&lt;184,"",INDEX(F:J,MATCH(184,F:F,0),5))</f>
        <v/>
      </c>
      <c r="E186" s="73">
        <f t="shared" si="8"/>
        <v>37</v>
      </c>
      <c r="F186" s="73" t="str">
        <f t="shared" si="9"/>
        <v/>
      </c>
      <c r="G186" s="397" t="str">
        <f>IF(H186="","",IF(AND(G134="",G135="",G136="",G137="",G138="",G139="",G140="",G141="",G142="",G143="",G144="",G145="",G146="",G147="",G148="",G149="",G150="",G151="",G152="",G153="",G154="",G155="",G156="",G157="",G158="",G159="",G160="",G161="",G162="",G163="",G164="",G165="",G166="",G167="",G168="",G169="",G170="",G171="",G172="",G173="",G174="",G175="",G176="",G177="",G178="",G179="",G180="",G181="",G182="",G183="",G184="",G185=""),"Craft",""))</f>
        <v/>
      </c>
      <c r="H186" s="12" t="str">
        <f>'9a-Optional'!AZ27</f>
        <v/>
      </c>
      <c r="J186" s="265">
        <f>'9a-Optional'!BA27</f>
        <v>0</v>
      </c>
    </row>
    <row r="187" spans="1:10" ht="16">
      <c r="A187" s="400" t="str">
        <f>IF(MAX(F:F)&lt;185,"",IF(INDEX(F:J,MATCH(185,F:F,0),2)=0,"",INDEX(F:J,MATCH(185,F:F,0),2)))</f>
        <v/>
      </c>
      <c r="B187" s="463" t="str">
        <f>IF(MAX(F:F)&lt;185,"",INDEX(F:J,MATCH(185,F:F,0),3))</f>
        <v/>
      </c>
      <c r="C187" s="4" t="str">
        <f>IF(MAX(F:F)&lt;185,"",INDEX(F:J,MATCH(185,F:F,0),4))</f>
        <v/>
      </c>
      <c r="D187" s="4" t="str">
        <f>IF(MAX(F:F)&lt;185,"",INDEX(F:J,MATCH(185,F:F,0),5))</f>
        <v/>
      </c>
      <c r="E187" s="73">
        <f t="shared" si="8"/>
        <v>37</v>
      </c>
      <c r="F187" s="73" t="str">
        <f t="shared" si="9"/>
        <v/>
      </c>
      <c r="G187" s="397" t="str">
        <f>IF(H187="","",IF(AND(G134="",G135="",G136="",G137="",G138="",G139="",G140="",G141="",G142="",G143="",G144="",G145="",G146="",G147="",G148="",G149="",G150="",G151="",G152="",G153="",G154="",G155="",G156="",G157="",G158="",G159="",G160="",G161="",G162="",G163="",G164="",G165="",G166="",G167="",G168="",G169="",G170="",G171="",G172="",G173="",G174="",G175="",G176="",G177="",G178="",G179="",G180="",G181="",G182="",G183="",G184="",G185="",G186=""),"Craft",""))</f>
        <v/>
      </c>
      <c r="H187" s="12" t="str">
        <f>'9a-Optional'!AZ28</f>
        <v/>
      </c>
      <c r="J187" s="265">
        <f>'9a-Optional'!BA28</f>
        <v>0</v>
      </c>
    </row>
    <row r="188" spans="1:10" ht="16">
      <c r="A188" s="400" t="str">
        <f>IF(MAX(F:F)&lt;186,"",IF(INDEX(F:J,MATCH(186,F:F,0),2)=0,"",INDEX(F:J,MATCH(186,F:F,0),2)))</f>
        <v/>
      </c>
      <c r="B188" s="463" t="str">
        <f>IF(MAX(F:F)&lt;186,"",INDEX(F:J,MATCH(186,F:F,0),3))</f>
        <v/>
      </c>
      <c r="C188" s="4" t="str">
        <f>IF(MAX(F:F)&lt;186,"",INDEX(F:J,MATCH(186,F:F,0),4))</f>
        <v/>
      </c>
      <c r="D188" s="4" t="str">
        <f>IF(MAX(F:F)&lt;186,"",INDEX(F:J,MATCH(186,F:F,0),5))</f>
        <v/>
      </c>
      <c r="E188" s="73">
        <f t="shared" si="8"/>
        <v>37</v>
      </c>
      <c r="F188" s="73" t="str">
        <f t="shared" si="9"/>
        <v/>
      </c>
      <c r="G188" s="397" t="str">
        <f>IF(H188="","",IF(AND(G134="",G135="",G136="",G137="",G138="",G139="",G140="",G141="",G142="",G143="",G144="",G145="",G146="",G147="",G148="",G149="",G150="",G151="",G152="",G153="",G154="",G155="",G156="",G157="",G158="",G159="",G160="",G161="",G162="",G163="",G164="",G165="",G166="",G167="",G168="",G169="",G170="",G171="",G172="",G173="",G174="",G175="",G176="",G177="",G178="",G179="",G180="",G181="",G182="",G183="",G184="",G185="",G186="",G187=""),"Craft",""))</f>
        <v/>
      </c>
      <c r="H188" s="12" t="str">
        <f>'9a-Optional'!AZ29</f>
        <v/>
      </c>
      <c r="J188" s="265">
        <f>'9a-Optional'!BA29</f>
        <v>0</v>
      </c>
    </row>
    <row r="189" spans="1:10" ht="16">
      <c r="A189" s="400" t="str">
        <f>IF(MAX(F:F)&lt;187,"",IF(INDEX(F:J,MATCH(187,F:F,0),2)=0,"",INDEX(F:J,MATCH(187,F:F,0),2)))</f>
        <v/>
      </c>
      <c r="B189" s="463" t="str">
        <f>IF(MAX(F:F)&lt;187,"",INDEX(F:J,MATCH(187,F:F,0),3))</f>
        <v/>
      </c>
      <c r="C189" s="4" t="str">
        <f>IF(MAX(F:F)&lt;187,"",INDEX(F:J,MATCH(187,F:F,0),4))</f>
        <v/>
      </c>
      <c r="D189" s="4" t="str">
        <f>IF(MAX(F:F)&lt;187,"",INDEX(F:J,MATCH(187,F:F,0),5))</f>
        <v/>
      </c>
      <c r="E189" s="73">
        <f t="shared" si="8"/>
        <v>37</v>
      </c>
      <c r="F189" s="73" t="str">
        <f t="shared" si="9"/>
        <v/>
      </c>
      <c r="G189" s="398" t="str">
        <f>IF(H189="","",IF(AND(G134="",G135="",G136="",G137="",G138="",G139="",G140="",G141="",G142="",G143="",G144="",G145="",G146="",G147="",G148="",G149="",G150="",G151="",G152="",G153="",G154="",G155="",G156="",G157="",G158="",G159="",G160="",G161="",G162="",G163="",G164="",G165="",G166="",G167="",G168="",G169="",G170="",G171="",G172="",G173="",G174="",G175="",G176="",G177="",G178="",G179="",G180="",G181="",G182="",G183="",G184="",G185="",G186="",G187="",G188=""),"Craft",""))</f>
        <v/>
      </c>
      <c r="H189" s="12" t="str">
        <f>'9a-Optional'!AZ30</f>
        <v/>
      </c>
      <c r="J189" s="265">
        <f>'9a-Optional'!BA30</f>
        <v>0</v>
      </c>
    </row>
    <row r="190" spans="1:10" ht="16">
      <c r="A190" s="400" t="str">
        <f>IF(MAX(F:F)&lt;188,"",IF(INDEX(F:J,MATCH(188,F:F,0),2)=0,"",INDEX(F:J,MATCH(188,F:F,0),2)))</f>
        <v/>
      </c>
      <c r="B190" s="463" t="str">
        <f>IF(MAX(F:F)&lt;188,"",INDEX(F:J,MATCH(188,F:F,0),3))</f>
        <v/>
      </c>
      <c r="C190" s="4" t="str">
        <f>IF(MAX(F:F)&lt;188,"",INDEX(F:J,MATCH(188,F:F,0),4))</f>
        <v/>
      </c>
      <c r="D190" s="4" t="str">
        <f>IF(MAX(F:F)&lt;188,"",INDEX(F:J,MATCH(188,F:F,0),5))</f>
        <v/>
      </c>
      <c r="E190" s="73">
        <f t="shared" si="8"/>
        <v>37</v>
      </c>
      <c r="F190" s="73" t="str">
        <f t="shared" si="9"/>
        <v/>
      </c>
      <c r="G190" s="401" t="str">
        <f>IF(H190="","","Systems")</f>
        <v/>
      </c>
      <c r="H190" s="391" t="str">
        <f>IF('9a-Optional'!H10=0,"",'9a-Optional'!A10&amp;": "&amp;'9a-Optional'!D10)</f>
        <v/>
      </c>
      <c r="I190" s="237">
        <f>'9a-Optional'!H10</f>
        <v>0</v>
      </c>
      <c r="J190" s="387">
        <f>'9a-Optional'!F10</f>
        <v>0</v>
      </c>
    </row>
    <row r="191" spans="1:10" ht="16">
      <c r="A191" s="400" t="str">
        <f>IF(MAX(F:F)&lt;189,"",IF(INDEX(F:J,MATCH(189,F:F,0),2)=0,"",INDEX(F:J,MATCH(189,F:F,0),2)))</f>
        <v/>
      </c>
      <c r="B191" s="463" t="str">
        <f>IF(MAX(F:F)&lt;189,"",INDEX(F:J,MATCH(189,F:F,0),3))</f>
        <v/>
      </c>
      <c r="C191" s="4" t="str">
        <f>IF(MAX(F:F)&lt;189,"",INDEX(F:J,MATCH(189,F:F,0),4))</f>
        <v/>
      </c>
      <c r="D191" s="4" t="str">
        <f>IF(MAX(F:F)&lt;189,"",INDEX(F:J,MATCH(189,F:F,0),5))</f>
        <v/>
      </c>
      <c r="E191" s="73">
        <f t="shared" si="8"/>
        <v>38</v>
      </c>
      <c r="F191" s="73">
        <f t="shared" si="9"/>
        <v>38</v>
      </c>
      <c r="G191" s="397" t="str">
        <f>IF(H191="","",IF(G190="","Systems",""))</f>
        <v>Systems</v>
      </c>
      <c r="H191" s="12" t="str">
        <f>IF('9a-Optional'!H11=0,"",'9a-Optional'!A11&amp;": "&amp;'9a-Optional'!D11)</f>
        <v>Advanced Probe Drones: 50 Probes</v>
      </c>
      <c r="I191" s="4">
        <f>'9a-Optional'!H11</f>
        <v>10</v>
      </c>
      <c r="J191" s="265">
        <f>'9a-Optional'!F11</f>
        <v>8000000</v>
      </c>
    </row>
    <row r="192" spans="1:10" ht="16">
      <c r="A192" s="400" t="str">
        <f>IF(MAX(F:F)&lt;190,"",IF(INDEX(F:J,MATCH(190,F:F,0),2)=0,"",INDEX(F:J,MATCH(190,F:F,0),2)))</f>
        <v/>
      </c>
      <c r="B192" s="463" t="str">
        <f>IF(MAX(F:F)&lt;190,"",INDEX(F:J,MATCH(190,F:F,0),3))</f>
        <v/>
      </c>
      <c r="C192" s="4" t="str">
        <f>IF(MAX(F:F)&lt;190,"",INDEX(F:J,MATCH(190,F:F,0),4))</f>
        <v/>
      </c>
      <c r="D192" s="4" t="str">
        <f>IF(MAX(F:F)&lt;190,"",INDEX(F:J,MATCH(190,F:F,0),5))</f>
        <v/>
      </c>
      <c r="E192" s="73">
        <f t="shared" si="8"/>
        <v>38</v>
      </c>
      <c r="F192" s="73" t="str">
        <f t="shared" si="9"/>
        <v/>
      </c>
      <c r="G192" s="397" t="str">
        <f>IF(H192="","",IF(AND(G190="",G191=""),"Systems",""))</f>
        <v/>
      </c>
      <c r="H192" s="12" t="str">
        <f>IF('9a-Optional'!H12=0,"",'9a-Optional'!A12&amp;": "&amp;'9a-Optional'!D12)</f>
        <v/>
      </c>
      <c r="I192" s="4">
        <f>'9a-Optional'!H12</f>
        <v>0</v>
      </c>
      <c r="J192" s="265">
        <f>'9a-Optional'!F12</f>
        <v>0</v>
      </c>
    </row>
    <row r="193" spans="1:10" ht="15" customHeight="1">
      <c r="A193" s="400" t="str">
        <f>IF(MAX(F:F)&lt;191,"",IF(INDEX(F:J,MATCH(191,F:F,0),2)=0,"",INDEX(F:J,MATCH(191,F:F,0),2)))</f>
        <v/>
      </c>
      <c r="B193" s="463" t="str">
        <f>IF(MAX(F:F)&lt;191,"",INDEX(F:J,MATCH(191,F:F,0),3))</f>
        <v/>
      </c>
      <c r="C193" s="4" t="str">
        <f>IF(MAX(F:F)&lt;191,"",INDEX(F:J,MATCH(191,F:F,0),4))</f>
        <v/>
      </c>
      <c r="D193" s="4" t="str">
        <f>IF(MAX(F:F)&lt;191,"",INDEX(F:J,MATCH(191,F:F,0),5))</f>
        <v/>
      </c>
      <c r="E193" s="73">
        <f t="shared" si="8"/>
        <v>39</v>
      </c>
      <c r="F193" s="73">
        <f t="shared" si="9"/>
        <v>39</v>
      </c>
      <c r="G193" s="397" t="str">
        <f>IF(H193="","",IF(AND(G190="",G191="",G192=""),"Systems",""))</f>
        <v/>
      </c>
      <c r="H193" s="12" t="str">
        <f>IF('9a-Optional'!H13=0,"",'9a-Optional'!A13)</f>
        <v>Repair Drones</v>
      </c>
      <c r="I193" s="4">
        <f>'9a-Optional'!H13</f>
        <v>3</v>
      </c>
      <c r="J193" s="265">
        <f>'9a-Optional'!F13</f>
        <v>600000</v>
      </c>
    </row>
    <row r="194" spans="1:10" ht="16">
      <c r="A194" s="400" t="str">
        <f>IF(MAX(F:F)&lt;192,"",IF(INDEX(F:J,MATCH(192,F:F,0),2)=0,"",INDEX(F:J,MATCH(192,F:F,0),2)))</f>
        <v/>
      </c>
      <c r="B194" s="463" t="str">
        <f>IF(MAX(F:F)&lt;192,"",INDEX(F:J,MATCH(192,F:F,0),3))</f>
        <v/>
      </c>
      <c r="C194" s="4" t="str">
        <f>IF(MAX(F:F)&lt;192,"",INDEX(F:J,MATCH(192,F:F,0),4))</f>
        <v/>
      </c>
      <c r="D194" s="4" t="str">
        <f>IF(MAX(F:F)&lt;192,"",INDEX(F:J,MATCH(192,F:F,0),5))</f>
        <v/>
      </c>
      <c r="E194" s="73">
        <f t="shared" si="8"/>
        <v>40</v>
      </c>
      <c r="F194" s="73">
        <f t="shared" si="9"/>
        <v>40</v>
      </c>
      <c r="G194" s="397" t="str">
        <f>IF(H194="","",IF(AND(G191="",G192="",G190="",G193=""),"Systems",""))</f>
        <v/>
      </c>
      <c r="H194" s="12" t="str">
        <f>IF('4-Fuel'!$U$4='4-Fuel'!$S$4,"","Fuel Scoop "&amp;'4-Fuel'!$U$4)</f>
        <v>Fuel Scoop Included Free w/ Streamlining</v>
      </c>
      <c r="J194" s="265">
        <f>'4-Fuel'!$F$13</f>
        <v>0</v>
      </c>
    </row>
    <row r="195" spans="1:10" ht="16">
      <c r="A195" s="400" t="str">
        <f>IF(MAX(F:F)&lt;193,"",IF(INDEX(F:J,MATCH(193,F:F,0),2)=0,"",INDEX(F:J,MATCH(193,F:F,0),2)))</f>
        <v/>
      </c>
      <c r="B195" s="463" t="str">
        <f>IF(MAX(F:F)&lt;193,"",INDEX(F:J,MATCH(193,F:F,0),3))</f>
        <v/>
      </c>
      <c r="C195" s="4" t="str">
        <f>IF(MAX(F:F)&lt;193,"",INDEX(F:J,MATCH(193,F:F,0),4))</f>
        <v/>
      </c>
      <c r="D195" s="4" t="str">
        <f>IF(MAX(F:F)&lt;193,"",INDEX(F:J,MATCH(193,F:F,0),5))</f>
        <v/>
      </c>
      <c r="E195" s="73">
        <f t="shared" si="8"/>
        <v>41</v>
      </c>
      <c r="F195" s="73">
        <f t="shared" si="9"/>
        <v>41</v>
      </c>
      <c r="G195" s="397" t="str">
        <f>IF(H195="","",IF(AND(G192="",G193="",G191="",G190="",G194=""),"Systems",""))</f>
        <v/>
      </c>
      <c r="H195" s="12" t="str">
        <f>IF('4-Fuel'!$C$16=0,"",'4-Fuel'!$A$16&amp;" "&amp;'4-Fuel'!$B$16&amp;" Tons Per Day")</f>
        <v>Fuel Processor 100 Tons Per Day</v>
      </c>
      <c r="I195" s="4">
        <f>'4-Fuel'!$H$16</f>
        <v>5</v>
      </c>
      <c r="J195" s="265">
        <f>'4-Fuel'!$F$16</f>
        <v>250000</v>
      </c>
    </row>
    <row r="196" spans="1:10" ht="16">
      <c r="A196" s="400" t="str">
        <f>IF(MAX(F:F)&lt;194,"",IF(INDEX(F:J,MATCH(194,F:F,0),2)=0,"",INDEX(F:J,MATCH(194,F:F,0),2)))</f>
        <v/>
      </c>
      <c r="B196" s="463" t="str">
        <f>IF(MAX(F:F)&lt;194,"",INDEX(F:J,MATCH(194,F:F,0),3))</f>
        <v/>
      </c>
      <c r="C196" s="4" t="str">
        <f>IF(MAX(F:F)&lt;194,"",INDEX(F:J,MATCH(194,F:F,0),4))</f>
        <v/>
      </c>
      <c r="D196" s="4" t="str">
        <f>IF(MAX(F:F)&lt;194,"",INDEX(F:J,MATCH(194,F:F,0),5))</f>
        <v/>
      </c>
      <c r="E196" s="73">
        <f t="shared" si="8"/>
        <v>41</v>
      </c>
      <c r="F196" s="73" t="str">
        <f t="shared" si="9"/>
        <v/>
      </c>
      <c r="G196" s="397" t="str">
        <f>IF(H196="","",IF(AND(G190="",G191="",G194="",G195="",G192="",G193=""),"Systems",""))</f>
        <v/>
      </c>
      <c r="H196" s="12" t="str">
        <f>IF('9a-Optional'!H17=0,"",'9a-Optional'!C17&amp;"x "&amp;'9a-Optional'!A17&amp;IF('9a-Optional'!C19="No","",", Combined with Forced Linkage"))</f>
        <v/>
      </c>
      <c r="I196" s="4">
        <f>'9a-Optional'!H17</f>
        <v>0</v>
      </c>
      <c r="J196" s="265">
        <f>'9a-Optional'!F17</f>
        <v>0</v>
      </c>
    </row>
    <row r="197" spans="1:10" ht="16">
      <c r="A197" s="400" t="str">
        <f>IF(MAX(F:F)&lt;195,"",IF(INDEX(F:J,MATCH(195,F:F,0),2)=0,"",INDEX(F:J,MATCH(195,F:F,0),2)))</f>
        <v/>
      </c>
      <c r="B197" s="463" t="str">
        <f>IF(MAX(F:F)&lt;195,"",INDEX(F:J,MATCH(195,F:F,0),3))</f>
        <v/>
      </c>
      <c r="C197" s="4" t="str">
        <f>IF(MAX(F:F)&lt;195,"",INDEX(F:J,MATCH(195,F:F,0),4))</f>
        <v/>
      </c>
      <c r="D197" s="4" t="str">
        <f>IF(MAX(F:F)&lt;195,"",INDEX(F:J,MATCH(195,F:F,0),5))</f>
        <v/>
      </c>
      <c r="E197" s="73">
        <f t="shared" ref="E197:E201" si="10">IF(H197="",E196,E196+1)</f>
        <v>41</v>
      </c>
      <c r="F197" s="73" t="str">
        <f t="shared" ref="F197:F201" si="11">IF(E197=E196,"",E197)</f>
        <v/>
      </c>
      <c r="G197" s="397" t="str">
        <f>IF(H197="","",IF(AND(G190="",G191="",G192="",G193="",G194="",G195="",G196=""),"Systems",""))</f>
        <v/>
      </c>
      <c r="H197" s="12" t="str">
        <f>IF('9a-Optional'!H18=0,"",'9a-Optional'!C18&amp;"x "&amp;"TL"&amp;'9a-Optional'!E18&amp;" "&amp;'9a-Optional'!A18)</f>
        <v/>
      </c>
      <c r="I197" s="4">
        <f>'9a-Optional'!H18</f>
        <v>0</v>
      </c>
      <c r="J197" s="265">
        <f>'9a-Optional'!F18</f>
        <v>0</v>
      </c>
    </row>
    <row r="198" spans="1:10" ht="16">
      <c r="A198" s="400" t="str">
        <f>IF(MAX(F:F)&lt;196,"",IF(INDEX(F:J,MATCH(196,F:F,0),2)=0,"",INDEX(F:J,MATCH(196,F:F,0),2)))</f>
        <v/>
      </c>
      <c r="B198" s="463" t="str">
        <f>IF(MAX(F:F)&lt;196,"",INDEX(F:J,MATCH(196,F:F,0),3))</f>
        <v/>
      </c>
      <c r="C198" s="4" t="str">
        <f>IF(MAX(F:F)&lt;196,"",INDEX(F:J,MATCH(196,F:F,0),4))</f>
        <v/>
      </c>
      <c r="D198" s="4" t="str">
        <f>IF(MAX(F:F)&lt;196,"",INDEX(F:J,MATCH(196,F:F,0),5))</f>
        <v/>
      </c>
      <c r="E198" s="73">
        <f t="shared" si="10"/>
        <v>41</v>
      </c>
      <c r="F198" s="73" t="str">
        <f t="shared" si="11"/>
        <v/>
      </c>
      <c r="G198" s="397" t="str">
        <f>IF(H198="","",IF(AND(G190="",G191="",G192="",G193="",G194="",G195="",G196="",G197=""),"Systems",""))</f>
        <v/>
      </c>
      <c r="H198" s="12" t="str">
        <f>IF('9a-Optional'!H20=0,"",'9a-Optional'!C20&amp;"x "&amp;'9a-Optional'!A20)</f>
        <v/>
      </c>
      <c r="I198" s="4">
        <f>'9a-Optional'!H20</f>
        <v>0</v>
      </c>
      <c r="J198" s="265">
        <f>'9a-Optional'!F20</f>
        <v>0</v>
      </c>
    </row>
    <row r="199" spans="1:10" ht="16">
      <c r="A199" s="400" t="str">
        <f>IF(MAX(F:F)&lt;197,"",IF(INDEX(F:J,MATCH(197,F:F,0),2)=0,"",INDEX(F:J,MATCH(197,F:F,0),2)))</f>
        <v/>
      </c>
      <c r="B199" s="463" t="str">
        <f>IF(MAX(F:F)&lt;197,"",INDEX(F:J,MATCH(197,F:F,0),3))</f>
        <v/>
      </c>
      <c r="C199" s="4" t="str">
        <f>IF(MAX(F:F)&lt;197,"",INDEX(F:J,MATCH(197,F:F,0),4))</f>
        <v/>
      </c>
      <c r="D199" s="4" t="str">
        <f>IF(MAX(F:F)&lt;197,"",INDEX(F:J,MATCH(197,F:F,0),5))</f>
        <v/>
      </c>
      <c r="E199" s="73">
        <f t="shared" si="10"/>
        <v>41</v>
      </c>
      <c r="F199" s="73" t="str">
        <f t="shared" si="11"/>
        <v/>
      </c>
      <c r="G199" s="397" t="str">
        <f>IF(H199="","",IF(AND(G190="",G191="",G192="",G193="",G194="",G195="",G196="",G197="",G198=""),"Systems",""))</f>
        <v/>
      </c>
      <c r="H199" s="12" t="str">
        <f>IF('9a-Optional'!H21=0,"",'9a-Optional'!C21&amp;"x "&amp;'9a-Optional'!A21)</f>
        <v/>
      </c>
      <c r="I199" s="4">
        <f>'9a-Optional'!H21</f>
        <v>0</v>
      </c>
      <c r="J199" s="265">
        <f>'9a-Optional'!F21</f>
        <v>0</v>
      </c>
    </row>
    <row r="200" spans="1:10" ht="16">
      <c r="A200" s="400" t="str">
        <f>IF(MAX(F:F)&lt;198,"",IF(INDEX(F:J,MATCH(198,F:F,0),2)=0,"",INDEX(F:J,MATCH(198,F:F,0),2)))</f>
        <v/>
      </c>
      <c r="B200" s="463" t="str">
        <f>IF(MAX(F:F)&lt;198,"",INDEX(F:J,MATCH(198,F:F,0),3))</f>
        <v/>
      </c>
      <c r="C200" s="4" t="str">
        <f>IF(MAX(F:F)&lt;198,"",INDEX(F:J,MATCH(198,F:F,0),4))</f>
        <v/>
      </c>
      <c r="D200" s="4" t="str">
        <f>IF(MAX(F:F)&lt;198,"",INDEX(F:J,MATCH(198,F:F,0),5))</f>
        <v/>
      </c>
      <c r="E200" s="73">
        <f t="shared" si="10"/>
        <v>41</v>
      </c>
      <c r="F200" s="73" t="str">
        <f t="shared" si="11"/>
        <v/>
      </c>
      <c r="G200" s="397" t="str">
        <f>IF(H200="","",IF(AND(G190="",G191="",G192="",G193="",G194="",G195="",G196="",G197="",G198="",G199=""),"Systems",""))</f>
        <v/>
      </c>
      <c r="H200" s="12" t="str">
        <f>IF('9a-Optional'!H22=0,"",'9a-Optional'!C22&amp;"x "&amp;'9a-Optional'!A22)</f>
        <v/>
      </c>
      <c r="I200" s="4">
        <f>'9a-Optional'!H22</f>
        <v>0</v>
      </c>
      <c r="J200" s="265">
        <f>'9a-Optional'!F22</f>
        <v>0</v>
      </c>
    </row>
    <row r="201" spans="1:10" ht="16">
      <c r="A201" s="400" t="str">
        <f>IF(MAX(F:F)&lt;199,"",IF(INDEX(F:J,MATCH(199,F:F,0),2)=0,"",INDEX(F:J,MATCH(199,F:F,0),2)))</f>
        <v/>
      </c>
      <c r="B201" s="463" t="str">
        <f>IF(MAX(F:F)&lt;199,"",INDEX(F:J,MATCH(199,F:F,0),3))</f>
        <v/>
      </c>
      <c r="C201" s="4" t="str">
        <f>IF(MAX(F:F)&lt;199,"",INDEX(F:J,MATCH(199,F:F,0),4))</f>
        <v/>
      </c>
      <c r="D201" s="4" t="str">
        <f>IF(MAX(F:F)&lt;199,"",INDEX(F:J,MATCH(199,F:F,0),5))</f>
        <v/>
      </c>
      <c r="E201" s="73">
        <f t="shared" si="10"/>
        <v>41</v>
      </c>
      <c r="F201" s="73" t="str">
        <f t="shared" si="11"/>
        <v/>
      </c>
      <c r="G201" s="397" t="str">
        <f>IF(H201="","",IF(AND(G190="",G191="",G192="",G193="",G194="",G195="",G196="",G197="",G198="",G199="",G200=""),"Systems",""))</f>
        <v/>
      </c>
      <c r="H201" s="12" t="str">
        <f>IF('9a-Optional'!H23=0,"",'9a-Optional'!A23&amp;": "&amp;'9a-Optional'!D23)</f>
        <v/>
      </c>
      <c r="I201" s="4">
        <f>'9a-Optional'!H23</f>
        <v>0</v>
      </c>
      <c r="J201" s="265">
        <f>'9a-Optional'!F23</f>
        <v>0</v>
      </c>
    </row>
    <row r="202" spans="1:10" ht="16">
      <c r="A202" s="400" t="str">
        <f>IF(MAX(F:F)&lt;200,"",IF(INDEX(F:J,MATCH(200,F:F,0),2)=0,"",INDEX(F:J,MATCH(200,F:F,0),2)))</f>
        <v/>
      </c>
      <c r="B202" s="463" t="str">
        <f>IF(MAX(F:F)&lt;200,"",INDEX(F:J,MATCH(200,F:F,0),3))</f>
        <v/>
      </c>
      <c r="C202" s="4" t="str">
        <f>IF(MAX(F:F)&lt;200,"",INDEX(F:J,MATCH(200,F:F,0),4))</f>
        <v/>
      </c>
      <c r="D202" s="4" t="str">
        <f>IF(MAX(F:F)&lt;200,"",INDEX(F:J,MATCH(200,F:F,0),5))</f>
        <v/>
      </c>
      <c r="E202" s="73">
        <f t="shared" ref="E202:E265" si="12">IF(H202="",E201,E201+1)</f>
        <v>41</v>
      </c>
      <c r="F202" s="73" t="str">
        <f t="shared" ref="F202:F265" si="13">IF(E202=E201,"",E202)</f>
        <v/>
      </c>
      <c r="G202" s="397" t="str">
        <f>IF(H202="","",IF(AND(G190="",G191="",G192="",G193="",G194="",G195="",G196="",G197="",G198="",G199="",G200="",G201=""),"Systems",""))</f>
        <v/>
      </c>
      <c r="H202" s="12" t="str">
        <f>IF(AND('9a-Optional'!U66&gt;0,'9a-Optional'!C24&gt;0),"GP Mass Driver Total Capacity "&amp;50*'9a-Optional'!U66+('9a-Optional'!C24/2)&amp;" tons","")</f>
        <v/>
      </c>
      <c r="I202" s="4">
        <f>'9a-Optional'!H24</f>
        <v>0</v>
      </c>
      <c r="J202" s="4">
        <f>'9a-Optional'!F24</f>
        <v>0</v>
      </c>
    </row>
    <row r="203" spans="1:10" ht="16">
      <c r="A203" s="400" t="str">
        <f>IF(MAX(F:F)&lt;201,"",IF(INDEX(F:J,MATCH(201,F:F,0),2)=0,"",INDEX(F:J,MATCH(201,F:F,0),2)))</f>
        <v/>
      </c>
      <c r="B203" s="463" t="str">
        <f>IF(MAX(F:F)&lt;201,"",INDEX(F:J,MATCH(201,F:F,0),3))</f>
        <v/>
      </c>
      <c r="C203" s="4" t="str">
        <f>IF(MAX(F:F)&lt;201,"",INDEX(F:J,MATCH(201,F:F,0),4))</f>
        <v/>
      </c>
      <c r="D203" s="4" t="str">
        <f>IF(MAX(F:F)&lt;201,"",INDEX(F:J,MATCH(201,F:F,0),5))</f>
        <v/>
      </c>
      <c r="E203" s="73">
        <f t="shared" si="12"/>
        <v>42</v>
      </c>
      <c r="F203" s="73">
        <f t="shared" si="13"/>
        <v>42</v>
      </c>
      <c r="G203" s="397" t="str">
        <f>IF(H203="","",IF(AND(G190="",G191="",G192="",G193="",G194="",G195="",G196="",G197="",G198="",G199="",G200="",G202="",G201=""),"Systems",""))</f>
        <v/>
      </c>
      <c r="H203" s="12" t="str">
        <f>IF('9a-Optional'!B28=" Not Installed","",'9a-Optional'!C28&amp;"x "&amp;'9a-Optional'!D28&amp;" ton Airlock"&amp;IF(OR('9a-Optional'!I28=0,'9a-Optional'!I28=""),"",": "&amp;'9a-Optional'!I28)&amp;" "&amp;IF('9a-Optional'!B28='9a-Optional'!$S$21,"",": "&amp;LEFT('9a-Optional'!B28,4)&amp;" Defense"))</f>
        <v xml:space="preserve">3x 2 ton Airlock </v>
      </c>
      <c r="I203" s="4">
        <f>'9a-Optional'!H28</f>
        <v>0</v>
      </c>
      <c r="J203" s="265">
        <f>'9a-Optional'!F28</f>
        <v>0</v>
      </c>
    </row>
    <row r="204" spans="1:10" ht="16">
      <c r="A204" s="400" t="str">
        <f>IF(MAX(F:F)&lt;202,"",IF(INDEX(F:J,MATCH(202,F:F,0),2)=0,"",INDEX(F:J,MATCH(202,F:F,0),2)))</f>
        <v/>
      </c>
      <c r="B204" s="463" t="str">
        <f>IF(MAX(F:F)&lt;202,"",INDEX(F:J,MATCH(202,F:F,0),3))</f>
        <v/>
      </c>
      <c r="C204" s="4" t="str">
        <f>IF(MAX(F:F)&lt;202,"",INDEX(F:J,MATCH(202,F:F,0),4))</f>
        <v/>
      </c>
      <c r="D204" s="4" t="str">
        <f>IF(MAX(F:F)&lt;202,"",INDEX(F:J,MATCH(202,F:F,0),5))</f>
        <v/>
      </c>
      <c r="E204" s="73">
        <f t="shared" si="12"/>
        <v>42</v>
      </c>
      <c r="F204" s="73" t="str">
        <f t="shared" si="13"/>
        <v/>
      </c>
      <c r="G204" s="397" t="str">
        <f>IF(H204="","",IF(AND(G190="",G191="",G192="",G193="",G194="",G195="",G196="",G197="",G198="",G199="",G200="",G201="",G202="",G203=""),"Systems",""))</f>
        <v/>
      </c>
      <c r="H204" s="12" t="str">
        <f>IF('9a-Optional'!B29=" Not Installed","",'9a-Optional'!C29&amp;"x "&amp;'9a-Optional'!D29&amp;" ton Airlock"&amp;IF(OR('9a-Optional'!I29=0,'9a-Optional'!I29=""),"",": "&amp;'9a-Optional'!I29)&amp;" "&amp;IF('9a-Optional'!B29='9a-Optional'!$S$21,"",": "&amp;LEFT('9a-Optional'!B29,4)&amp;" Defense"))</f>
        <v/>
      </c>
      <c r="I204" s="4">
        <f>'9a-Optional'!H29</f>
        <v>0</v>
      </c>
      <c r="J204" s="265">
        <f>'9a-Optional'!F29</f>
        <v>0</v>
      </c>
    </row>
    <row r="205" spans="1:10" ht="16">
      <c r="A205" s="400" t="str">
        <f>IF(MAX(F:F)&lt;203,"",IF(INDEX(F:J,MATCH(203,F:F,0),2)=0,"",INDEX(F:J,MATCH(203,F:F,0),2)))</f>
        <v/>
      </c>
      <c r="B205" s="463" t="str">
        <f>IF(MAX(F:F)&lt;203,"",INDEX(F:J,MATCH(203,F:F,0),3))</f>
        <v/>
      </c>
      <c r="C205" s="4" t="str">
        <f>IF(MAX(F:F)&lt;203,"",INDEX(F:J,MATCH(203,F:F,0),4))</f>
        <v/>
      </c>
      <c r="D205" s="4" t="str">
        <f>IF(MAX(F:F)&lt;203,"",INDEX(F:J,MATCH(203,F:F,0),5))</f>
        <v/>
      </c>
      <c r="E205" s="73">
        <f t="shared" si="12"/>
        <v>42</v>
      </c>
      <c r="F205" s="73" t="str">
        <f t="shared" si="13"/>
        <v/>
      </c>
      <c r="G205" s="397" t="str">
        <f>IF(H205="","",IF(AND(G190="",G191="",G192="",G193="",G194="",G195="",G196="",G197="",G198="",G199="",G200="",G201="",G202="",G203="",G204=""),"Systems",""))</f>
        <v/>
      </c>
      <c r="H205" s="12" t="str">
        <f>IF('9a-Optional'!B30=" Not Installed","",'9a-Optional'!C30&amp;"x "&amp;'9a-Optional'!D30&amp;" ton Airlock"&amp;IF(OR('9a-Optional'!I30=0,'9a-Optional'!I30=""),"",": "&amp;'9a-Optional'!I30)&amp;" "&amp;IF('9a-Optional'!B30='9a-Optional'!$S$21,"",": "&amp;LEFT('9a-Optional'!B30,4)&amp;" Defense"))</f>
        <v/>
      </c>
      <c r="I205" s="4">
        <f>'9a-Optional'!H30</f>
        <v>0</v>
      </c>
      <c r="J205" s="265">
        <f>'9a-Optional'!F30</f>
        <v>0</v>
      </c>
    </row>
    <row r="206" spans="1:10" ht="16">
      <c r="A206" s="400" t="str">
        <f>IF(MAX(F:F)&lt;204,"",IF(INDEX(F:J,MATCH(204,F:F,0),2)=0,"",INDEX(F:J,MATCH(204,F:F,0),2)))</f>
        <v/>
      </c>
      <c r="B206" s="463" t="str">
        <f>IF(MAX(F:F)&lt;204,"",INDEX(F:J,MATCH(204,F:F,0),3))</f>
        <v/>
      </c>
      <c r="C206" s="4" t="str">
        <f>IF(MAX(F:F)&lt;204,"",INDEX(F:J,MATCH(204,F:F,0),4))</f>
        <v/>
      </c>
      <c r="D206" s="4" t="str">
        <f>IF(MAX(F:F)&lt;204,"",INDEX(F:J,MATCH(204,F:F,0),5))</f>
        <v/>
      </c>
      <c r="E206" s="73">
        <f t="shared" si="12"/>
        <v>42</v>
      </c>
      <c r="F206" s="73" t="str">
        <f t="shared" si="13"/>
        <v/>
      </c>
      <c r="G206" s="397" t="str">
        <f>IF(H206="","",IF(AND(G190="",G191="",G192="",G193="",G194="",G195="",G196="",G197="",G198="",G199="",G200="",G201="",G202="",G203="",G204="",G205=""),"Systems",""))</f>
        <v/>
      </c>
      <c r="H206" s="12" t="str">
        <f>IF('9a-Optional'!B31=" Not Installed","",'9a-Optional'!C31&amp;"x "&amp;'9a-Optional'!D31&amp;" ton Airlock"&amp;IF(OR('9a-Optional'!I31=0,'9a-Optional'!I31=""),"",": "&amp;'9a-Optional'!I31)&amp;" "&amp;IF('9a-Optional'!B31='9a-Optional'!$S$21,"",": "&amp;LEFT('9a-Optional'!B31,4)&amp;" Defense"))</f>
        <v/>
      </c>
      <c r="I206" s="4">
        <f>'9a-Optional'!H31</f>
        <v>0</v>
      </c>
      <c r="J206" s="265">
        <f>'9a-Optional'!F31</f>
        <v>0</v>
      </c>
    </row>
    <row r="207" spans="1:10" ht="16">
      <c r="A207" s="400" t="str">
        <f>IF(MAX(F:F)&lt;205,"",IF(INDEX(F:J,MATCH(205,F:F,0),2)=0,"",INDEX(F:J,MATCH(205,F:F,0),2)))</f>
        <v/>
      </c>
      <c r="B207" s="463" t="str">
        <f>IF(MAX(F:F)&lt;205,"",INDEX(F:J,MATCH(205,F:F,0),3))</f>
        <v/>
      </c>
      <c r="C207" s="4" t="str">
        <f>IF(MAX(F:F)&lt;205,"",INDEX(F:J,MATCH(205,F:F,0),4))</f>
        <v/>
      </c>
      <c r="D207" s="4" t="str">
        <f>IF(MAX(F:F)&lt;205,"",INDEX(F:J,MATCH(205,F:F,0),5))</f>
        <v/>
      </c>
      <c r="E207" s="73">
        <f t="shared" si="12"/>
        <v>42</v>
      </c>
      <c r="F207" s="73" t="str">
        <f t="shared" si="13"/>
        <v/>
      </c>
      <c r="G207" s="397" t="str">
        <f>IF(H207="","",IF(AND(G190="",G191="",G192="",G193="",G194="",G195="",G196="",G197="",G198="",G199="",G200="",G201="",G202="",G203="",G204="",G205="",G206=""),"Systems",""))</f>
        <v/>
      </c>
      <c r="H207" s="12" t="str">
        <f>IF('9a-Optional'!B32=" Not Installed","",'9a-Optional'!C32&amp;"x "&amp;'9a-Optional'!D32&amp;" ton Airlock"&amp;IF(OR('9a-Optional'!I32=0,'9a-Optional'!I32=""),"",": "&amp;'9a-Optional'!I32)&amp;" "&amp;IF('9a-Optional'!B32='9a-Optional'!$S$21,"",": "&amp;LEFT('9a-Optional'!B32,4)&amp;" Defense"))</f>
        <v/>
      </c>
      <c r="I207" s="4">
        <f>'9a-Optional'!H32</f>
        <v>0</v>
      </c>
      <c r="J207" s="265">
        <f>'9a-Optional'!F32</f>
        <v>0</v>
      </c>
    </row>
    <row r="208" spans="1:10" ht="16">
      <c r="A208" s="400" t="str">
        <f>IF(MAX(F:F)&lt;206,"",IF(INDEX(F:J,MATCH(206,F:F,0),2)=0,"",INDEX(F:J,MATCH(206,F:F,0),2)))</f>
        <v/>
      </c>
      <c r="B208" s="463" t="str">
        <f>IF(MAX(F:F)&lt;206,"",INDEX(F:J,MATCH(206,F:F,0),3))</f>
        <v/>
      </c>
      <c r="C208" s="4" t="str">
        <f>IF(MAX(F:F)&lt;206,"",INDEX(F:J,MATCH(206,F:F,0),4))</f>
        <v/>
      </c>
      <c r="D208" s="4" t="str">
        <f>IF(MAX(F:F)&lt;206,"",INDEX(F:J,MATCH(206,F:F,0),5))</f>
        <v/>
      </c>
      <c r="E208" s="73">
        <f t="shared" si="12"/>
        <v>42</v>
      </c>
      <c r="F208" s="73" t="str">
        <f t="shared" si="13"/>
        <v/>
      </c>
      <c r="G208" s="397" t="str">
        <f>IF(H208="","",IF(AND(G190="",G191="",G192="",G193="",G194="",G195="",G196="",G197="",G198="",G199="",G200="",G201="",G202="",G203="",G204="",G205="",G206="",G207=""),"Systems",""))</f>
        <v/>
      </c>
      <c r="H208" s="12" t="str">
        <f>IF('9a-Optional'!B33=" Not Installed","",'9a-Optional'!C33&amp;"x "&amp;'9a-Optional'!D33&amp;" ton Airlock"&amp;IF(OR('9a-Optional'!I33=0,'9a-Optional'!I33=""),"",": "&amp;'9a-Optional'!I33)&amp;" "&amp;IF('9a-Optional'!B33='9a-Optional'!$S$21,"",": "&amp;LEFT('9a-Optional'!B33,4)&amp;" Defense"))</f>
        <v/>
      </c>
      <c r="I208" s="4">
        <f>'9a-Optional'!H33</f>
        <v>0</v>
      </c>
      <c r="J208" s="265">
        <f>'9a-Optional'!F33</f>
        <v>0</v>
      </c>
    </row>
    <row r="209" spans="1:10" ht="16">
      <c r="A209" s="400" t="str">
        <f>IF(MAX(F:F)&lt;207,"",IF(INDEX(F:J,MATCH(207,F:F,0),2)=0,"",INDEX(F:J,MATCH(207,F:F,0),2)))</f>
        <v/>
      </c>
      <c r="B209" s="463" t="str">
        <f>IF(MAX(F:F)&lt;207,"",INDEX(F:J,MATCH(207,F:F,0),3))</f>
        <v/>
      </c>
      <c r="C209" s="4" t="str">
        <f>IF(MAX(F:F)&lt;207,"",INDEX(F:J,MATCH(207,F:F,0),4))</f>
        <v/>
      </c>
      <c r="D209" s="4" t="str">
        <f>IF(MAX(F:F)&lt;207,"",INDEX(F:J,MATCH(207,F:F,0),5))</f>
        <v/>
      </c>
      <c r="E209" s="73">
        <f t="shared" si="12"/>
        <v>42</v>
      </c>
      <c r="F209" s="73" t="str">
        <f t="shared" si="13"/>
        <v/>
      </c>
      <c r="G209" s="397" t="str">
        <f>IF(H209="","",IF(AND(G190="",G191="",G192="",G193="",G194="",G195="",G196="",G197="",G198="",G199="",G200="",G201="",G202="",G203="",G204="",G205="",G206="",G207="",G208=""),"Systems",""))</f>
        <v/>
      </c>
      <c r="H209" s="12" t="str">
        <f>IF('9b-Optional'!C10=0,"",'9b-Optional'!C10&amp;"x "&amp;'9b-Optional'!B10)</f>
        <v/>
      </c>
      <c r="I209" s="4">
        <f>'9b-Optional'!H10</f>
        <v>0</v>
      </c>
      <c r="J209" s="265">
        <f>'9b-Optional'!F10</f>
        <v>0</v>
      </c>
    </row>
    <row r="210" spans="1:10" ht="16">
      <c r="A210" s="400" t="str">
        <f>IF(MAX(F:F)&lt;208,"",IF(INDEX(F:J,MATCH(208,F:F,0),2)=0,"",INDEX(F:J,MATCH(208,F:F,0),2)))</f>
        <v/>
      </c>
      <c r="B210" s="463" t="str">
        <f>IF(MAX(F:F)&lt;208,"",INDEX(F:J,MATCH(208,F:F,0),3))</f>
        <v/>
      </c>
      <c r="C210" s="4" t="str">
        <f>IF(MAX(F:F)&lt;208,"",INDEX(F:J,MATCH(208,F:F,0),4))</f>
        <v/>
      </c>
      <c r="D210" s="4" t="str">
        <f>IF(MAX(F:F)&lt;208,"",INDEX(F:J,MATCH(208,F:F,0),5))</f>
        <v/>
      </c>
      <c r="E210" s="73">
        <f t="shared" si="12"/>
        <v>42</v>
      </c>
      <c r="F210" s="73" t="str">
        <f t="shared" si="13"/>
        <v/>
      </c>
      <c r="G210" s="397" t="str">
        <f>IF(H210="","",IF(AND(G190="",G191="",G192="",G193="",G194="",G195="",G196="",G197="",G198="",G199="",G200="",G201="",G202="",G203="",G204="",G205="",G206="",G207="",G208="",G209=""),"Systems",""))</f>
        <v/>
      </c>
      <c r="H210" s="12" t="str">
        <f>IF('9b-Optional'!C11=0,"",'9b-Optional'!C11&amp;"x "&amp;'9b-Optional'!B11)</f>
        <v/>
      </c>
      <c r="I210" s="4">
        <f>'9b-Optional'!H11</f>
        <v>0</v>
      </c>
      <c r="J210" s="265">
        <f>'9b-Optional'!F11</f>
        <v>0</v>
      </c>
    </row>
    <row r="211" spans="1:10" ht="16">
      <c r="A211" s="400" t="str">
        <f>IF(MAX(F:F)&lt;209,"",IF(INDEX(F:J,MATCH(209,F:F,0),2)=0,"",INDEX(F:J,MATCH(209,F:F,0),2)))</f>
        <v/>
      </c>
      <c r="B211" s="463" t="str">
        <f>IF(MAX(F:F)&lt;209,"",INDEX(F:J,MATCH(209,F:F,0),3))</f>
        <v/>
      </c>
      <c r="C211" s="4" t="str">
        <f>IF(MAX(F:F)&lt;209,"",INDEX(F:J,MATCH(209,F:F,0),4))</f>
        <v/>
      </c>
      <c r="D211" s="4" t="str">
        <f>IF(MAX(F:F)&lt;209,"",INDEX(F:J,MATCH(209,F:F,0),5))</f>
        <v/>
      </c>
      <c r="E211" s="73">
        <f t="shared" si="12"/>
        <v>42</v>
      </c>
      <c r="F211" s="73" t="str">
        <f t="shared" si="13"/>
        <v/>
      </c>
      <c r="G211" s="397" t="str">
        <f>IF(H211="","",IF(AND(G190="",G191="",G192="",G193="",G194="",G195="",G196="",G197="",G198="",G199="",G200="",G201="",G202="",G203="",G204="",G205="",G206="",G207="",G208="",G209="",G210=""),"Systems",""))</f>
        <v/>
      </c>
      <c r="H211" s="12" t="str">
        <f>IF('9b-Optional'!C12=0,"",'9b-Optional'!C12&amp;"x "&amp;'9b-Optional'!B12)</f>
        <v/>
      </c>
      <c r="I211" s="4">
        <f>'9b-Optional'!H12</f>
        <v>0</v>
      </c>
      <c r="J211" s="265">
        <f>'9b-Optional'!F12</f>
        <v>0</v>
      </c>
    </row>
    <row r="212" spans="1:10" ht="16">
      <c r="A212" s="400" t="str">
        <f>IF(MAX(F:F)&lt;210,"",IF(INDEX(F:J,MATCH(210,F:F,0),2)=0,"",INDEX(F:J,MATCH(210,F:F,0),2)))</f>
        <v/>
      </c>
      <c r="B212" s="463" t="str">
        <f>IF(MAX(F:F)&lt;210,"",INDEX(F:J,MATCH(210,F:F,0),3))</f>
        <v/>
      </c>
      <c r="C212" s="4" t="str">
        <f>IF(MAX(F:F)&lt;210,"",INDEX(F:J,MATCH(210,F:F,0),4))</f>
        <v/>
      </c>
      <c r="D212" s="4" t="str">
        <f>IF(MAX(F:F)&lt;210,"",INDEX(F:J,MATCH(210,F:F,0),5))</f>
        <v/>
      </c>
      <c r="E212" s="73">
        <f t="shared" si="12"/>
        <v>42</v>
      </c>
      <c r="F212" s="73" t="str">
        <f t="shared" si="13"/>
        <v/>
      </c>
      <c r="G212" s="397" t="str">
        <f>IF(H212="","",IF(AND(G190="",G191="",G192="",G193="",G194="",G195="",G196="",G197="",G198="",G199="",G200="",G201="",G202="",G203="",G204="",G205="",G206="",G207="",G208="",G209="",G210="",G211=""),"Systems",""))</f>
        <v/>
      </c>
      <c r="H212" s="12" t="str">
        <f>IF('9b-Optional'!C13=0,"",'9b-Optional'!C13&amp;"x "&amp;'9b-Optional'!B13)</f>
        <v/>
      </c>
      <c r="I212" s="4">
        <f>'9b-Optional'!H13</f>
        <v>0</v>
      </c>
      <c r="J212" s="265">
        <f>'9b-Optional'!F13</f>
        <v>0</v>
      </c>
    </row>
    <row r="213" spans="1:10" ht="16">
      <c r="A213" s="400" t="str">
        <f>IF(MAX(F:F)&lt;211,"",IF(INDEX(F:J,MATCH(211,F:F,0),2)=0,"",INDEX(F:J,MATCH(211,F:F,0),2)))</f>
        <v/>
      </c>
      <c r="B213" s="463" t="str">
        <f>IF(MAX(F:F)&lt;211,"",INDEX(F:J,MATCH(211,F:F,0),3))</f>
        <v/>
      </c>
      <c r="C213" s="4" t="str">
        <f>IF(MAX(F:F)&lt;211,"",INDEX(F:J,MATCH(211,F:F,0),4))</f>
        <v/>
      </c>
      <c r="D213" s="4" t="str">
        <f>IF(MAX(F:F)&lt;211,"",INDEX(F:J,MATCH(211,F:F,0),5))</f>
        <v/>
      </c>
      <c r="E213" s="73">
        <f t="shared" si="12"/>
        <v>43</v>
      </c>
      <c r="F213" s="73">
        <f t="shared" si="13"/>
        <v>43</v>
      </c>
      <c r="G213" s="397" t="str">
        <f>IF(H213="","",IF(AND(G190="",G191="",G192="",G193="",G194="",G195="",G196="",G197="",G198="",G199="",G200="",G201="",G202="",G203="",G204="",G205="",G206="",G207="",G208="",G209="",G210="",G211="",G212=""),"Systems",""))</f>
        <v/>
      </c>
      <c r="H213" s="12" t="str">
        <f>IF('9b-Optional'!C18=0,"",'9b-Optional'!B18&amp;" for "&amp;'9b-Optional'!D18)</f>
        <v>Armory for 25 Crew/5 Marines</v>
      </c>
      <c r="I213" s="4">
        <f>'9b-Optional'!H18</f>
        <v>1</v>
      </c>
      <c r="J213" s="265">
        <f>'9b-Optional'!F18</f>
        <v>250000</v>
      </c>
    </row>
    <row r="214" spans="1:10" ht="16">
      <c r="A214" s="400" t="str">
        <f>IF(MAX(F:F)&lt;212,"",IF(INDEX(F:J,MATCH(212,F:F,0),2)=0,"",INDEX(F:J,MATCH(212,F:F,0),2)))</f>
        <v/>
      </c>
      <c r="B214" s="463" t="str">
        <f>IF(MAX(F:F)&lt;212,"",INDEX(F:J,MATCH(212,F:F,0),3))</f>
        <v/>
      </c>
      <c r="C214" s="4" t="str">
        <f>IF(MAX(F:F)&lt;212,"",INDEX(F:J,MATCH(212,F:F,0),4))</f>
        <v/>
      </c>
      <c r="D214" s="4" t="str">
        <f>IF(MAX(F:F)&lt;212,"",INDEX(F:J,MATCH(212,F:F,0),5))</f>
        <v/>
      </c>
      <c r="E214" s="73">
        <f t="shared" si="12"/>
        <v>43</v>
      </c>
      <c r="F214" s="73" t="str">
        <f t="shared" si="13"/>
        <v/>
      </c>
      <c r="G214" s="397" t="str">
        <f>IF(H214="","",IF(AND(G190="",G191="",G192="",G193="",G194="",G195="",G196="",G197="",G198="",G199="",G200="",G201="",G202="",G203="",G204="",G205="",G206="",G207="",G208="",G209="",G210="",G211="",G212="",G213=""),"Systems",""))</f>
        <v/>
      </c>
      <c r="H214" s="12" t="str">
        <f>IF('9b-Optional'!C19=0,"",'9b-Optional'!C19&amp;"x "&amp;'9b-Optional'!B19)</f>
        <v/>
      </c>
      <c r="I214" s="4">
        <f>'9b-Optional'!H19</f>
        <v>0</v>
      </c>
      <c r="J214" s="265">
        <f>'9b-Optional'!F19</f>
        <v>0</v>
      </c>
    </row>
    <row r="215" spans="1:10" ht="16">
      <c r="A215" s="400" t="str">
        <f>IF(MAX(F:F)&lt;213,"",IF(INDEX(F:J,MATCH(213,F:F,0),2)=0,"",INDEX(F:J,MATCH(213,F:F,0),2)))</f>
        <v/>
      </c>
      <c r="B215" s="463" t="str">
        <f>IF(MAX(F:F)&lt;213,"",INDEX(F:J,MATCH(213,F:F,0),3))</f>
        <v/>
      </c>
      <c r="C215" s="4" t="str">
        <f>IF(MAX(F:F)&lt;213,"",INDEX(F:J,MATCH(213,F:F,0),4))</f>
        <v/>
      </c>
      <c r="D215" s="4" t="str">
        <f>IF(MAX(F:F)&lt;213,"",INDEX(F:J,MATCH(213,F:F,0),5))</f>
        <v/>
      </c>
      <c r="E215" s="73">
        <f t="shared" si="12"/>
        <v>44</v>
      </c>
      <c r="F215" s="73">
        <f t="shared" si="13"/>
        <v>44</v>
      </c>
      <c r="G215" s="397" t="str">
        <f>IF(H215="","",IF(AND(G190="",G191="",G192="",G193="",G194="",G195="",G196="",G197="",G198="",G199="",G200="",G201="",G202="",G203="",G204="",G205="",G206="",G207="",G208="",G209="",G210="",G211="",G212="",G213="",G214=""),"Systems",""))</f>
        <v/>
      </c>
      <c r="H215" s="12" t="str">
        <f>IF('9b-Optional'!C20=0,"",'9b-Optional'!C20&amp;"x "&amp;'9b-Optional'!B20)</f>
        <v>1x Briefing Room</v>
      </c>
      <c r="I215" s="4">
        <f>'9b-Optional'!H20</f>
        <v>4</v>
      </c>
      <c r="J215" s="265">
        <f>'9b-Optional'!F20</f>
        <v>500000</v>
      </c>
    </row>
    <row r="216" spans="1:10" ht="16">
      <c r="A216" s="400" t="str">
        <f>IF(MAX(F:F)&lt;214,"",IF(INDEX(F:J,MATCH(214,F:F,0),2)=0,"",INDEX(F:J,MATCH(214,F:F,0),2)))</f>
        <v/>
      </c>
      <c r="B216" s="463" t="str">
        <f>IF(MAX(F:F)&lt;214,"",INDEX(F:J,MATCH(214,F:F,0),3))</f>
        <v/>
      </c>
      <c r="C216" s="4" t="str">
        <f>IF(MAX(F:F)&lt;214,"",INDEX(F:J,MATCH(214,F:F,0),4))</f>
        <v/>
      </c>
      <c r="D216" s="4" t="str">
        <f>IF(MAX(F:F)&lt;214,"",INDEX(F:J,MATCH(214,F:F,0),5))</f>
        <v/>
      </c>
      <c r="E216" s="73">
        <f t="shared" si="12"/>
        <v>44</v>
      </c>
      <c r="F216" s="73" t="str">
        <f t="shared" si="13"/>
        <v/>
      </c>
      <c r="G216" s="397" t="str">
        <f>IF(H216="","",IF(AND(G190="",G191="",G192="",G193="",G194="",G195="",G196="",G197="",G198="",G199="",G200="",G201="",G202="",G203="",G204="",G205="",G206="",G207="",G208="",G209="",G210="",G211="",G212="",G213="",G214="",G215=""),"Systems",""))</f>
        <v/>
      </c>
      <c r="H216" s="12" t="str">
        <f>IF('9b-Optional'!H21=0,"",'9b-Optional'!C21&amp;"x "&amp;'9b-Optional'!B21&amp;" Cap: "&amp;'9b-Optional'!D21&amp;" tons")</f>
        <v/>
      </c>
      <c r="I216" s="4">
        <f>'9b-Optional'!H21</f>
        <v>0</v>
      </c>
      <c r="J216" s="265">
        <f>'9b-Optional'!F21</f>
        <v>0</v>
      </c>
    </row>
    <row r="217" spans="1:10" ht="16">
      <c r="A217" s="400" t="str">
        <f>IF(MAX(F:F)&lt;215,"",IF(INDEX(F:J,MATCH(215,F:F,0),2)=0,"",INDEX(F:J,MATCH(215,F:F,0),2)))</f>
        <v/>
      </c>
      <c r="B217" s="463" t="str">
        <f>IF(MAX(F:F)&lt;215,"",INDEX(F:J,MATCH(215,F:F,0),3))</f>
        <v/>
      </c>
      <c r="C217" s="4" t="str">
        <f>IF(MAX(F:F)&lt;215,"",INDEX(F:J,MATCH(215,F:F,0),4))</f>
        <v/>
      </c>
      <c r="D217" s="4" t="str">
        <f>IF(MAX(F:F)&lt;215,"",INDEX(F:J,MATCH(215,F:F,0),5))</f>
        <v/>
      </c>
      <c r="E217" s="73">
        <f t="shared" si="12"/>
        <v>44</v>
      </c>
      <c r="F217" s="73" t="str">
        <f t="shared" si="13"/>
        <v/>
      </c>
      <c r="G217" s="397" t="str">
        <f>IF(H217="","",IF(AND(G190="",G191="",G192="",G193="",G194="",G195="",G196="",G197="",G198="",G199="",G200="",G201="",G202="",G203="",G204="",G205="",G206="",G207="",G208="",G209="",G210="",G211="",G212="",G213="",G214="",G215="",G216=""),"Systems",""))</f>
        <v/>
      </c>
      <c r="H217" s="12" t="str">
        <f>IF('9b-Optional'!C22=0,"",'9b-Optional'!B22&amp;" "&amp;'9b-Optional'!C22&amp;" "&amp;'9b-Optional'!D22)</f>
        <v/>
      </c>
      <c r="I217" s="4">
        <f>'9b-Optional'!H22</f>
        <v>0</v>
      </c>
      <c r="J217" s="265">
        <f>'9b-Optional'!F22</f>
        <v>0</v>
      </c>
    </row>
    <row r="218" spans="1:10" ht="16">
      <c r="A218" s="400" t="str">
        <f>IF(MAX(F:F)&lt;216,"",IF(INDEX(F:J,MATCH(216,F:F,0),2)=0,"",INDEX(F:J,MATCH(216,F:F,0),2)))</f>
        <v/>
      </c>
      <c r="B218" s="463" t="str">
        <f>IF(MAX(F:F)&lt;216,"",INDEX(F:J,MATCH(216,F:F,0),3))</f>
        <v/>
      </c>
      <c r="C218" s="4" t="str">
        <f>IF(MAX(F:F)&lt;216,"",INDEX(F:J,MATCH(216,F:F,0),4))</f>
        <v/>
      </c>
      <c r="D218" s="4" t="str">
        <f>IF(MAX(F:F)&lt;216,"",INDEX(F:J,MATCH(216,F:F,0),5))</f>
        <v/>
      </c>
      <c r="E218" s="73">
        <f t="shared" si="12"/>
        <v>45</v>
      </c>
      <c r="F218" s="73">
        <f t="shared" si="13"/>
        <v>45</v>
      </c>
      <c r="G218" s="397" t="str">
        <f>IF(H218="","",IF(AND(G190="",G191="",G192="",G193="",G194="",G195="",G196="",G197="",G198="",G199="",G200="",G201="",G202="",G203="",G204="",G205="",G206="",G207="",G208="",G209="",G210="",G211="",G212="",G213="",G214="",G215="",G216="",G217=""),"Systems",""))</f>
        <v/>
      </c>
      <c r="H218" s="12" t="str">
        <f>IF('9b-Optional'!C23=0,"",IF(OR('9b-Optional'!A23="",'9b-Optional'!A23=0),"",'9b-Optional'!A23&amp;" ")&amp;'9b-Optional'!B23&amp;" for "&amp;'9b-Optional'!C23&amp;" "&amp;"Scientist"&amp;IF('9b-Optional'!C23&gt;1,"s",""))</f>
        <v>Laboratory for 2 Scientists</v>
      </c>
      <c r="I218" s="4">
        <f>'9b-Optional'!H23</f>
        <v>8</v>
      </c>
      <c r="J218" s="265">
        <f>'9b-Optional'!F23</f>
        <v>2000000</v>
      </c>
    </row>
    <row r="219" spans="1:10" ht="16">
      <c r="A219" s="400" t="str">
        <f>IF(MAX(F:F)&lt;217,"",IF(INDEX(F:J,MATCH(217,F:F,0),2)=0,"",INDEX(F:J,MATCH(217,F:F,0),2)))</f>
        <v/>
      </c>
      <c r="B219" s="463" t="str">
        <f>IF(MAX(F:F)&lt;217,"",INDEX(F:J,MATCH(217,F:F,0),3))</f>
        <v/>
      </c>
      <c r="C219" s="4" t="str">
        <f>IF(MAX(F:F)&lt;217,"",INDEX(F:J,MATCH(217,F:F,0),4))</f>
        <v/>
      </c>
      <c r="D219" s="4" t="str">
        <f>IF(MAX(F:F)&lt;217,"",INDEX(F:J,MATCH(217,F:F,0),5))</f>
        <v/>
      </c>
      <c r="E219" s="73">
        <f t="shared" si="12"/>
        <v>46</v>
      </c>
      <c r="F219" s="73">
        <f t="shared" si="13"/>
        <v>46</v>
      </c>
      <c r="G219" s="397" t="str">
        <f>IF(H219="","",IF(AND(G190="",G191="",G192="",G193="",G194="",G195="",G196="",G197="",G198="",G199="",G200="",G201="",G202="",G203="",G204="",G205="",G206="",G207="",G208="",G209="",G210="",G211="",G212="",G213="",G214="",G215="",G216="",G217="",G218=""),"Systems",""))</f>
        <v/>
      </c>
      <c r="H219" s="12" t="str">
        <f>IF('9b-Optional'!C24=0,"",'9b-Optional'!C24&amp;"x "&amp;'9b-Optional'!B24)</f>
        <v>1x Library</v>
      </c>
      <c r="I219" s="4">
        <f>'9b-Optional'!H24</f>
        <v>4</v>
      </c>
      <c r="J219" s="265">
        <f>'9b-Optional'!F24</f>
        <v>4000000</v>
      </c>
    </row>
    <row r="220" spans="1:10" ht="16">
      <c r="A220" s="400" t="str">
        <f>IF(MAX(F:F)&lt;218,"",IF(INDEX(F:J,MATCH(218,F:F,0),2)=0,"",INDEX(F:J,MATCH(218,F:F,0),2)))</f>
        <v/>
      </c>
      <c r="B220" s="463" t="str">
        <f>IF(MAX(F:F)&lt;218,"",INDEX(F:J,MATCH(218,F:F,0),3))</f>
        <v/>
      </c>
      <c r="C220" s="4" t="str">
        <f>IF(MAX(F:F)&lt;218,"",INDEX(F:J,MATCH(218,F:F,0),4))</f>
        <v/>
      </c>
      <c r="D220" s="4" t="str">
        <f>IF(MAX(F:F)&lt;218,"",INDEX(F:J,MATCH(218,F:F,0),5))</f>
        <v/>
      </c>
      <c r="E220" s="73">
        <f t="shared" si="12"/>
        <v>47</v>
      </c>
      <c r="F220" s="73">
        <f t="shared" si="13"/>
        <v>47</v>
      </c>
      <c r="G220" s="397" t="str">
        <f>IF(H220="","",IF(AND(G190="",G191="",G192="",G193="",G194="",G195="",G196="",G197="",G198="",G199="",G200="",G201="",G202="",G203="",G204="",G205="",G206="",G207="",G208="",G209="",G210="",G211="",G212="",G213="",G214="",G215="",G216="",G217="",G218="",G219=""),"Systems",""))</f>
        <v/>
      </c>
      <c r="H220" s="12" t="str">
        <f>IF('9b-Optional'!C25=0,"",'9b-Optional'!C25&amp;"x "&amp;'9b-Optional'!B25)</f>
        <v>1x Medical Bay</v>
      </c>
      <c r="I220" s="4">
        <f>'9b-Optional'!H25</f>
        <v>4</v>
      </c>
      <c r="J220" s="265">
        <f>'9b-Optional'!F25</f>
        <v>2000000</v>
      </c>
    </row>
    <row r="221" spans="1:10" ht="16">
      <c r="A221" s="400" t="str">
        <f>IF(MAX(F:F)&lt;219,"",IF(INDEX(F:J,MATCH(219,F:F,0),2)=0,"",INDEX(F:J,MATCH(219,F:F,0),2)))</f>
        <v/>
      </c>
      <c r="B221" s="463" t="str">
        <f>IF(MAX(F:F)&lt;219,"",INDEX(F:J,MATCH(219,F:F,0),3))</f>
        <v/>
      </c>
      <c r="C221" s="4" t="str">
        <f>IF(MAX(F:F)&lt;219,"",INDEX(F:J,MATCH(219,F:F,0),4))</f>
        <v/>
      </c>
      <c r="D221" s="4" t="str">
        <f>IF(MAX(F:F)&lt;219,"",INDEX(F:J,MATCH(219,F:F,0),5))</f>
        <v/>
      </c>
      <c r="E221" s="73">
        <f t="shared" si="12"/>
        <v>47</v>
      </c>
      <c r="F221" s="73" t="str">
        <f t="shared" si="13"/>
        <v/>
      </c>
      <c r="G221" s="397" t="str">
        <f>IF(H221="","",IF(AND(G190="",G191="",G192="",G193="",G194="",G195="",G196="",G197="",G198="",G199="",G200="",G201="",G202="",G203="",G204="",G205="",G206="",G207="",G208="",G209="",G210="",G211="",G212="",G213="",G214="",G215="",G216="",G217="",G218="",G219="",G220=""),"Systems",""))</f>
        <v/>
      </c>
      <c r="H221" s="12" t="str">
        <f>IF('9b-Optional'!C26=0,"",'9b-Optional'!C26&amp;"x "&amp;'9b-Optional'!B26&amp;" "&amp;IF(OR('9b-Optional'!A26="",'9b-Optional'!A26=0),"","("&amp;'9b-Optional'!A26&amp;")"))</f>
        <v/>
      </c>
      <c r="I221" s="4">
        <f>'9b-Optional'!H26</f>
        <v>0</v>
      </c>
      <c r="J221" s="265">
        <f>'9b-Optional'!F26</f>
        <v>0</v>
      </c>
    </row>
    <row r="222" spans="1:10" ht="16">
      <c r="A222" s="400" t="str">
        <f>IF(MAX(F:F)&lt;220,"",IF(INDEX(F:J,MATCH(220,F:F,0),2)=0,"",INDEX(F:J,MATCH(220,F:F,0),2)))</f>
        <v/>
      </c>
      <c r="B222" s="463" t="str">
        <f>IF(MAX(F:F)&lt;220,"",INDEX(F:J,MATCH(220,F:F,0),3))</f>
        <v/>
      </c>
      <c r="C222" s="4" t="str">
        <f>IF(MAX(F:F)&lt;220,"",INDEX(F:J,MATCH(220,F:F,0),4))</f>
        <v/>
      </c>
      <c r="D222" s="4" t="str">
        <f>IF(MAX(F:F)&lt;220,"",INDEX(F:J,MATCH(220,F:F,0),5))</f>
        <v/>
      </c>
      <c r="E222" s="73">
        <f t="shared" si="12"/>
        <v>47</v>
      </c>
      <c r="F222" s="73" t="str">
        <f t="shared" si="13"/>
        <v/>
      </c>
      <c r="G222" s="397" t="str">
        <f>IF(H222="","",IF(AND(G190="",G191="",G192="",G193="",G194="",G195="",G196="",G197="",G198="",G199="",G200="",G201="",G202="",G203="",G204="",G205="",G206="",G207="",G208="",G209="",G210="",G211="",G212="",G213="",G214="",G215="",G216="",G217="",G218="",G219="",G220="",G221=""),"Systems",""))</f>
        <v/>
      </c>
      <c r="H222" s="12" t="str">
        <f>IF('9b-Optional'!C27=0,"",'9b-Optional'!B27&amp;": "&amp;'9b-Optional'!C27&amp;" "&amp;'9b-Optional'!D27&amp;" "&amp;IF(OR('9b-Optional'!A27="",'9b-Optional'!A27=0),"","("&amp;'9b-Optional'!A27&amp;")"))</f>
        <v/>
      </c>
      <c r="I222" s="4">
        <f>'9b-Optional'!H27</f>
        <v>0</v>
      </c>
      <c r="J222" s="265">
        <f>'9b-Optional'!F27</f>
        <v>0</v>
      </c>
    </row>
    <row r="223" spans="1:10" ht="16">
      <c r="A223" s="400" t="str">
        <f>IF(MAX(F:F)&lt;221,"",IF(INDEX(F:J,MATCH(221,F:F,0),2)=0,"",INDEX(F:J,MATCH(221,F:F,0),2)))</f>
        <v/>
      </c>
      <c r="B223" s="463" t="str">
        <f>IF(MAX(F:F)&lt;221,"",INDEX(F:J,MATCH(221,F:F,0),3))</f>
        <v/>
      </c>
      <c r="C223" s="4" t="str">
        <f>IF(MAX(F:F)&lt;221,"",INDEX(F:J,MATCH(221,F:F,0),4))</f>
        <v/>
      </c>
      <c r="D223" s="4" t="str">
        <f>IF(MAX(F:F)&lt;221,"",INDEX(F:J,MATCH(221,F:F,0),5))</f>
        <v/>
      </c>
      <c r="E223" s="73">
        <f t="shared" si="12"/>
        <v>47</v>
      </c>
      <c r="F223" s="73" t="str">
        <f t="shared" si="13"/>
        <v/>
      </c>
      <c r="G223" s="397" t="str">
        <f>IF(H223="","",IF(AND(G190="",G191="",G192="",G193="",G194="",G195="",G196="",G197="",G198="",G199="",G200="",G201="",G202="",G203="",G204="",G205="",G206="",G207="",G208="",G209="",G210="",G211="",G212="",G213="",G214="",G215="",G216="",G217="",G218="",G219="",G220="",G221="",G222=""),"Systems",""))</f>
        <v/>
      </c>
      <c r="H223" s="12" t="str">
        <f>IF('9b-Optional'!C28=0,"",'9b-Optional'!C28&amp;"x "&amp;'9b-Optional'!B28)</f>
        <v/>
      </c>
      <c r="I223" s="4">
        <f>'9b-Optional'!H28</f>
        <v>0</v>
      </c>
      <c r="J223" s="265">
        <f>'9b-Optional'!F28</f>
        <v>0</v>
      </c>
    </row>
    <row r="224" spans="1:10" ht="16">
      <c r="A224" s="400" t="str">
        <f>IF(MAX(F:F)&lt;222,"",IF(INDEX(F:J,MATCH(222,F:F,0),2)=0,"",INDEX(F:J,MATCH(222,F:F,0),2)))</f>
        <v/>
      </c>
      <c r="B224" s="463" t="str">
        <f>IF(MAX(F:F)&lt;222,"",INDEX(F:J,MATCH(222,F:F,0),3))</f>
        <v/>
      </c>
      <c r="C224" s="4" t="str">
        <f>IF(MAX(F:F)&lt;222,"",INDEX(F:J,MATCH(222,F:F,0),4))</f>
        <v/>
      </c>
      <c r="D224" s="4" t="str">
        <f>IF(MAX(F:F)&lt;222,"",INDEX(F:J,MATCH(222,F:F,0),5))</f>
        <v/>
      </c>
      <c r="E224" s="73">
        <f t="shared" si="12"/>
        <v>47</v>
      </c>
      <c r="F224" s="73" t="str">
        <f t="shared" si="13"/>
        <v/>
      </c>
      <c r="G224" s="397" t="str">
        <f>IF(H224="","",IF(AND(G190="",G191="",G192="",G193="",G194="",G195="",G196="",G197="",G198="",G199="",G200="",G201="",G202="",G203="",G204="",G205="",G206="",G207="",G208="",G209="",G210="",G211="",G212="",G213="",G214="",G215="",G216="",G217="",G218="",G219="",G220="",G221="",G222="",G223=""),"Systems",""))</f>
        <v/>
      </c>
      <c r="H224" s="12" t="str">
        <f>IF('9b-Optional'!C29=0,"",'9b-Optional'!C29&amp;"x "&amp;'9b-Optional'!B29)</f>
        <v/>
      </c>
      <c r="I224" s="4">
        <f>'9b-Optional'!H29</f>
        <v>0</v>
      </c>
      <c r="J224" s="265">
        <f>'9b-Optional'!F29</f>
        <v>0</v>
      </c>
    </row>
    <row r="225" spans="1:10" ht="16">
      <c r="A225" s="400" t="str">
        <f>IF(MAX(F:F)&lt;223,"",IF(INDEX(F:J,MATCH(223,F:F,0),2)=0,"",INDEX(F:J,MATCH(223,F:F,0),2)))</f>
        <v/>
      </c>
      <c r="B225" s="463" t="str">
        <f>IF(MAX(F:F)&lt;223,"",INDEX(F:J,MATCH(223,F:F,0),3))</f>
        <v/>
      </c>
      <c r="C225" s="4" t="str">
        <f>IF(MAX(F:F)&lt;223,"",INDEX(F:J,MATCH(223,F:F,0),4))</f>
        <v/>
      </c>
      <c r="D225" s="4" t="str">
        <f>IF(MAX(F:F)&lt;223,"",INDEX(F:J,MATCH(223,F:F,0),5))</f>
        <v/>
      </c>
      <c r="E225" s="73">
        <f t="shared" si="12"/>
        <v>47</v>
      </c>
      <c r="F225" s="73" t="str">
        <f t="shared" si="13"/>
        <v/>
      </c>
      <c r="G225" s="397" t="str">
        <f>IF(H225="","",IF(AND(G190="",G191="",G192="",G193="",G194="",G195="",G196="",G197="",G198="",G199="",G200="",G201="",G202="",G203="",G204="",G205="",G206="",G207="",G208="",G209="",G210="",G211="",G212="",G213="",G214="",G215="",G216="",G217="",G218="",G219="",G220="",G221="",G222="",G223="",G224=""),"Systems",""))</f>
        <v/>
      </c>
      <c r="H225" s="12" t="str">
        <f>IF('9b-Optional'!E31=0,"",'9b-Optional'!B31&amp;" with "&amp;2+'9b-Optional'!D31&amp;" Gel Connections")</f>
        <v/>
      </c>
      <c r="I225" s="4">
        <f>'9b-Optional'!H31</f>
        <v>0</v>
      </c>
      <c r="J225" s="265">
        <f>'9b-Optional'!F31</f>
        <v>0</v>
      </c>
    </row>
    <row r="226" spans="1:10" ht="16">
      <c r="A226" s="400" t="str">
        <f>IF(MAX(F:F)&lt;224,"",IF(INDEX(F:J,MATCH(224,F:F,0),2)=0,"",INDEX(F:J,MATCH(224,F:F,0),2)))</f>
        <v/>
      </c>
      <c r="B226" s="463" t="str">
        <f>IF(MAX(F:F)&lt;224,"",INDEX(F:J,MATCH(224,F:F,0),3))</f>
        <v/>
      </c>
      <c r="C226" s="4" t="str">
        <f>IF(MAX(F:F)&lt;224,"",INDEX(F:J,MATCH(224,F:F,0),4))</f>
        <v/>
      </c>
      <c r="D226" s="4" t="str">
        <f>IF(MAX(F:F)&lt;224,"",INDEX(F:J,MATCH(224,F:F,0),5))</f>
        <v/>
      </c>
      <c r="E226" s="73">
        <f t="shared" si="12"/>
        <v>47</v>
      </c>
      <c r="F226" s="73" t="str">
        <f t="shared" si="13"/>
        <v/>
      </c>
      <c r="G226" s="397" t="str">
        <f>IF(H226="","",IF(AND(G190="",G191="",G192="",G193="",G194="",G195="",G196="",G197="",G198="",G199="",G200="",G201="",G202="",G203="",G204="",G205="",G206="",G207="",G208="",G209="",G210="",G211="",G212="",G213="",G214="",G215="",G216="",G217="",G218="",G219="",G220="",G221="",G222="",G223="",G224="",G225=""),"Systems",""))</f>
        <v/>
      </c>
      <c r="H226" s="12" t="str">
        <f>IF('9b-Optional'!E32=0,"",'9b-Optional'!B32&amp;": "&amp;'9b-Optional'!D32)</f>
        <v/>
      </c>
      <c r="I226" s="4">
        <f>'9b-Optional'!H32</f>
        <v>0</v>
      </c>
      <c r="J226" s="265">
        <f>'9b-Optional'!F32</f>
        <v>0</v>
      </c>
    </row>
    <row r="227" spans="1:10" ht="16">
      <c r="A227" s="400" t="str">
        <f>IF(MAX(F:F)&lt;225,"",IF(INDEX(F:J,MATCH(225,F:F,0),2)=0,"",INDEX(F:J,MATCH(225,F:F,0),2)))</f>
        <v/>
      </c>
      <c r="B227" s="463" t="str">
        <f>IF(MAX(F:F)&lt;225,"",INDEX(F:J,MATCH(225,F:F,0),3))</f>
        <v/>
      </c>
      <c r="C227" s="4" t="str">
        <f>IF(MAX(F:F)&lt;225,"",INDEX(F:J,MATCH(225,F:F,0),4))</f>
        <v/>
      </c>
      <c r="D227" s="4" t="str">
        <f>IF(MAX(F:F)&lt;225,"",INDEX(F:J,MATCH(225,F:F,0),5))</f>
        <v/>
      </c>
      <c r="E227" s="73">
        <f t="shared" si="12"/>
        <v>47</v>
      </c>
      <c r="F227" s="73" t="str">
        <f t="shared" si="13"/>
        <v/>
      </c>
      <c r="G227" s="397" t="str">
        <f>IF(H227="","",IF(AND(G190="",G191="",G192="",G193="",G194="",G195="",G196="",G197="",G198="",G199="",G200="",G201="",G202="",G203="",G204="",G205="",G206="",G207="",G208="",G209="",G210="",G211="",G212="",G213="",G214="",G215="",G216="",G217="",G218="",G219="",G220="",G221="",G222="",G223="",G224="",G225="",G226=""),"Systems",""))</f>
        <v/>
      </c>
      <c r="H227" s="12" t="str">
        <f>""</f>
        <v/>
      </c>
      <c r="J227" s="265" t="s">
        <v>2065</v>
      </c>
    </row>
    <row r="228" spans="1:10" ht="16">
      <c r="A228" s="400" t="str">
        <f>IF(MAX(F:F)&lt;226,"",IF(INDEX(F:J,MATCH(226,F:F,0),2)=0,"",INDEX(F:J,MATCH(226,F:F,0),2)))</f>
        <v/>
      </c>
      <c r="B228" s="463" t="str">
        <f>IF(MAX(F:F)&lt;226,"",INDEX(F:J,MATCH(226,F:F,0),3))</f>
        <v/>
      </c>
      <c r="C228" s="4" t="str">
        <f>IF(MAX(F:F)&lt;226,"",INDEX(F:J,MATCH(226,F:F,0),4))</f>
        <v/>
      </c>
      <c r="D228" s="4" t="str">
        <f>IF(MAX(F:F)&lt;226,"",INDEX(F:J,MATCH(226,F:F,0),5))</f>
        <v/>
      </c>
      <c r="E228" s="73">
        <f t="shared" si="12"/>
        <v>47</v>
      </c>
      <c r="F228" s="73" t="str">
        <f t="shared" si="13"/>
        <v/>
      </c>
      <c r="G228" s="397" t="str">
        <f>IF(H228="","",IF(AND(G190="",G191="",G192="",G193="",G194="",G195="",G196="",G197="",G198="",G199="",G200="",G201="",G202="",G203="",G204="",G205="",G206="",G207="",G208="",G209="",G210="",G211="",G212="",G213="",G214="",G215="",G216="",G217="",G218="",G219="",G220="",G221="",G222="",G223="",G224="",G225="",G226="",G227=""),"Systems",""))</f>
        <v/>
      </c>
      <c r="H228" s="12" t="str">
        <f>IF('9b-Optional'!F37=0,"",'9b-Optional'!D37&amp;"x "&amp;'9b-Optional'!C37&amp;"L "&amp;'9b-Optional'!B37&amp;" Fabricators")</f>
        <v/>
      </c>
      <c r="J228" s="265">
        <f>'9b-Optional'!F37</f>
        <v>0</v>
      </c>
    </row>
    <row r="229" spans="1:10" ht="16">
      <c r="A229" s="400" t="str">
        <f>IF(MAX(F:F)&lt;227,"",IF(INDEX(F:J,MATCH(227,F:F,0),2)=0,"",INDEX(F:J,MATCH(227,F:F,0),2)))</f>
        <v/>
      </c>
      <c r="B229" s="463" t="str">
        <f>IF(MAX(F:F)&lt;227,"",INDEX(F:J,MATCH(227,F:F,0),3))</f>
        <v/>
      </c>
      <c r="C229" s="4" t="str">
        <f>IF(MAX(F:F)&lt;227,"",INDEX(F:J,MATCH(227,F:F,0),4))</f>
        <v/>
      </c>
      <c r="D229" s="4" t="str">
        <f>IF(MAX(F:F)&lt;227,"",INDEX(F:J,MATCH(227,F:F,0),5))</f>
        <v/>
      </c>
      <c r="E229" s="73">
        <f t="shared" si="12"/>
        <v>47</v>
      </c>
      <c r="F229" s="73" t="str">
        <f t="shared" si="13"/>
        <v/>
      </c>
      <c r="G229" s="397" t="str">
        <f>IF(H229="","",IF(AND(G190="",G191="",G192="",G193="",G194="",G195="",G196="",G197="",G198="",G199="",G200="",G201="",G202="",G203="",G204="",G205="",G206="",G207="",G208="",G209="",G210="",G211="",G212="",G213="",G214="",G215="",G216="",G217="",G218="",G219="",G220="",G221="",G222="",G223="",G224="",G225="",G226="",G227="",G228=""),"Systems",""))</f>
        <v/>
      </c>
      <c r="H229" s="12" t="str">
        <f>IF('9b-Optional'!F38=0,"",'9b-Optional'!D38&amp;"x "&amp;'9b-Optional'!C38&amp;"L "&amp;'9b-Optional'!B38&amp;" Fabricators")</f>
        <v/>
      </c>
      <c r="J229" s="265">
        <f>'9b-Optional'!F38</f>
        <v>0</v>
      </c>
    </row>
    <row r="230" spans="1:10" ht="16">
      <c r="A230" s="400" t="str">
        <f>IF(MAX(F:F)&lt;228,"",IF(INDEX(F:J,MATCH(228,F:F,0),2)=0,"",INDEX(F:J,MATCH(228,F:F,0),2)))</f>
        <v/>
      </c>
      <c r="B230" s="463" t="str">
        <f>IF(MAX(F:F)&lt;228,"",INDEX(F:J,MATCH(228,F:F,0),3))</f>
        <v/>
      </c>
      <c r="C230" s="4" t="str">
        <f>IF(MAX(F:F)&lt;228,"",INDEX(F:J,MATCH(228,F:F,0),4))</f>
        <v/>
      </c>
      <c r="D230" s="4" t="str">
        <f>IF(MAX(F:F)&lt;228,"",INDEX(F:J,MATCH(228,F:F,0),5))</f>
        <v/>
      </c>
      <c r="E230" s="73">
        <f t="shared" si="12"/>
        <v>47</v>
      </c>
      <c r="F230" s="73" t="str">
        <f t="shared" si="13"/>
        <v/>
      </c>
      <c r="G230" s="397" t="str">
        <f>IF(H230="","",IF(AND(G190="",G191="",G192="",G193="",G194="",G195="",G196="",G197="",G198="",G199="",G200="",G201="",G202="",G203="",G204="",G205="",G206="",G207="",G208="",G209="",G210="",G211="",G212="",G213="",G214="",G215="",G216="",G217="",G218="",G219="",G220="",G221="",G222="",G223="",G224="",G225="",G226="",G227="",G228="",G229=""),"Systems",""))</f>
        <v/>
      </c>
      <c r="H230" s="12" t="str">
        <f>IF('9b-Optional'!F39=0,"",'9b-Optional'!D39&amp;"x "&amp;'9b-Optional'!C39&amp;"L "&amp;'9b-Optional'!B39&amp;" Fabricators")</f>
        <v/>
      </c>
      <c r="J230" s="265">
        <f>'9b-Optional'!F39</f>
        <v>0</v>
      </c>
    </row>
    <row r="231" spans="1:10" ht="16">
      <c r="A231" s="400" t="str">
        <f>IF(MAX(F:F)&lt;229,"",IF(INDEX(F:J,MATCH(229,F:F,0),2)=0,"",INDEX(F:J,MATCH(229,F:F,0),2)))</f>
        <v/>
      </c>
      <c r="B231" s="463" t="str">
        <f>IF(MAX(F:F)&lt;229,"",INDEX(F:J,MATCH(229,F:F,0),3))</f>
        <v/>
      </c>
      <c r="C231" s="4" t="str">
        <f>IF(MAX(F:F)&lt;229,"",INDEX(F:J,MATCH(229,F:F,0),4))</f>
        <v/>
      </c>
      <c r="D231" s="4" t="str">
        <f>IF(MAX(F:F)&lt;229,"",INDEX(F:J,MATCH(229,F:F,0),5))</f>
        <v/>
      </c>
      <c r="E231" s="73">
        <f t="shared" si="12"/>
        <v>47</v>
      </c>
      <c r="F231" s="73" t="str">
        <f t="shared" si="13"/>
        <v/>
      </c>
      <c r="G231" s="397" t="str">
        <f>IF(H231="","",IF(AND(G190="",G191="",G192="",G193="",G194="",G195="",G196="",G197="",G198="",G199="",G200="",G201="",G202="",G203="",G204="",G205="",G206="",G207="",G208="",G209="",G210="",G211="",G212="",G213="",G214="",G215="",G216="",G217="",G218="",G219="",G220="",G221="",G222="",G223="",G224="",G225="",G226="",G227="",G228="",G229="",G230=""),"Systems",""))</f>
        <v/>
      </c>
      <c r="H231" s="12" t="str">
        <f>IF('9b-Optional'!F41=0,"",'9b-Optional'!D41&amp;"x "&amp;'9b-Optional'!C41&amp;"L "&amp;'9b-Optional'!B41&amp;" Fabricators")</f>
        <v/>
      </c>
      <c r="J231" s="265">
        <f>'9b-Optional'!F41</f>
        <v>0</v>
      </c>
    </row>
    <row r="232" spans="1:10" ht="16">
      <c r="A232" s="400" t="str">
        <f>IF(MAX(F:F)&lt;230,"",IF(INDEX(F:J,MATCH(230,F:F,0),2)=0,"",INDEX(F:J,MATCH(230,F:F,0),2)))</f>
        <v/>
      </c>
      <c r="B232" s="463" t="str">
        <f>IF(MAX(F:F)&lt;230,"",INDEX(F:J,MATCH(230,F:F,0),3))</f>
        <v/>
      </c>
      <c r="C232" s="4" t="str">
        <f>IF(MAX(F:F)&lt;230,"",INDEX(F:J,MATCH(230,F:F,0),4))</f>
        <v/>
      </c>
      <c r="D232" s="4" t="str">
        <f>IF(MAX(F:F)&lt;230,"",INDEX(F:J,MATCH(230,F:F,0),5))</f>
        <v/>
      </c>
      <c r="E232" s="73">
        <f t="shared" si="12"/>
        <v>47</v>
      </c>
      <c r="F232" s="73" t="str">
        <f t="shared" si="13"/>
        <v/>
      </c>
      <c r="G232" s="397" t="str">
        <f>IF(H232="","",IF(AND(G190="",G191="",G192="",G193="",G194="",G195="",G196="",G197="",G198="",G199="",G200="",G201="",G202="",G203="",G204="",G205="",G206="",G207="",G208="",G209="",G210="",G211="",G212="",G213="",G214="",G215="",G216="",G217="",G218="",G219="",G220="",G221="",G222="",G223="",G224="",G225="",G226="",G227="",G228="",G229="",G230="",G231=""),"Systems",""))</f>
        <v/>
      </c>
      <c r="H232" s="12" t="str">
        <f>IF('9b-Optional'!F42=0,"",'9b-Optional'!D42&amp;"x "&amp;'9b-Optional'!C42&amp;"L "&amp;'9b-Optional'!B42&amp;" Fabricators")</f>
        <v/>
      </c>
      <c r="J232" s="265">
        <f>'9b-Optional'!F42</f>
        <v>0</v>
      </c>
    </row>
    <row r="233" spans="1:10" ht="16">
      <c r="A233" s="400" t="str">
        <f>IF(MAX(F:F)&lt;231,"",IF(INDEX(F:J,MATCH(231,F:F,0),2)=0,"",INDEX(F:J,MATCH(231,F:F,0),2)))</f>
        <v/>
      </c>
      <c r="B233" s="463" t="str">
        <f>IF(MAX(F:F)&lt;231,"",INDEX(F:J,MATCH(231,F:F,0),3))</f>
        <v/>
      </c>
      <c r="C233" s="4" t="str">
        <f>IF(MAX(F:F)&lt;231,"",INDEX(F:J,MATCH(231,F:F,0),4))</f>
        <v/>
      </c>
      <c r="D233" s="4" t="str">
        <f>IF(MAX(F:F)&lt;231,"",INDEX(F:J,MATCH(231,F:F,0),5))</f>
        <v/>
      </c>
      <c r="E233" s="73">
        <f t="shared" si="12"/>
        <v>47</v>
      </c>
      <c r="F233" s="73" t="str">
        <f t="shared" si="13"/>
        <v/>
      </c>
      <c r="G233" s="397" t="str">
        <f>IF(H233="","",IF(AND(G190="",G191="",G192="",G193="",G194="",G195="",G196="",G197="",G198="",G199="",G200="",G201="",G202="",G203="",G204="",G205="",G206="",G207="",G208="",G209="",G210="",G211="",G212="",G213="",G214="",G215="",G216="",G217="",G218="",G219="",G220="",G221="",G222="",G223="",G224="",G225="",G226="",G227="",G228="",G229="",G230="",G231="",G232=""),"Systems",""))</f>
        <v/>
      </c>
      <c r="H233" s="12" t="str">
        <f>IF('9b-Optional'!F43=0,"",'9b-Optional'!D43&amp;"x "&amp;'9b-Optional'!C43&amp;"L "&amp;'9b-Optional'!B43&amp;" Fabricators")</f>
        <v/>
      </c>
      <c r="J233" s="265">
        <f>'9b-Optional'!F43</f>
        <v>0</v>
      </c>
    </row>
    <row r="234" spans="1:10" ht="16">
      <c r="A234" s="400" t="str">
        <f>IF(MAX(F:F)&lt;232,"",IF(INDEX(F:J,MATCH(232,F:F,0),2)=0,"",INDEX(F:J,MATCH(232,F:F,0),2)))</f>
        <v/>
      </c>
      <c r="B234" s="463" t="str">
        <f>IF(MAX(F:F)&lt;232,"",INDEX(F:J,MATCH(232,F:F,0),3))</f>
        <v/>
      </c>
      <c r="C234" s="4" t="str">
        <f>IF(MAX(F:F)&lt;232,"",INDEX(F:J,MATCH(232,F:F,0),4))</f>
        <v/>
      </c>
      <c r="D234" s="4" t="str">
        <f>IF(MAX(F:F)&lt;232,"",INDEX(F:J,MATCH(232,F:F,0),5))</f>
        <v/>
      </c>
      <c r="E234" s="73">
        <f t="shared" si="12"/>
        <v>47</v>
      </c>
      <c r="F234" s="73" t="str">
        <f t="shared" si="13"/>
        <v/>
      </c>
      <c r="G234" s="397" t="str">
        <f>IF(H234="","",IF(AND(G190="",G191="",G192="",G193="",G194="",G195="",G196="",G197="",G198="",G199="",G200="",G201="",G202="",G203="",G204="",G205="",G206="",G207="",G208="",G209="",G210="",G211="",G212="",G213="",G214="",G215="",G216="",G217="",G218="",G219="",G220="",G221="",G222="",G223="",G224="",G225="",G226="",G227="",G228="",G229="",G230="",G231="",G232="",G233=""),"Systems",""))</f>
        <v/>
      </c>
      <c r="H234" s="12" t="str">
        <f>IF('9b-Optional'!F47=0,"",'9b-Optional'!D47&amp;"x "&amp;'9b-Optional'!C47&amp;"L "&amp;'9b-Optional'!B47&amp;" Deconstructors")</f>
        <v/>
      </c>
      <c r="J234" s="265">
        <f>'9b-Optional'!F47</f>
        <v>0</v>
      </c>
    </row>
    <row r="235" spans="1:10" ht="16">
      <c r="A235" s="400" t="str">
        <f>IF(MAX(F:F)&lt;233,"",IF(INDEX(F:J,MATCH(233,F:F,0),2)=0,"",INDEX(F:J,MATCH(233,F:F,0),2)))</f>
        <v/>
      </c>
      <c r="B235" s="463" t="str">
        <f>IF(MAX(F:F)&lt;233,"",INDEX(F:J,MATCH(233,F:F,0),3))</f>
        <v/>
      </c>
      <c r="C235" s="4" t="str">
        <f>IF(MAX(F:F)&lt;233,"",INDEX(F:J,MATCH(233,F:F,0),4))</f>
        <v/>
      </c>
      <c r="D235" s="4" t="str">
        <f>IF(MAX(F:F)&lt;233,"",INDEX(F:J,MATCH(233,F:F,0),5))</f>
        <v/>
      </c>
      <c r="E235" s="73">
        <f t="shared" si="12"/>
        <v>47</v>
      </c>
      <c r="F235" s="73" t="str">
        <f t="shared" si="13"/>
        <v/>
      </c>
      <c r="G235" s="397" t="str">
        <f>IF(H235="","",IF(AND(G190="",G191="",G192="",G193="",G194="",G195="",G196="",G197="",G198="",G199="",G200="",G201="",G202="",G203="",G204="",G205="",G206="",G207="",G208="",G209="",G210="",G211="",G212="",G213="",G214="",G215="",G216="",G217="",G218="",G219="",G220="",G221="",G222="",G223="",G224="",G225="",G226="",G227="",G228="",G229="",G230="",G231="",G232="",G233="",G234=""),"Systems",""))</f>
        <v/>
      </c>
      <c r="H235" s="12" t="str">
        <f>IF('9b-Optional'!F48=0,"",'9b-Optional'!D48&amp;"x "&amp;'9b-Optional'!C48&amp;"L "&amp;'9b-Optional'!B48&amp;" Deconstructors")</f>
        <v/>
      </c>
      <c r="J235" s="265">
        <f>'9b-Optional'!F48</f>
        <v>0</v>
      </c>
    </row>
    <row r="236" spans="1:10" ht="16">
      <c r="A236" s="400" t="str">
        <f>IF(MAX(F:F)&lt;234,"",IF(INDEX(F:J,MATCH(234,F:F,0),2)=0,"",INDEX(F:J,MATCH(234,F:F,0),2)))</f>
        <v/>
      </c>
      <c r="B236" s="463" t="str">
        <f>IF(MAX(F:F)&lt;234,"",INDEX(F:J,MATCH(234,F:F,0),3))</f>
        <v/>
      </c>
      <c r="C236" s="4" t="str">
        <f>IF(MAX(F:F)&lt;234,"",INDEX(F:J,MATCH(234,F:F,0),4))</f>
        <v/>
      </c>
      <c r="D236" s="4" t="str">
        <f>IF(MAX(F:F)&lt;234,"",INDEX(F:J,MATCH(234,F:F,0),5))</f>
        <v/>
      </c>
      <c r="E236" s="73">
        <f t="shared" si="12"/>
        <v>47</v>
      </c>
      <c r="F236" s="73" t="str">
        <f t="shared" si="13"/>
        <v/>
      </c>
      <c r="G236" s="397" t="str">
        <f>IF(H236="","",IF(AND(G190="",G191="",G192="",G193="",G194="",G195="",G196="",G197="",G198="",G199="",G200="",G201="",G202="",G203="",G204="",G205="",G206="",G207="",G208="",G209="",G210="",G211="",G212="",G213="",G214="",G215="",G216="",G217="",G218="",G219="",G220="",G221="",G222="",G223="",G224="",G225="",G226="",G227="",G228="",G229="",G230="",G231="",G232="",G233="",G234="",G235=""),"Systems",""))</f>
        <v/>
      </c>
      <c r="H236" s="12" t="str">
        <f>IF('9b-Optional'!F49=0,"",'9b-Optional'!D49&amp;"x "&amp;'9b-Optional'!C49&amp;"L "&amp;'9b-Optional'!B49&amp;" Deconstructors")</f>
        <v/>
      </c>
      <c r="J236" s="265">
        <f>'9b-Optional'!F49</f>
        <v>0</v>
      </c>
    </row>
    <row r="237" spans="1:10" ht="16">
      <c r="A237" s="400" t="str">
        <f>IF(MAX(F:F)&lt;235,"",IF(INDEX(F:J,MATCH(235,F:F,0),2)=0,"",INDEX(F:J,MATCH(235,F:F,0),2)))</f>
        <v/>
      </c>
      <c r="B237" s="463" t="str">
        <f>IF(MAX(F:F)&lt;235,"",INDEX(F:J,MATCH(235,F:F,0),3))</f>
        <v/>
      </c>
      <c r="C237" s="4" t="str">
        <f>IF(MAX(F:F)&lt;235,"",INDEX(F:J,MATCH(235,F:F,0),4))</f>
        <v/>
      </c>
      <c r="D237" s="4" t="str">
        <f>IF(MAX(F:F)&lt;235,"",INDEX(F:J,MATCH(235,F:F,0),5))</f>
        <v/>
      </c>
      <c r="E237" s="73">
        <f t="shared" si="12"/>
        <v>47</v>
      </c>
      <c r="F237" s="73" t="str">
        <f t="shared" si="13"/>
        <v/>
      </c>
      <c r="G237" s="397" t="str">
        <f>IF(H237="","",IF(AND(G190="",G191="",G192="",G193="",G194="",G195="",G196="",G197="",G198="",G199="",G200="",G201="",G202="",G203="",G204="",G205="",G206="",G207="",G208="",G209="",G210="",G211="",G212="",G213="",G214="",G215="",G216="",G217="",G218="",G219="",G220="",G221="",G222="",G223="",G224="",G225="",G226="",G227="",G228="",G229="",G230="",G231="",G232="",G233="",G234="",G235="",G236=""),"Systems",""))</f>
        <v/>
      </c>
      <c r="H237" s="12" t="str">
        <f>IF('9b-Optional'!F51=0,"",'9b-Optional'!D51&amp;"x "&amp;'9b-Optional'!C51&amp;"L "&amp;'9b-Optional'!B51&amp;" Deconstructors")</f>
        <v/>
      </c>
      <c r="J237" s="265">
        <f>'9b-Optional'!F51</f>
        <v>0</v>
      </c>
    </row>
    <row r="238" spans="1:10" ht="16">
      <c r="A238" s="400" t="str">
        <f>IF(MAX(F:F)&lt;236,"",IF(INDEX(F:J,MATCH(236,F:F,0),2)=0,"",INDEX(F:J,MATCH(236,F:F,0),2)))</f>
        <v/>
      </c>
      <c r="B238" s="463" t="str">
        <f>IF(MAX(F:F)&lt;236,"",INDEX(F:J,MATCH(236,F:F,0),3))</f>
        <v/>
      </c>
      <c r="C238" s="4" t="str">
        <f>IF(MAX(F:F)&lt;236,"",INDEX(F:J,MATCH(236,F:F,0),4))</f>
        <v/>
      </c>
      <c r="D238" s="4" t="str">
        <f>IF(MAX(F:F)&lt;236,"",INDEX(F:J,MATCH(236,F:F,0),5))</f>
        <v/>
      </c>
      <c r="E238" s="73">
        <f t="shared" si="12"/>
        <v>47</v>
      </c>
      <c r="F238" s="73" t="str">
        <f t="shared" si="13"/>
        <v/>
      </c>
      <c r="G238" s="397" t="str">
        <f>IF(H238="","",IF(AND(G190="",G191="",G192="",G193="",G194="",G195="",G196="",G197="",G198="",G199="",G200="",G201="",G202="",G203="",G204="",G205="",G206="",G207="",G208="",G209="",G210="",G211="",G212="",G213="",G214="",G215="",G216="",G217="",G218="",G219="",G220="",G221="",G222="",G223="",G224="",G225="",G226="",G227="",G228="",G229="",G230="",G231="",G232="",G233="",G234="",G235="",G236="",G237=""),"Systems",""))</f>
        <v/>
      </c>
      <c r="H238" s="12" t="str">
        <f>IF('9b-Optional'!F52=0,"",'9b-Optional'!D52&amp;"x "&amp;'9b-Optional'!C52&amp;"L "&amp;'9b-Optional'!B52&amp;" Deconstructors")</f>
        <v/>
      </c>
      <c r="J238" s="265">
        <f>'9b-Optional'!F52</f>
        <v>0</v>
      </c>
    </row>
    <row r="239" spans="1:10" ht="16">
      <c r="A239" s="400" t="str">
        <f>IF(MAX(F:F)&lt;237,"",IF(INDEX(F:J,MATCH(237,F:F,0),2)=0,"",INDEX(F:J,MATCH(237,F:F,0),2)))</f>
        <v/>
      </c>
      <c r="B239" s="463" t="str">
        <f>IF(MAX(F:F)&lt;237,"",INDEX(F:J,MATCH(237,F:F,0),3))</f>
        <v/>
      </c>
      <c r="C239" s="4" t="str">
        <f>IF(MAX(F:F)&lt;237,"",INDEX(F:J,MATCH(237,F:F,0),4))</f>
        <v/>
      </c>
      <c r="D239" s="4" t="str">
        <f>IF(MAX(F:F)&lt;237,"",INDEX(F:J,MATCH(237,F:F,0),5))</f>
        <v/>
      </c>
      <c r="E239" s="73">
        <f t="shared" si="12"/>
        <v>47</v>
      </c>
      <c r="F239" s="73" t="str">
        <f t="shared" si="13"/>
        <v/>
      </c>
      <c r="G239" s="397" t="str">
        <f>IF(H239="","",IF(AND(G190="",G191="",G192="",G193="",G194="",G195="",G196="",G197="",G198="",G199="",G200="",G201="",G202="",G203="",G204="",G205="",G206="",G207="",G208="",G209="",G210="",G211="",G212="",G213="",G214="",G215="",G216="",G217="",G218="",G219="",G220="",G221="",G222="",G223="",G224="",G225="",G226="",G227="",G228="",G229="",G230="",G231="",G232="",G233="",G234="",G235="",G236="",G237="",G238=""),"Systems",""))</f>
        <v/>
      </c>
      <c r="H239" s="12" t="str">
        <f>IF('9b-Optional'!F53=0,"",'9b-Optional'!D53&amp;"x "&amp;'9b-Optional'!C53&amp;"L "&amp;'9b-Optional'!B53&amp;" Deconstructors")</f>
        <v/>
      </c>
      <c r="J239" s="265">
        <f>'9b-Optional'!F53</f>
        <v>0</v>
      </c>
    </row>
    <row r="240" spans="1:10" ht="16">
      <c r="A240" s="400" t="str">
        <f>IF(MAX(F:F)&lt;238,"",IF(INDEX(F:J,MATCH(238,F:F,0),2)=0,"",INDEX(F:J,MATCH(238,F:F,0),2)))</f>
        <v/>
      </c>
      <c r="B240" s="463" t="str">
        <f>IF(MAX(F:F)&lt;238,"",INDEX(F:J,MATCH(238,F:F,0),3))</f>
        <v/>
      </c>
      <c r="C240" s="4" t="str">
        <f>IF(MAX(F:F)&lt;238,"",INDEX(F:J,MATCH(238,F:F,0),4))</f>
        <v/>
      </c>
      <c r="D240" s="4" t="str">
        <f>IF(MAX(F:F)&lt;238,"",INDEX(F:J,MATCH(238,F:F,0),5))</f>
        <v/>
      </c>
      <c r="E240" s="73">
        <f t="shared" si="12"/>
        <v>47</v>
      </c>
      <c r="F240" s="73" t="str">
        <f t="shared" si="13"/>
        <v/>
      </c>
      <c r="G240" s="397" t="str">
        <f>IF(H240="","",IF(AND(G190="",G191="",G192="",G193="",G194="",G195="",G196="",G197="",G198="",G199="",G200="",G201="",G202="",G203="",G204="",G205="",G206="",G207="",G208="",G209="",G210="",G211="",G212="",G213="",G214="",G215="",G216="",G217="",G218="",G219="",G220="",G221="",G222="",G223="",G224="",G225="",G226="",G227="",G228="",G229="",G230="",G231="",G232="",G233="",G234="",G235="",G236="",G237="",G238="",G239=""),"Systems",""))</f>
        <v/>
      </c>
      <c r="H240" s="12" t="str">
        <f>IF('9b-Optional'!F57=0,"",'9b-Optional'!D57&amp;"x "&amp;'9b-Optional'!C57&amp;"L "&amp;'9b-Optional'!B57&amp;" Deconstructor/Fabricators")</f>
        <v/>
      </c>
      <c r="J240" s="265">
        <f>'9b-Optional'!F57</f>
        <v>0</v>
      </c>
    </row>
    <row r="241" spans="1:10" ht="16">
      <c r="A241" s="400" t="str">
        <f>IF(MAX(F:F)&lt;239,"",IF(INDEX(F:J,MATCH(239,F:F,0),2)=0,"",INDEX(F:J,MATCH(239,F:F,0),2)))</f>
        <v/>
      </c>
      <c r="B241" s="463" t="str">
        <f>IF(MAX(F:F)&lt;239,"",INDEX(F:J,MATCH(239,F:F,0),3))</f>
        <v/>
      </c>
      <c r="C241" s="4" t="str">
        <f>IF(MAX(F:F)&lt;239,"",INDEX(F:J,MATCH(239,F:F,0),4))</f>
        <v/>
      </c>
      <c r="D241" s="4" t="str">
        <f>IF(MAX(F:F)&lt;239,"",INDEX(F:J,MATCH(239,F:F,0),5))</f>
        <v/>
      </c>
      <c r="E241" s="73">
        <f t="shared" si="12"/>
        <v>47</v>
      </c>
      <c r="F241" s="73" t="str">
        <f t="shared" si="13"/>
        <v/>
      </c>
      <c r="G241" s="397" t="str">
        <f>IF(H241="","",IF(AND(G190="",G191="",G192="",G193="",G194="",G195="",G196="",G197="",G198="",G199="",G200="",G201="",G202="",G203="",G204="",G205="",G206="",G207="",G208="",G209="",G210="",G211="",G212="",G213="",G214="",G215="",G216="",G217="",G218="",G219="",G220="",G221="",G222="",G223="",G224="",G225="",G226="",G227="",G228="",G229="",G230="",G231="",G232="",G233="",G234="",G235="",G236="",G237="",G238="",G239="",G240=""),"Systems",""))</f>
        <v/>
      </c>
      <c r="H241" s="12" t="str">
        <f>IF('9b-Optional'!F58=0,"",'9b-Optional'!D58&amp;"x "&amp;'9b-Optional'!C58&amp;"L "&amp;'9b-Optional'!B58&amp;" Deconstructor/Fabricators")</f>
        <v/>
      </c>
      <c r="J241" s="265">
        <f>'9b-Optional'!F58</f>
        <v>0</v>
      </c>
    </row>
    <row r="242" spans="1:10" ht="16">
      <c r="A242" s="400" t="str">
        <f>IF(MAX(F:F)&lt;240,"",IF(INDEX(F:J,MATCH(240,F:F,0),2)=0,"",INDEX(F:J,MATCH(240,F:F,0),2)))</f>
        <v/>
      </c>
      <c r="B242" s="463" t="str">
        <f>IF(MAX(F:F)&lt;240,"",INDEX(F:J,MATCH(240,F:F,0),3))</f>
        <v/>
      </c>
      <c r="C242" s="4" t="str">
        <f>IF(MAX(F:F)&lt;240,"",INDEX(F:J,MATCH(240,F:F,0),4))</f>
        <v/>
      </c>
      <c r="D242" s="4" t="str">
        <f>IF(MAX(F:F)&lt;240,"",INDEX(F:J,MATCH(240,F:F,0),5))</f>
        <v/>
      </c>
      <c r="E242" s="73">
        <f t="shared" si="12"/>
        <v>47</v>
      </c>
      <c r="F242" s="73" t="str">
        <f t="shared" si="13"/>
        <v/>
      </c>
      <c r="G242" s="397" t="str">
        <f>IF(H242="","",IF(AND(G190="",G191="",G192="",G193="",G194="",G195="",G196="",G197="",G198="",G199="",G200="",G201="",G202="",G203="",G204="",G205="",G206="",G207="",G208="",G209="",G210="",G211="",G212="",G213="",G214="",G215="",G216="",G217="",G218="",G219="",G220="",G221="",G222="",G223="",G224="",G225="",G226="",G227="",G228="",G229="",G230="",G231="",G232="",G233="",G234="",G235="",G236="",G237="",G238="",G239="",G240="",G241=""),"Systems",""))</f>
        <v/>
      </c>
      <c r="H242" s="12" t="str">
        <f>IF('9b-Optional'!F59=0,"",'9b-Optional'!D59&amp;"x "&amp;'9b-Optional'!C59&amp;"L "&amp;'9b-Optional'!B59&amp;" Deconstructor/Fabricators")</f>
        <v/>
      </c>
      <c r="J242" s="265">
        <f>'9b-Optional'!F59</f>
        <v>0</v>
      </c>
    </row>
    <row r="243" spans="1:10" ht="16">
      <c r="A243" s="400" t="str">
        <f>IF(MAX(F:F)&lt;241,"",IF(INDEX(F:J,MATCH(241,F:F,0),2)=0,"",INDEX(F:J,MATCH(241,F:F,0),2)))</f>
        <v/>
      </c>
      <c r="B243" s="463" t="str">
        <f>IF(MAX(F:F)&lt;241,"",INDEX(F:J,MATCH(241,F:F,0),3))</f>
        <v/>
      </c>
      <c r="C243" s="4" t="str">
        <f>IF(MAX(F:F)&lt;241,"",INDEX(F:J,MATCH(241,F:F,0),4))</f>
        <v/>
      </c>
      <c r="D243" s="4" t="str">
        <f>IF(MAX(F:F)&lt;241,"",INDEX(F:J,MATCH(241,F:F,0),5))</f>
        <v/>
      </c>
      <c r="E243" s="73">
        <f t="shared" si="12"/>
        <v>47</v>
      </c>
      <c r="F243" s="73" t="str">
        <f t="shared" si="13"/>
        <v/>
      </c>
      <c r="G243" s="397" t="str">
        <f>IF(H243="","",IF(AND(G190="",G191="",G192="",G193="",G194="",G195="",G196="",G197="",G198="",G199="",G200="",G201="",G202="",G203="",G204="",G205="",G206="",G207="",G208="",G209="",G210="",G211="",G212="",G213="",G214="",G215="",G216="",G217="",G218="",G219="",G220="",G221="",G222="",G223="",G224="",G225="",G226="",G227="",G228="",G229="",G230="",G231="",G232="",G233="",G234="",G235="",G236="",G237="",G238="",G239="",G240="",G241="",G242=""),"Systems",""))</f>
        <v/>
      </c>
      <c r="H243" s="12" t="str">
        <f>IF('9b-Optional'!F61=0,"",'9b-Optional'!D61&amp;"x "&amp;'9b-Optional'!C61&amp;"L "&amp;'9b-Optional'!B61&amp;" Deconstructor/Fabricators")</f>
        <v/>
      </c>
      <c r="J243" s="265">
        <f>'9b-Optional'!F61</f>
        <v>0</v>
      </c>
    </row>
    <row r="244" spans="1:10" ht="16">
      <c r="A244" s="400" t="str">
        <f>IF(MAX(F:F)&lt;242,"",IF(INDEX(F:J,MATCH(242,F:F,0),2)=0,"",INDEX(F:J,MATCH(242,F:F,0),2)))</f>
        <v/>
      </c>
      <c r="B244" s="463" t="str">
        <f>IF(MAX(F:F)&lt;242,"",INDEX(F:J,MATCH(242,F:F,0),3))</f>
        <v/>
      </c>
      <c r="C244" s="4" t="str">
        <f>IF(MAX(F:F)&lt;242,"",INDEX(F:J,MATCH(242,F:F,0),4))</f>
        <v/>
      </c>
      <c r="D244" s="4" t="str">
        <f>IF(MAX(F:F)&lt;242,"",INDEX(F:J,MATCH(242,F:F,0),5))</f>
        <v/>
      </c>
      <c r="E244" s="73">
        <f t="shared" si="12"/>
        <v>47</v>
      </c>
      <c r="F244" s="73" t="str">
        <f t="shared" si="13"/>
        <v/>
      </c>
      <c r="G244" s="397" t="str">
        <f>IF(H244="","",IF(AND(G190="",G191="",G192="",G193="",G194="",G195="",G196="",G197="",G198="",G199="",G200="",G201="",G202="",G203="",G204="",G205="",G206="",G207="",G208="",G209="",G210="",G211="",G212="",G213="",G214="",G215="",G216="",G217="",G218="",G219="",G220="",G221="",G222="",G223="",G224="",G225="",G226="",G227="",G228="",G229="",G230="",G231="",G232="",G233="",G234="",G235="",G236="",G237="",G238="",G239="",G240="",G241="",G242="",G243=""),"Systems",""))</f>
        <v/>
      </c>
      <c r="H244" s="12" t="str">
        <f>IF('9b-Optional'!F62=0,"",'9b-Optional'!D62&amp;"x "&amp;'9b-Optional'!C62&amp;"L "&amp;'9b-Optional'!B62&amp;" Deconstructor/Fabricators")</f>
        <v/>
      </c>
      <c r="J244" s="265">
        <f>'9b-Optional'!F62</f>
        <v>0</v>
      </c>
    </row>
    <row r="245" spans="1:10" ht="16">
      <c r="A245" s="400" t="str">
        <f>IF(MAX(F:F)&lt;243,"",IF(INDEX(F:J,MATCH(243,F:F,0),2)=0,"",INDEX(F:J,MATCH(243,F:F,0),2)))</f>
        <v/>
      </c>
      <c r="B245" s="463" t="str">
        <f>IF(MAX(F:F)&lt;243,"",INDEX(F:J,MATCH(243,F:F,0),3))</f>
        <v/>
      </c>
      <c r="C245" s="4" t="str">
        <f>IF(MAX(F:F)&lt;243,"",INDEX(F:J,MATCH(243,F:F,0),4))</f>
        <v/>
      </c>
      <c r="D245" s="4" t="str">
        <f>IF(MAX(F:F)&lt;243,"",INDEX(F:J,MATCH(243,F:F,0),5))</f>
        <v/>
      </c>
      <c r="E245" s="73">
        <f t="shared" si="12"/>
        <v>47</v>
      </c>
      <c r="F245" s="73" t="str">
        <f t="shared" si="13"/>
        <v/>
      </c>
      <c r="G245" s="398" t="str">
        <f>IF(H245="","",IF(AND(G190="",G191="",G192="",G193="",G194="",G195="",G196="",G197="",G198="",G199="",G200="",G201="",G202="",G203="",G204="",G205="",G206="",G207="",G208="",G209="",G210="",G211="",G212="",G213="",G214="",G215="",G216="",G217="",G218="",G219="",G220="",G221="",G222="",G223="",G224="",G225="",G226="",G227="",G228="",G229="",G230="",G231="",G232="",G233="",G234="",G235="",G236="",G237="",G238="",G239="",G240="",G241="",G242="",G243="",G244=""),"Systems",""))</f>
        <v/>
      </c>
      <c r="H245" s="392" t="str">
        <f>IF('9b-Optional'!F63=0,"",'9b-Optional'!D63&amp;"x "&amp;'9b-Optional'!C63&amp;"L "&amp;'9b-Optional'!B63&amp;" Deconstructor/Fabricators")</f>
        <v/>
      </c>
      <c r="I245" s="403"/>
      <c r="J245" s="266">
        <f>'9b-Optional'!F63</f>
        <v>0</v>
      </c>
    </row>
    <row r="246" spans="1:10" ht="16">
      <c r="A246" s="400" t="str">
        <f>IF(MAX(F:F)&lt;244,"",IF(INDEX(F:J,MATCH(244,F:F,0),2)=0,"",INDEX(F:J,MATCH(244,F:F,0),2)))</f>
        <v/>
      </c>
      <c r="B246" s="463" t="str">
        <f>IF(MAX(F:F)&lt;244,"",INDEX(F:J,MATCH(244,F:F,0),3))</f>
        <v/>
      </c>
      <c r="C246" s="4" t="str">
        <f>IF(MAX(F:F)&lt;244,"",INDEX(F:J,MATCH(244,F:F,0),4))</f>
        <v/>
      </c>
      <c r="D246" s="4" t="str">
        <f>IF(MAX(F:F)&lt;244,"",INDEX(F:J,MATCH(244,F:F,0),5))</f>
        <v/>
      </c>
      <c r="E246" s="73">
        <f t="shared" si="12"/>
        <v>47</v>
      </c>
      <c r="F246" s="73" t="str">
        <f t="shared" si="13"/>
        <v/>
      </c>
      <c r="G246" s="401" t="str">
        <f>IF(H246="","","Research Facilities")</f>
        <v/>
      </c>
      <c r="H246" s="391" t="str">
        <f>IF('9b-Optional'!C66=0,"",'9b-Optional'!C66&amp;"x "&amp;'9b-Optional'!B66)</f>
        <v/>
      </c>
      <c r="I246" s="237">
        <f>'9b-Optional'!H66</f>
        <v>0</v>
      </c>
      <c r="J246" s="387">
        <f>'9b-Optional'!F66</f>
        <v>0</v>
      </c>
    </row>
    <row r="247" spans="1:10" ht="16">
      <c r="A247" s="400" t="str">
        <f>IF(MAX(F:F)&lt;245,"",IF(INDEX(F:J,MATCH(245,F:F,0),2)=0,"",INDEX(F:J,MATCH(245,F:F,0),2)))</f>
        <v/>
      </c>
      <c r="B247" s="463" t="str">
        <f>IF(MAX(F:F)&lt;245,"",INDEX(F:J,MATCH(245,F:F,0),3))</f>
        <v/>
      </c>
      <c r="C247" s="4" t="str">
        <f>IF(MAX(F:F)&lt;245,"",INDEX(F:J,MATCH(245,F:F,0),4))</f>
        <v/>
      </c>
      <c r="D247" s="4" t="str">
        <f>IF(MAX(F:F)&lt;245,"",INDEX(F:J,MATCH(245,F:F,0),5))</f>
        <v/>
      </c>
      <c r="E247" s="73">
        <f t="shared" si="12"/>
        <v>47</v>
      </c>
      <c r="F247" s="73" t="str">
        <f t="shared" si="13"/>
        <v/>
      </c>
      <c r="G247" s="397" t="str">
        <f>IF(H247="","",IF(G246="","Research Facilities",""))</f>
        <v/>
      </c>
      <c r="H247" s="12" t="str">
        <f>IF('9b-Optional'!C72=0,"",'9b-Optional'!C72&amp;"x "&amp;'9b-Optional'!B72)</f>
        <v/>
      </c>
      <c r="I247" s="4">
        <f>'9b-Optional'!H72</f>
        <v>0</v>
      </c>
      <c r="J247" s="265">
        <f>'9b-Optional'!F72</f>
        <v>0</v>
      </c>
    </row>
    <row r="248" spans="1:10" ht="16">
      <c r="A248" s="400" t="str">
        <f>IF(MAX(F:F)&lt;246,"",IF(INDEX(F:J,MATCH(246,F:F,0),2)=0,"",INDEX(F:J,MATCH(246,F:F,0),2)))</f>
        <v/>
      </c>
      <c r="B248" s="463" t="str">
        <f>IF(MAX(F:F)&lt;246,"",INDEX(F:J,MATCH(246,F:F,0),3))</f>
        <v/>
      </c>
      <c r="C248" s="4" t="str">
        <f>IF(MAX(F:F)&lt;246,"",INDEX(F:J,MATCH(246,F:F,0),4))</f>
        <v/>
      </c>
      <c r="D248" s="4" t="str">
        <f>IF(MAX(F:F)&lt;246,"",INDEX(F:J,MATCH(246,F:F,0),5))</f>
        <v/>
      </c>
      <c r="E248" s="73">
        <f t="shared" si="12"/>
        <v>47</v>
      </c>
      <c r="F248" s="73" t="str">
        <f t="shared" si="13"/>
        <v/>
      </c>
      <c r="G248" s="397" t="str">
        <f>IF(H248="","",IF(AND(G246="",G247=""),"Research Facilities",""))</f>
        <v/>
      </c>
      <c r="H248" s="12" t="str">
        <f>IF('9b-Optional'!C73=0,"",'9b-Optional'!C73&amp;"x "&amp;LEFT('9b-Optional'!B73,10))</f>
        <v/>
      </c>
      <c r="I248" s="4">
        <f>'9b-Optional'!H73</f>
        <v>0</v>
      </c>
      <c r="J248" s="265">
        <f>'9b-Optional'!F73</f>
        <v>0</v>
      </c>
    </row>
    <row r="249" spans="1:10" ht="16">
      <c r="A249" s="400" t="str">
        <f>IF(MAX(F:F)&lt;247,"",IF(INDEX(F:J,MATCH(247,F:F,0),2)=0,"",INDEX(F:J,MATCH(247,F:F,0),2)))</f>
        <v/>
      </c>
      <c r="B249" s="463" t="str">
        <f>IF(MAX(F:F)&lt;247,"",INDEX(F:J,MATCH(247,F:F,0),3))</f>
        <v/>
      </c>
      <c r="C249" s="4" t="str">
        <f>IF(MAX(F:F)&lt;247,"",INDEX(F:J,MATCH(247,F:F,0),4))</f>
        <v/>
      </c>
      <c r="D249" s="4" t="str">
        <f>IF(MAX(F:F)&lt;247,"",INDEX(F:J,MATCH(247,F:F,0),5))</f>
        <v/>
      </c>
      <c r="E249" s="73">
        <f t="shared" si="12"/>
        <v>47</v>
      </c>
      <c r="F249" s="73" t="str">
        <f t="shared" si="13"/>
        <v/>
      </c>
      <c r="G249" s="397" t="str">
        <f>IF(H249="","",IF(AND(G246="",G247="",G248=""),"Research Facilities",""))</f>
        <v/>
      </c>
      <c r="H249" s="12" t="str">
        <f>IF('9b-Optional'!C74=0,"",'9b-Optional'!C74&amp;"x "&amp;'9b-Optional'!B74)</f>
        <v/>
      </c>
      <c r="I249" s="4">
        <f>'9b-Optional'!H74</f>
        <v>0</v>
      </c>
      <c r="J249" s="265">
        <f>'9b-Optional'!F74</f>
        <v>0</v>
      </c>
    </row>
    <row r="250" spans="1:10" ht="16">
      <c r="A250" s="400" t="str">
        <f>IF(MAX(F:F)&lt;248,"",IF(INDEX(F:J,MATCH(248,F:F,0),2)=0,"",INDEX(F:J,MATCH(248,F:F,0),2)))</f>
        <v/>
      </c>
      <c r="B250" s="463" t="str">
        <f>IF(MAX(F:F)&lt;248,"",INDEX(F:J,MATCH(248,F:F,0),3))</f>
        <v/>
      </c>
      <c r="C250" s="4" t="str">
        <f>IF(MAX(F:F)&lt;248,"",INDEX(F:J,MATCH(248,F:F,0),4))</f>
        <v/>
      </c>
      <c r="D250" s="4" t="str">
        <f>IF(MAX(F:F)&lt;248,"",INDEX(F:J,MATCH(248,F:F,0),5))</f>
        <v/>
      </c>
      <c r="E250" s="73">
        <f t="shared" si="12"/>
        <v>47</v>
      </c>
      <c r="F250" s="73" t="str">
        <f t="shared" si="13"/>
        <v/>
      </c>
      <c r="G250" s="397" t="str">
        <f>IF(H250="","",IF(AND(G246="",G247="",G248="",G249=""),"Research Facilities",""))</f>
        <v/>
      </c>
      <c r="H250" s="12" t="str">
        <f>IF('9b-Optional'!C75=0,"",'9b-Optional'!C75&amp;"x "&amp;LEFT('9b-Optional'!B75,44))</f>
        <v/>
      </c>
      <c r="I250" s="4">
        <f>'9b-Optional'!H75</f>
        <v>0</v>
      </c>
      <c r="J250" s="265">
        <f>'9b-Optional'!F75</f>
        <v>0</v>
      </c>
    </row>
    <row r="251" spans="1:10" ht="16">
      <c r="A251" s="400" t="str">
        <f>IF(MAX(F:F)&lt;249,"",IF(INDEX(F:J,MATCH(249,F:F,0),2)=0,"",INDEX(F:J,MATCH(249,F:F,0),2)))</f>
        <v/>
      </c>
      <c r="B251" s="463" t="str">
        <f>IF(MAX(F:F)&lt;249,"",INDEX(F:J,MATCH(249,F:F,0),3))</f>
        <v/>
      </c>
      <c r="C251" s="4" t="str">
        <f>IF(MAX(F:F)&lt;249,"",INDEX(F:J,MATCH(249,F:F,0),4))</f>
        <v/>
      </c>
      <c r="D251" s="4" t="str">
        <f>IF(MAX(F:F)&lt;249,"",INDEX(F:J,MATCH(249,F:F,0),5))</f>
        <v/>
      </c>
      <c r="E251" s="73">
        <f t="shared" si="12"/>
        <v>47</v>
      </c>
      <c r="F251" s="73" t="str">
        <f t="shared" si="13"/>
        <v/>
      </c>
      <c r="G251" s="397" t="str">
        <f>IF(H251="","",IF(AND(G246="",G247="",G248="",G249="",G250=""),"Research Facilities",""))</f>
        <v/>
      </c>
      <c r="H251" s="12" t="str">
        <f>IF('9b-Optional'!C82=0,"",'9b-Optional'!C82&amp;"x "&amp;'9b-Optional'!B82&amp;" "&amp;'9b-Optional'!A82)</f>
        <v/>
      </c>
      <c r="I251" s="4">
        <f>'9b-Optional'!H82</f>
        <v>0</v>
      </c>
      <c r="J251" s="265">
        <f>'9b-Optional'!F82</f>
        <v>0</v>
      </c>
    </row>
    <row r="252" spans="1:10" ht="16">
      <c r="A252" s="400" t="str">
        <f>IF(MAX(F:F)&lt;250,"",IF(INDEX(F:J,MATCH(250,F:F,0),2)=0,"",INDEX(F:J,MATCH(250,F:F,0),2)))</f>
        <v/>
      </c>
      <c r="B252" s="463" t="str">
        <f>IF(MAX(F:F)&lt;250,"",INDEX(F:J,MATCH(250,F:F,0),3))</f>
        <v/>
      </c>
      <c r="C252" s="4" t="str">
        <f>IF(MAX(F:F)&lt;250,"",INDEX(F:J,MATCH(250,F:F,0),4))</f>
        <v/>
      </c>
      <c r="D252" s="4" t="str">
        <f>IF(MAX(F:F)&lt;250,"",INDEX(F:J,MATCH(250,F:F,0),5))</f>
        <v/>
      </c>
      <c r="E252" s="73">
        <f t="shared" si="12"/>
        <v>47</v>
      </c>
      <c r="F252" s="73" t="str">
        <f t="shared" si="13"/>
        <v/>
      </c>
      <c r="G252" s="397" t="str">
        <f>IF(H252="","",IF(AND(G246="",G247="",G248="",G249="",G250="",G251=""),"Research Facilities",""))</f>
        <v/>
      </c>
      <c r="H252" s="12" t="str">
        <f>IF('9b-Optional'!C83=0,"",'9b-Optional'!C83&amp;"x "&amp;'9b-Optional'!B83&amp;" "&amp;'9b-Optional'!A83)</f>
        <v/>
      </c>
      <c r="I252" s="4">
        <f>'9b-Optional'!H83</f>
        <v>0</v>
      </c>
      <c r="J252" s="265">
        <f>'9b-Optional'!F83</f>
        <v>0</v>
      </c>
    </row>
    <row r="253" spans="1:10" ht="16">
      <c r="A253" s="400" t="str">
        <f>IF(MAX(F:F)&lt;251,"",IF(INDEX(F:J,MATCH(251,F:F,0),2)=0,"",INDEX(F:J,MATCH(251,F:F,0),2)))</f>
        <v/>
      </c>
      <c r="B253" s="463" t="str">
        <f>IF(MAX(F:F)&lt;251,"",INDEX(F:J,MATCH(251,F:F,0),3))</f>
        <v/>
      </c>
      <c r="C253" s="4" t="str">
        <f>IF(MAX(F:F)&lt;251,"",INDEX(F:J,MATCH(251,F:F,0),4))</f>
        <v/>
      </c>
      <c r="D253" s="4" t="str">
        <f>IF(MAX(F:F)&lt;251,"",INDEX(F:J,MATCH(251,F:F,0),5))</f>
        <v/>
      </c>
      <c r="E253" s="73">
        <f t="shared" si="12"/>
        <v>47</v>
      </c>
      <c r="F253" s="73" t="str">
        <f t="shared" si="13"/>
        <v/>
      </c>
      <c r="G253" s="397" t="str">
        <f>IF(H253="","",IF(AND(G246="",G247="",G248="",G249="",G250="",G251="",G252=""),"Research Facilities",""))</f>
        <v/>
      </c>
      <c r="H253" s="12" t="str">
        <f>IF('9b-Optional'!C84=0,"",'9b-Optional'!C84&amp;"x "&amp;'9b-Optional'!B84&amp;" "&amp;'9b-Optional'!A84)</f>
        <v/>
      </c>
      <c r="I253" s="4">
        <f>'9b-Optional'!H84</f>
        <v>0</v>
      </c>
      <c r="J253" s="265">
        <f>'9b-Optional'!F84</f>
        <v>0</v>
      </c>
    </row>
    <row r="254" spans="1:10" ht="16">
      <c r="A254" s="400" t="str">
        <f>IF(MAX(F:F)&lt;252,"",IF(INDEX(F:J,MATCH(252,F:F,0),2)=0,"",INDEX(F:J,MATCH(252,F:F,0),2)))</f>
        <v/>
      </c>
      <c r="B254" s="463" t="str">
        <f>IF(MAX(F:F)&lt;252,"",INDEX(F:J,MATCH(252,F:F,0),3))</f>
        <v/>
      </c>
      <c r="C254" s="4" t="str">
        <f>IF(MAX(F:F)&lt;252,"",INDEX(F:J,MATCH(252,F:F,0),4))</f>
        <v/>
      </c>
      <c r="D254" s="4" t="str">
        <f>IF(MAX(F:F)&lt;252,"",INDEX(F:J,MATCH(252,F:F,0),5))</f>
        <v/>
      </c>
      <c r="E254" s="73">
        <f t="shared" si="12"/>
        <v>47</v>
      </c>
      <c r="F254" s="73" t="str">
        <f t="shared" si="13"/>
        <v/>
      </c>
      <c r="G254" s="397" t="str">
        <f>IF(H254="","",IF(AND(G246="",G247="",G248="",G249="",G250="",G251="",G252="",G253=""),"Research Facilities",""))</f>
        <v/>
      </c>
      <c r="H254" s="12" t="str">
        <f>IF('9b-Optional'!C85=0,"",'9b-Optional'!A85&amp;" "&amp;'9b-Optional'!B85)</f>
        <v/>
      </c>
      <c r="I254" s="4">
        <f>'9b-Optional'!H85</f>
        <v>0</v>
      </c>
      <c r="J254" s="265">
        <f>'9b-Optional'!F85</f>
        <v>0</v>
      </c>
    </row>
    <row r="255" spans="1:10" ht="16">
      <c r="A255" s="400" t="str">
        <f>IF(MAX(F:F)&lt;253,"",IF(INDEX(F:J,MATCH(253,F:F,0),2)=0,"",INDEX(F:J,MATCH(253,F:F,0),2)))</f>
        <v/>
      </c>
      <c r="B255" s="463" t="str">
        <f>IF(MAX(F:F)&lt;253,"",INDEX(F:J,MATCH(253,F:F,0),3))</f>
        <v/>
      </c>
      <c r="C255" s="4" t="str">
        <f>IF(MAX(F:F)&lt;253,"",INDEX(F:J,MATCH(253,F:F,0),4))</f>
        <v/>
      </c>
      <c r="D255" s="4" t="str">
        <f>IF(MAX(F:F)&lt;253,"",INDEX(F:J,MATCH(253,F:F,0),5))</f>
        <v/>
      </c>
      <c r="E255" s="73">
        <f t="shared" si="12"/>
        <v>47</v>
      </c>
      <c r="F255" s="73" t="str">
        <f t="shared" si="13"/>
        <v/>
      </c>
      <c r="G255" s="397" t="str">
        <f>IF(H255="","",IF(AND(G246="",G247="",G248="",G249="",G250="",G251="",G252="",G253="",G254=""),"Research Facilities",""))</f>
        <v/>
      </c>
      <c r="H255" s="12" t="str">
        <f>IF('9b-Optional'!C68=0,"",'9b-Optional'!C68&amp;"x "&amp;'9b-Optional'!B68&amp;IF('9b-Optional'!D68=0,""," + "&amp;'9b-Optional'!D68*'9b-Optional'!C68&amp;" Scientists"))</f>
        <v/>
      </c>
      <c r="I255" s="4">
        <f>'9b-Optional'!H68</f>
        <v>0</v>
      </c>
      <c r="J255" s="265">
        <f>'9b-Optional'!F68</f>
        <v>0</v>
      </c>
    </row>
    <row r="256" spans="1:10" ht="16">
      <c r="A256" s="400" t="str">
        <f>IF(MAX(F:F)&lt;254,"",IF(INDEX(F:J,MATCH(254,F:F,0),2)=0,"",INDEX(F:J,MATCH(254,F:F,0),2)))</f>
        <v/>
      </c>
      <c r="B256" s="463" t="str">
        <f>IF(MAX(F:F)&lt;254,"",INDEX(F:J,MATCH(254,F:F,0),3))</f>
        <v/>
      </c>
      <c r="C256" s="4" t="str">
        <f>IF(MAX(F:F)&lt;254,"",INDEX(F:J,MATCH(254,F:F,0),4))</f>
        <v/>
      </c>
      <c r="D256" s="4" t="str">
        <f>IF(MAX(F:F)&lt;254,"",INDEX(F:J,MATCH(254,F:F,0),5))</f>
        <v/>
      </c>
      <c r="E256" s="73">
        <f t="shared" si="12"/>
        <v>47</v>
      </c>
      <c r="F256" s="73" t="str">
        <f t="shared" si="13"/>
        <v/>
      </c>
      <c r="G256" s="397" t="str">
        <f>IF(H256="","",IF(AND(G246="",G247="",G248="",G249="",G250="",G251="",G252="",G253="",G254="",G255=""),"Research Facilities",""))</f>
        <v/>
      </c>
      <c r="H256" s="12" t="str">
        <f>IF('9b-Optional'!C69=0,"",'9b-Optional'!C69&amp;"x "&amp;'9b-Optional'!B69&amp;IF('9b-Optional'!D69=0,""," + "&amp;'9b-Optional'!D69*'9b-Optional'!C69&amp;" Scientists"))</f>
        <v/>
      </c>
      <c r="I256" s="4">
        <f>'9b-Optional'!H69</f>
        <v>0</v>
      </c>
      <c r="J256" s="265">
        <f>'9b-Optional'!F69</f>
        <v>0</v>
      </c>
    </row>
    <row r="257" spans="1:10" ht="16">
      <c r="A257" s="400" t="str">
        <f>IF(MAX(F:F)&lt;255,"",IF(INDEX(F:J,MATCH(255,F:F,0),2)=0,"",INDEX(F:J,MATCH(255,F:F,0),2)))</f>
        <v/>
      </c>
      <c r="B257" s="463" t="str">
        <f>IF(MAX(F:F)&lt;255,"",INDEX(F:J,MATCH(255,F:F,0),3))</f>
        <v/>
      </c>
      <c r="C257" s="4" t="str">
        <f>IF(MAX(F:F)&lt;255,"",INDEX(F:J,MATCH(255,F:F,0),4))</f>
        <v/>
      </c>
      <c r="D257" s="4" t="str">
        <f>IF(MAX(F:F)&lt;255,"",INDEX(F:J,MATCH(255,F:F,0),5))</f>
        <v/>
      </c>
      <c r="E257" s="73">
        <f t="shared" si="12"/>
        <v>47</v>
      </c>
      <c r="F257" s="73" t="str">
        <f t="shared" si="13"/>
        <v/>
      </c>
      <c r="G257" s="397" t="str">
        <f>IF(H257="","",IF(AND(G246="",G247="",G248="",G249="",G250="",G251="",G252="",G253="",G254="",G255="",G256=""),"Research Facilities",""))</f>
        <v/>
      </c>
      <c r="H257" s="12" t="str">
        <f>IF('9b-Optional'!C70=0,"",'9b-Optional'!C70&amp;"x "&amp;'9b-Optional'!B70&amp;IF('9b-Optional'!D70=0,""," + "&amp;'9b-Optional'!D70*'9b-Optional'!C70&amp;" Scientists"))</f>
        <v/>
      </c>
      <c r="I257" s="4">
        <f>'9b-Optional'!H70</f>
        <v>0</v>
      </c>
      <c r="J257" s="265">
        <f>'9b-Optional'!F70</f>
        <v>0</v>
      </c>
    </row>
    <row r="258" spans="1:10" ht="16">
      <c r="A258" s="400" t="str">
        <f>IF(MAX(F:F)&lt;256,"",IF(INDEX(F:J,MATCH(256,F:F,0),2)=0,"",INDEX(F:J,MATCH(256,F:F,0),2)))</f>
        <v/>
      </c>
      <c r="B258" s="463" t="str">
        <f>IF(MAX(F:F)&lt;256,"",INDEX(F:J,MATCH(256,F:F,0),3))</f>
        <v/>
      </c>
      <c r="C258" s="4" t="str">
        <f>IF(MAX(F:F)&lt;256,"",INDEX(F:J,MATCH(256,F:F,0),4))</f>
        <v/>
      </c>
      <c r="D258" s="4" t="str">
        <f>IF(MAX(F:F)&lt;256,"",INDEX(F:J,MATCH(256,F:F,0),5))</f>
        <v/>
      </c>
      <c r="E258" s="73">
        <f t="shared" si="12"/>
        <v>47</v>
      </c>
      <c r="F258" s="73" t="str">
        <f t="shared" si="13"/>
        <v/>
      </c>
      <c r="G258" s="397" t="str">
        <f>IF(H258="","",IF(AND(G246="",G247="",G248="",G249="",G250="",G251="",G252="",G253="",G254="",G255="",G256="",G257=""),"Research Facilities",""))</f>
        <v/>
      </c>
      <c r="H258" s="76" t="str">
        <f>IF('9b-Optional'!C71=0,"",'9b-Optional'!B71)</f>
        <v/>
      </c>
      <c r="I258" s="4">
        <f>'9b-Optional'!H71</f>
        <v>0</v>
      </c>
      <c r="J258" s="265">
        <f>'9b-Optional'!F71</f>
        <v>0</v>
      </c>
    </row>
    <row r="259" spans="1:10" ht="16">
      <c r="A259" s="400" t="str">
        <f>IF(MAX(F:F)&lt;257,"",IF(INDEX(F:J,MATCH(257,F:F,0),2)=0,"",INDEX(F:J,MATCH(257,F:F,0),2)))</f>
        <v/>
      </c>
      <c r="B259" s="463" t="str">
        <f>IF(MAX(F:F)&lt;257,"",INDEX(F:J,MATCH(257,F:F,0),3))</f>
        <v/>
      </c>
      <c r="C259" s="4" t="str">
        <f>IF(MAX(F:F)&lt;257,"",INDEX(F:J,MATCH(257,F:F,0),4))</f>
        <v/>
      </c>
      <c r="D259" s="4" t="str">
        <f>IF(MAX(F:F)&lt;257,"",INDEX(F:J,MATCH(257,F:F,0),5))</f>
        <v/>
      </c>
      <c r="E259" s="73">
        <f t="shared" si="12"/>
        <v>47</v>
      </c>
      <c r="F259" s="73" t="str">
        <f t="shared" si="13"/>
        <v/>
      </c>
      <c r="G259" s="397" t="str">
        <f>IF(H259="","",IF(AND(G246="",G247="",G248="",G249="",G250="",G251="",G252="",G253="",G254="",G255="",G256="",G257="",G258=""),"Research Facilities",""))</f>
        <v/>
      </c>
      <c r="H259" s="12" t="str">
        <f>IF('9b-Optional'!C77=0,"",'9b-Optional'!C77&amp;"x "&amp;'9b-Optional'!A77&amp;'9b-Optional'!S75)</f>
        <v/>
      </c>
      <c r="I259" s="4">
        <f>'9b-Optional'!H77</f>
        <v>0</v>
      </c>
      <c r="J259" s="265">
        <f>'9b-Optional'!F77</f>
        <v>0</v>
      </c>
    </row>
    <row r="260" spans="1:10" ht="16">
      <c r="A260" s="400" t="str">
        <f>IF(MAX(F:F)&lt;258,"",IF(INDEX(F:J,MATCH(258,F:F,0),2)=0,"",INDEX(F:J,MATCH(258,F:F,0),2)))</f>
        <v/>
      </c>
      <c r="B260" s="463" t="str">
        <f>IF(MAX(F:F)&lt;258,"",INDEX(F:J,MATCH(258,F:F,0),3))</f>
        <v/>
      </c>
      <c r="C260" s="4" t="str">
        <f>IF(MAX(F:F)&lt;258,"",INDEX(F:J,MATCH(258,F:F,0),4))</f>
        <v/>
      </c>
      <c r="D260" s="4" t="str">
        <f>IF(MAX(F:F)&lt;258,"",INDEX(F:J,MATCH(258,F:F,0),5))</f>
        <v/>
      </c>
      <c r="E260" s="73">
        <f t="shared" si="12"/>
        <v>47</v>
      </c>
      <c r="F260" s="73" t="str">
        <f t="shared" si="13"/>
        <v/>
      </c>
      <c r="G260" s="397" t="str">
        <f>IF(H260="","",IF(AND(G246="",G247="",G248="",G249="",G250="",G251="",G252="",G253="",G254="",G255="",G256="",G257="",G258="",G259=""),"Research Facilities",""))</f>
        <v/>
      </c>
      <c r="H260" s="12" t="str">
        <f>IF('9b-Optional'!C78=0,"",'9b-Optional'!C78&amp;"x "&amp;'9b-Optional'!A78&amp;'9b-Optional'!S77)</f>
        <v/>
      </c>
      <c r="I260" s="4">
        <f>'9b-Optional'!H78</f>
        <v>0</v>
      </c>
      <c r="J260" s="265">
        <f>'9b-Optional'!F78</f>
        <v>0</v>
      </c>
    </row>
    <row r="261" spans="1:10" ht="16">
      <c r="A261" s="400" t="str">
        <f>IF(MAX(F:F)&lt;259,"",IF(INDEX(F:J,MATCH(259,F:F,0),2)=0,"",INDEX(F:J,MATCH(259,F:F,0),2)))</f>
        <v/>
      </c>
      <c r="B261" s="463" t="str">
        <f>IF(MAX(F:F)&lt;259,"",INDEX(F:J,MATCH(259,F:F,0),3))</f>
        <v/>
      </c>
      <c r="C261" s="4" t="str">
        <f>IF(MAX(F:F)&lt;259,"",INDEX(F:J,MATCH(259,F:F,0),4))</f>
        <v/>
      </c>
      <c r="D261" s="4" t="str">
        <f>IF(MAX(F:F)&lt;259,"",INDEX(F:J,MATCH(259,F:F,0),5))</f>
        <v/>
      </c>
      <c r="E261" s="73">
        <f t="shared" si="12"/>
        <v>47</v>
      </c>
      <c r="F261" s="73" t="str">
        <f t="shared" si="13"/>
        <v/>
      </c>
      <c r="G261" s="397" t="str">
        <f>IF(H261="","",IF(AND(G246="",G247="",G248="",G249="",G250="",G251="",G252="",G253="",G254="",G255="",G256="",G257="",G258="",G259="",G260=""),"Research Facilities",""))</f>
        <v/>
      </c>
      <c r="H261" s="12" t="str">
        <f>IF('9b-Optional'!C79=0,"",'9b-Optional'!C79&amp;"x "&amp;'9b-Optional'!A79&amp;'9b-Optional'!S79)</f>
        <v/>
      </c>
      <c r="I261" s="4">
        <f>'9b-Optional'!H79</f>
        <v>0</v>
      </c>
      <c r="J261" s="265">
        <f>'9b-Optional'!F79</f>
        <v>0</v>
      </c>
    </row>
    <row r="262" spans="1:10" ht="16">
      <c r="A262" s="400" t="str">
        <f>IF(MAX(F:F)&lt;260,"",IF(INDEX(F:J,MATCH(260,F:F,0),2)=0,"",INDEX(F:J,MATCH(260,F:F,0),2)))</f>
        <v/>
      </c>
      <c r="B262" s="463" t="str">
        <f>IF(MAX(F:F)&lt;260,"",INDEX(F:J,MATCH(260,F:F,0),3))</f>
        <v/>
      </c>
      <c r="C262" s="4" t="str">
        <f>IF(MAX(F:F)&lt;260,"",INDEX(F:J,MATCH(260,F:F,0),4))</f>
        <v/>
      </c>
      <c r="D262" s="4" t="str">
        <f>IF(MAX(F:F)&lt;260,"",INDEX(F:J,MATCH(260,F:F,0),5))</f>
        <v/>
      </c>
      <c r="E262" s="73">
        <f t="shared" si="12"/>
        <v>47</v>
      </c>
      <c r="F262" s="73" t="str">
        <f t="shared" si="13"/>
        <v/>
      </c>
      <c r="G262" s="397" t="str">
        <f>IF(H262="","",IF(AND(G246="",G247="",G248="",G249="",G250="",G251="",G252="",G253="",G254="",G255="",G256="",G257="",G258="",G259="",G260="",G261=""),"Research Facilities",""))</f>
        <v/>
      </c>
      <c r="H262" s="12" t="str">
        <f>IF('9b-Optional'!C80=0,"",'9b-Optional'!C80&amp;"x"&amp;'9b-Optional'!A80&amp;'9b-Optional'!S81)</f>
        <v/>
      </c>
      <c r="I262" s="4">
        <f>'9b-Optional'!H80</f>
        <v>0</v>
      </c>
      <c r="J262" s="265">
        <f>'9b-Optional'!F80</f>
        <v>0</v>
      </c>
    </row>
    <row r="263" spans="1:10" ht="16">
      <c r="A263" s="400" t="str">
        <f>IF(MAX(F:F)&lt;261,"",IF(INDEX(F:J,MATCH(261,F:F,0),2)=0,"",INDEX(F:J,MATCH(261,F:F,0),2)))</f>
        <v/>
      </c>
      <c r="B263" s="463" t="str">
        <f>IF(MAX(F:F)&lt;261,"",INDEX(F:J,MATCH(261,F:F,0),3))</f>
        <v/>
      </c>
      <c r="C263" s="4" t="str">
        <f>IF(MAX(F:F)&lt;261,"",INDEX(F:J,MATCH(261,F:F,0),4))</f>
        <v/>
      </c>
      <c r="D263" s="4" t="str">
        <f>IF(MAX(F:F)&lt;261,"",INDEX(F:J,MATCH(261,F:F,0),5))</f>
        <v/>
      </c>
      <c r="E263" s="73">
        <f t="shared" si="12"/>
        <v>47</v>
      </c>
      <c r="F263" s="73" t="str">
        <f t="shared" si="13"/>
        <v/>
      </c>
      <c r="G263" s="397" t="str">
        <f>IF(H263="","",IF(AND(G246="",G247="",G248="",G249="",G250="",G251="",G252="",G253="",G254="",G255="",G256="",G257="",G258="",G259="",G260="",G261="",G262=""),"Research Facilities",""))</f>
        <v/>
      </c>
      <c r="H263" s="12" t="str">
        <f>IF('9b-Optional'!C81=0,"",'9b-Optional'!C81&amp;"x "&amp;'9b-Optional'!A81&amp;'9b-Optional'!S83)</f>
        <v/>
      </c>
      <c r="I263" s="4">
        <f>'9b-Optional'!H81</f>
        <v>0</v>
      </c>
      <c r="J263" s="265">
        <f>'9b-Optional'!F81</f>
        <v>0</v>
      </c>
    </row>
    <row r="264" spans="1:10" ht="16">
      <c r="A264" s="400" t="str">
        <f>IF(MAX(F:F)&lt;262,"",IF(INDEX(F:J,MATCH(262,F:F,0),2)=0,"",INDEX(F:J,MATCH(262,F:F,0),2)))</f>
        <v/>
      </c>
      <c r="B264" s="463" t="str">
        <f>IF(MAX(F:F)&lt;262,"",INDEX(F:J,MATCH(262,F:F,0),3))</f>
        <v/>
      </c>
      <c r="C264" s="4" t="str">
        <f>IF(MAX(F:F)&lt;262,"",INDEX(F:J,MATCH(262,F:F,0),4))</f>
        <v/>
      </c>
      <c r="D264" s="4" t="str">
        <f>IF(MAX(F:F)&lt;262,"",INDEX(F:J,MATCH(262,F:F,0),5))</f>
        <v/>
      </c>
      <c r="E264" s="73">
        <f t="shared" si="12"/>
        <v>47</v>
      </c>
      <c r="F264" s="73" t="str">
        <f t="shared" si="13"/>
        <v/>
      </c>
      <c r="G264" s="401" t="str">
        <f>IF(H264="","","Residential Zones")</f>
        <v/>
      </c>
      <c r="H264" s="391" t="str">
        <f>IF('9b-Optional'!C91=0,"",'9b-Optional'!C91&amp;"x "&amp;'9b-Optional'!B91)</f>
        <v/>
      </c>
      <c r="I264" s="237">
        <f>'9b-Optional'!H91</f>
        <v>0</v>
      </c>
      <c r="J264" s="387">
        <f>'9b-Optional'!F91</f>
        <v>0</v>
      </c>
    </row>
    <row r="265" spans="1:10" ht="16">
      <c r="A265" s="400" t="str">
        <f>IF(MAX(F:F)&lt;263,"",IF(INDEX(F:J,MATCH(263,F:F,0),2)=0,"",INDEX(F:J,MATCH(263,F:F,0),2)))</f>
        <v/>
      </c>
      <c r="B265" s="463" t="str">
        <f>IF(MAX(F:F)&lt;263,"",INDEX(F:J,MATCH(263,F:F,0),3))</f>
        <v/>
      </c>
      <c r="C265" s="4" t="str">
        <f>IF(MAX(F:F)&lt;263,"",INDEX(F:J,MATCH(263,F:F,0),4))</f>
        <v/>
      </c>
      <c r="D265" s="4" t="str">
        <f>IF(MAX(F:F)&lt;263,"",INDEX(F:J,MATCH(263,F:F,0),5))</f>
        <v/>
      </c>
      <c r="E265" s="73">
        <f t="shared" si="12"/>
        <v>47</v>
      </c>
      <c r="F265" s="73" t="str">
        <f t="shared" si="13"/>
        <v/>
      </c>
      <c r="G265" s="397" t="str">
        <f>IF(H265="","",IF(G264="","Residential Zones",""))</f>
        <v/>
      </c>
      <c r="H265" s="12" t="str">
        <f>IF('9b-Optional'!C92=0,"",'9b-Optional'!C92&amp;"x "&amp;'9b-Optional'!B92)</f>
        <v/>
      </c>
      <c r="I265" s="4">
        <f>'9b-Optional'!H92</f>
        <v>0</v>
      </c>
      <c r="J265" s="265">
        <f>'9b-Optional'!F92</f>
        <v>0</v>
      </c>
    </row>
    <row r="266" spans="1:10" ht="16">
      <c r="A266" s="400" t="str">
        <f>IF(MAX(F:F)&lt;264,"",IF(INDEX(F:J,MATCH(264,F:F,0),2)=0,"",INDEX(F:J,MATCH(264,F:F,0),2)))</f>
        <v/>
      </c>
      <c r="B266" s="463" t="str">
        <f>IF(MAX(F:F)&lt;264,"",INDEX(F:J,MATCH(264,F:F,0),3))</f>
        <v/>
      </c>
      <c r="C266" s="4" t="str">
        <f>IF(MAX(F:F)&lt;264,"",INDEX(F:J,MATCH(264,F:F,0),4))</f>
        <v/>
      </c>
      <c r="D266" s="4" t="str">
        <f>IF(MAX(F:F)&lt;264,"",INDEX(F:J,MATCH(264,F:F,0),5))</f>
        <v/>
      </c>
      <c r="E266" s="73">
        <f t="shared" ref="E266:E285" si="14">IF(H266="",E265,E265+1)</f>
        <v>47</v>
      </c>
      <c r="F266" s="73" t="str">
        <f t="shared" ref="F266:F285" si="15">IF(E266=E265,"",E266)</f>
        <v/>
      </c>
      <c r="G266" s="397" t="str">
        <f>IF(H266="","",IF(AND(G264="",G265=""),"Residential Zones",""))</f>
        <v/>
      </c>
      <c r="H266" s="12" t="str">
        <f>IF('9b-Optional'!C93=0,"",'9b-Optional'!C93&amp;"x "&amp;'9b-Optional'!B93)</f>
        <v/>
      </c>
      <c r="I266" s="4">
        <f>'9b-Optional'!H93</f>
        <v>0</v>
      </c>
      <c r="J266" s="265">
        <f>'9b-Optional'!F93</f>
        <v>0</v>
      </c>
    </row>
    <row r="267" spans="1:10" ht="16">
      <c r="A267" s="400" t="str">
        <f>IF(MAX(F:F)&lt;265,"",IF(INDEX(F:J,MATCH(265,F:F,0),2)=0,"",INDEX(F:J,MATCH(265,F:F,0),2)))</f>
        <v/>
      </c>
      <c r="B267" s="463" t="str">
        <f>IF(MAX(F:F)&lt;265,"",INDEX(F:J,MATCH(265,F:F,0),3))</f>
        <v/>
      </c>
      <c r="C267" s="4" t="str">
        <f>IF(MAX(F:F)&lt;265,"",INDEX(F:J,MATCH(265,F:F,0),4))</f>
        <v/>
      </c>
      <c r="D267" s="4" t="str">
        <f>IF(MAX(F:F)&lt;265,"",INDEX(F:J,MATCH(265,F:F,0),5))</f>
        <v/>
      </c>
      <c r="E267" s="73">
        <f t="shared" si="14"/>
        <v>47</v>
      </c>
      <c r="F267" s="73" t="str">
        <f t="shared" si="15"/>
        <v/>
      </c>
      <c r="G267" s="397" t="str">
        <f>IF(H267="","",IF(AND(G264="",G265="",G266=""),"Residential Zones",""))</f>
        <v/>
      </c>
      <c r="H267" s="12" t="str">
        <f>IF('9b-Optional'!C94=0,"",'9b-Optional'!C94&amp;"x "&amp;'9b-Optional'!B94)</f>
        <v/>
      </c>
      <c r="I267" s="4">
        <f>'9b-Optional'!H94</f>
        <v>0</v>
      </c>
      <c r="J267" s="265">
        <f>'9b-Optional'!F94</f>
        <v>0</v>
      </c>
    </row>
    <row r="268" spans="1:10" ht="16">
      <c r="A268" s="400" t="str">
        <f>IF(MAX(F:F)&lt;266,"",IF(INDEX(F:J,MATCH(266,F:F,0),2)=0,"",INDEX(F:J,MATCH(266,F:F,0),2)))</f>
        <v/>
      </c>
      <c r="B268" s="463" t="str">
        <f>IF(MAX(F:F)&lt;266,"",INDEX(F:J,MATCH(266,F:F,0),3))</f>
        <v/>
      </c>
      <c r="C268" s="4" t="str">
        <f>IF(MAX(F:F)&lt;266,"",INDEX(F:J,MATCH(266,F:F,0),4))</f>
        <v/>
      </c>
      <c r="D268" s="4" t="str">
        <f>IF(MAX(F:F)&lt;266,"",INDEX(F:J,MATCH(266,F:F,0),5))</f>
        <v/>
      </c>
      <c r="E268" s="73">
        <f t="shared" si="14"/>
        <v>47</v>
      </c>
      <c r="F268" s="73" t="str">
        <f t="shared" si="15"/>
        <v/>
      </c>
      <c r="G268" s="397" t="str">
        <f>IF(H268="","",IF(AND(G264="",G265="",G266="",G267=""),"Residential Zones",""))</f>
        <v/>
      </c>
      <c r="H268" s="392" t="str">
        <f>IF('9b-Optional'!H95=0,"","Residential Zone "&amp;'9b-Optional'!B95)</f>
        <v/>
      </c>
      <c r="I268" s="403">
        <f>'9b-Optional'!H95</f>
        <v>0</v>
      </c>
      <c r="J268" s="266">
        <f>'9b-Optional'!F95</f>
        <v>0</v>
      </c>
    </row>
    <row r="269" spans="1:10" ht="16">
      <c r="A269" s="400" t="str">
        <f>IF(MAX(F:F)&lt;267,"",IF(INDEX(F:J,MATCH(267,F:F,0),2)=0,"",INDEX(F:J,MATCH(267,F:F,0),2)))</f>
        <v/>
      </c>
      <c r="B269" s="463" t="str">
        <f>IF(MAX(F:F)&lt;267,"",INDEX(F:J,MATCH(267,F:F,0),3))</f>
        <v/>
      </c>
      <c r="C269" s="4" t="str">
        <f>IF(MAX(F:F)&lt;267,"",INDEX(F:J,MATCH(267,F:F,0),4))</f>
        <v/>
      </c>
      <c r="D269" s="4" t="str">
        <f>IF(MAX(F:F)&lt;267,"",INDEX(F:J,MATCH(267,F:F,0),5))</f>
        <v/>
      </c>
      <c r="E269" s="73">
        <f t="shared" si="14"/>
        <v>47</v>
      </c>
      <c r="F269" s="73" t="str">
        <f t="shared" si="15"/>
        <v/>
      </c>
      <c r="G269" s="399" t="str">
        <f>IF(H269="","","Commercial Zones")</f>
        <v/>
      </c>
      <c r="H269" s="393" t="str">
        <f>IF('9b-Optional'!C97=0,"","Commercial "&amp;'9b-Optional'!A97)</f>
        <v/>
      </c>
      <c r="I269" s="420">
        <f>'9b-Optional'!H97</f>
        <v>0</v>
      </c>
      <c r="J269" s="388">
        <f>'9b-Optional'!F97</f>
        <v>0</v>
      </c>
    </row>
    <row r="270" spans="1:10" ht="16">
      <c r="A270" s="400" t="str">
        <f>IF(MAX(F:F)&lt;268,"",IF(INDEX(F:J,MATCH(268,F:F,0),2)=0,"",INDEX(F:J,MATCH(268,F:F,0),2)))</f>
        <v/>
      </c>
      <c r="B270" s="463" t="str">
        <f>IF(MAX(F:F)&lt;268,"",INDEX(F:J,MATCH(268,F:F,0),3))</f>
        <v/>
      </c>
      <c r="C270" s="4" t="str">
        <f>IF(MAX(F:F)&lt;268,"",INDEX(F:J,MATCH(268,F:F,0),4))</f>
        <v/>
      </c>
      <c r="D270" s="4" t="str">
        <f>IF(MAX(F:F)&lt;268,"",INDEX(F:J,MATCH(268,F:F,0),5))</f>
        <v/>
      </c>
      <c r="E270" s="73">
        <f t="shared" si="14"/>
        <v>47</v>
      </c>
      <c r="F270" s="73" t="str">
        <f t="shared" si="15"/>
        <v/>
      </c>
      <c r="G270" s="401" t="str">
        <f>IF(H270="","","Docking Facilities")</f>
        <v/>
      </c>
      <c r="H270" s="391" t="str">
        <f>IF('9b-Optional'!H101=0,"",'9b-Optional'!C101&amp;"x "&amp;'9b-Optional'!D101&amp;" ton Docking Facility")</f>
        <v/>
      </c>
      <c r="I270" s="237">
        <f>'9b-Optional'!H101</f>
        <v>0</v>
      </c>
      <c r="J270" s="387">
        <f>'9b-Optional'!F101</f>
        <v>0</v>
      </c>
    </row>
    <row r="271" spans="1:10" ht="16">
      <c r="A271" s="400" t="str">
        <f>IF(MAX(F:F)&lt;269,"",IF(INDEX(F:J,MATCH(269,F:F,0),2)=0,"",INDEX(F:J,MATCH(269,F:F,0),2)))</f>
        <v/>
      </c>
      <c r="B271" s="463" t="str">
        <f>IF(MAX(F:F)&lt;269,"",INDEX(F:J,MATCH(269,F:F,0),3))</f>
        <v/>
      </c>
      <c r="C271" s="4" t="str">
        <f>IF(MAX(F:F)&lt;269,"",INDEX(F:J,MATCH(269,F:F,0),4))</f>
        <v/>
      </c>
      <c r="D271" s="4" t="str">
        <f>IF(MAX(F:F)&lt;269,"",INDEX(F:J,MATCH(269,F:F,0),5))</f>
        <v/>
      </c>
      <c r="E271" s="73">
        <f t="shared" si="14"/>
        <v>47</v>
      </c>
      <c r="F271" s="73" t="str">
        <f t="shared" si="15"/>
        <v/>
      </c>
      <c r="G271" s="397" t="str">
        <f>IF(H271="","",IF(G270="","Docking Facilities",""))</f>
        <v/>
      </c>
      <c r="H271" s="12" t="str">
        <f>IF('9b-Optional'!H102=0,"",'9b-Optional'!C102&amp;"x "&amp;'9b-Optional'!D102&amp;" ton Docking Facility")</f>
        <v/>
      </c>
      <c r="I271" s="4">
        <f>'9b-Optional'!H102</f>
        <v>0</v>
      </c>
      <c r="J271" s="265">
        <f>'9b-Optional'!F102</f>
        <v>0</v>
      </c>
    </row>
    <row r="272" spans="1:10" ht="16">
      <c r="A272" s="400" t="str">
        <f>IF(MAX(F:F)&lt;270,"",IF(INDEX(F:J,MATCH(270,F:F,0),2)=0,"",INDEX(F:J,MATCH(270,F:F,0),2)))</f>
        <v/>
      </c>
      <c r="B272" s="463" t="str">
        <f>IF(MAX(F:F)&lt;270,"",INDEX(F:J,MATCH(270,F:F,0),3))</f>
        <v/>
      </c>
      <c r="C272" s="4" t="str">
        <f>IF(MAX(F:F)&lt;270,"",INDEX(F:J,MATCH(270,F:F,0),4))</f>
        <v/>
      </c>
      <c r="D272" s="4" t="str">
        <f>IF(MAX(F:F)&lt;270,"",INDEX(F:J,MATCH(270,F:F,0),5))</f>
        <v/>
      </c>
      <c r="E272" s="73">
        <f t="shared" si="14"/>
        <v>47</v>
      </c>
      <c r="F272" s="73" t="str">
        <f t="shared" si="15"/>
        <v/>
      </c>
      <c r="G272" s="397" t="str">
        <f>IF(H272="","",IF(AND(G270="",G271=""),"Docking Facilities",""))</f>
        <v/>
      </c>
      <c r="H272" s="12" t="str">
        <f>IF('9b-Optional'!H103=0,"",'9b-Optional'!C103&amp;"x "&amp;'9b-Optional'!D103&amp;" ton Docking Facility")</f>
        <v/>
      </c>
      <c r="I272" s="4">
        <f>'9b-Optional'!H103</f>
        <v>0</v>
      </c>
      <c r="J272" s="265">
        <f>'9b-Optional'!F103</f>
        <v>0</v>
      </c>
    </row>
    <row r="273" spans="1:10" ht="16">
      <c r="A273" s="400" t="str">
        <f>IF(MAX(F:F)&lt;271,"",IF(INDEX(F:J,MATCH(271,F:F,0),2)=0,"",INDEX(F:J,MATCH(271,F:F,0),2)))</f>
        <v/>
      </c>
      <c r="B273" s="463" t="str">
        <f>IF(MAX(F:F)&lt;271,"",INDEX(F:J,MATCH(271,F:F,0),3))</f>
        <v/>
      </c>
      <c r="C273" s="4" t="str">
        <f>IF(MAX(F:F)&lt;271,"",INDEX(F:J,MATCH(271,F:F,0),4))</f>
        <v/>
      </c>
      <c r="D273" s="4" t="str">
        <f>IF(MAX(F:F)&lt;271,"",INDEX(F:J,MATCH(271,F:F,0),5))</f>
        <v/>
      </c>
      <c r="E273" s="73">
        <f t="shared" si="14"/>
        <v>47</v>
      </c>
      <c r="F273" s="73" t="str">
        <f t="shared" si="15"/>
        <v/>
      </c>
      <c r="G273" s="397" t="str">
        <f>IF(H273="","",IF(AND(G270="",G271="",G272=""),"Docking Facilities",""))</f>
        <v/>
      </c>
      <c r="H273" s="12" t="str">
        <f>IF('9b-Optional'!H104=0,"",'9b-Optional'!C104&amp;"x "&amp;'9b-Optional'!D104&amp;" ton Docking Facility")</f>
        <v/>
      </c>
      <c r="I273" s="4">
        <f>'9b-Optional'!H104</f>
        <v>0</v>
      </c>
      <c r="J273" s="265">
        <f>'9b-Optional'!F104</f>
        <v>0</v>
      </c>
    </row>
    <row r="274" spans="1:10" ht="16">
      <c r="A274" s="400" t="str">
        <f>IF(MAX(F:F)&lt;272,"",IF(INDEX(F:J,MATCH(272,F:F,0),2)=0,"",INDEX(F:J,MATCH(272,F:F,0),2)))</f>
        <v/>
      </c>
      <c r="B274" s="463" t="str">
        <f>IF(MAX(F:F)&lt;272,"",INDEX(F:J,MATCH(272,F:F,0),3))</f>
        <v/>
      </c>
      <c r="C274" s="4" t="str">
        <f>IF(MAX(F:F)&lt;272,"",INDEX(F:J,MATCH(272,F:F,0),4))</f>
        <v/>
      </c>
      <c r="D274" s="4" t="str">
        <f>IF(MAX(F:F)&lt;272,"",INDEX(F:J,MATCH(272,F:F,0),5))</f>
        <v/>
      </c>
      <c r="E274" s="73">
        <f t="shared" si="14"/>
        <v>47</v>
      </c>
      <c r="F274" s="73" t="str">
        <f t="shared" si="15"/>
        <v/>
      </c>
      <c r="G274" s="398" t="str">
        <f>IF(H274="","",IF(AND(G270="",G271="",G272="",G273=""),"Docking Facilities",""))</f>
        <v/>
      </c>
      <c r="H274" s="392" t="str">
        <f>IF('9b-Optional'!H105=0,"",'9b-Optional'!C105&amp;"x "&amp;'9b-Optional'!D105&amp;" ton Docking Facility")</f>
        <v/>
      </c>
      <c r="I274" s="403">
        <f>'9b-Optional'!H105</f>
        <v>0</v>
      </c>
      <c r="J274" s="266">
        <f>'9b-Optional'!F105</f>
        <v>0</v>
      </c>
    </row>
    <row r="275" spans="1:10" ht="16">
      <c r="A275" s="400" t="str">
        <f>IF(MAX(F:F)&lt;273,"",IF(INDEX(F:J,MATCH(273,F:F,0),2)=0,"",INDEX(F:J,MATCH(273,F:F,0),2)))</f>
        <v/>
      </c>
      <c r="B275" s="463" t="str">
        <f>IF(MAX(F:F)&lt;273,"",INDEX(F:J,MATCH(273,F:F,0),3))</f>
        <v/>
      </c>
      <c r="C275" s="4" t="str">
        <f>IF(MAX(F:F)&lt;273,"",INDEX(F:J,MATCH(273,F:F,0),4))</f>
        <v/>
      </c>
      <c r="D275" s="4" t="str">
        <f>IF(MAX(F:F)&lt;273,"",INDEX(F:J,MATCH(273,F:F,0),5))</f>
        <v/>
      </c>
      <c r="E275" s="73">
        <f t="shared" si="14"/>
        <v>47</v>
      </c>
      <c r="F275" s="73" t="str">
        <f t="shared" si="15"/>
        <v/>
      </c>
      <c r="G275" s="401" t="str">
        <f>IF(H275="","","Manufacturing")</f>
        <v/>
      </c>
      <c r="H275" s="391" t="str">
        <f>IF('9b-Optional'!H123=0,"",'9b-Optional'!D123&amp;"x "&amp;'9b-Optional'!B123&amp;": "&amp;'9b-Optional'!C123&amp;" ton Output")</f>
        <v/>
      </c>
      <c r="I275" s="237">
        <f>'9b-Optional'!H123</f>
        <v>0</v>
      </c>
      <c r="J275" s="387">
        <f>'9b-Optional'!F123</f>
        <v>0</v>
      </c>
    </row>
    <row r="276" spans="1:10" ht="16">
      <c r="A276" s="400" t="str">
        <f>IF(MAX(F:F)&lt;274,"",IF(INDEX(F:J,MATCH(274,F:F,0),2)=0,"",INDEX(F:J,MATCH(274,F:F,0),2)))</f>
        <v/>
      </c>
      <c r="B276" s="463" t="str">
        <f>IF(MAX(F:F)&lt;274,"",INDEX(F:J,MATCH(274,F:F,0),3))</f>
        <v/>
      </c>
      <c r="C276" s="4" t="str">
        <f>IF(MAX(F:F)&lt;274,"",INDEX(F:J,MATCH(274,F:F,0),4))</f>
        <v/>
      </c>
      <c r="D276" s="4" t="str">
        <f>IF(MAX(F:F)&lt;274,"",INDEX(F:J,MATCH(274,F:F,0),5))</f>
        <v/>
      </c>
      <c r="E276" s="73">
        <f t="shared" si="14"/>
        <v>47</v>
      </c>
      <c r="F276" s="73" t="str">
        <f t="shared" si="15"/>
        <v/>
      </c>
      <c r="G276" s="397" t="str">
        <f>IF(H276="","",IF(G275="","Manufacturing",""))</f>
        <v/>
      </c>
      <c r="H276" s="12" t="str">
        <f>IF('9b-Optional'!H124=0,"",'9b-Optional'!D124&amp;"x "&amp;'9b-Optional'!B124&amp;": "&amp;'9b-Optional'!C124&amp;" ton Output")</f>
        <v/>
      </c>
      <c r="I276" s="4">
        <f>'9b-Optional'!H124</f>
        <v>0</v>
      </c>
      <c r="J276" s="265">
        <f>'9b-Optional'!F124</f>
        <v>0</v>
      </c>
    </row>
    <row r="277" spans="1:10" ht="16">
      <c r="A277" s="400" t="str">
        <f>IF(MAX(F:F)&lt;275,"",IF(INDEX(F:J,MATCH(275,F:F,0),2)=0,"",INDEX(F:J,MATCH(275,F:F,0),2)))</f>
        <v/>
      </c>
      <c r="B277" s="463" t="str">
        <f>IF(MAX(F:F)&lt;275,"",INDEX(F:J,MATCH(275,F:F,0),3))</f>
        <v/>
      </c>
      <c r="C277" s="4" t="str">
        <f>IF(MAX(F:F)&lt;275,"",INDEX(F:J,MATCH(275,F:F,0),4))</f>
        <v/>
      </c>
      <c r="D277" s="4" t="str">
        <f>IF(MAX(F:F)&lt;275,"",INDEX(F:J,MATCH(275,F:F,0),5))</f>
        <v/>
      </c>
      <c r="E277" s="73">
        <f t="shared" si="14"/>
        <v>47</v>
      </c>
      <c r="F277" s="73" t="str">
        <f t="shared" si="15"/>
        <v/>
      </c>
      <c r="G277" s="397" t="str">
        <f>IF(H277="","",IF(AND(G275="",G276=""),"Manufacturing",""))</f>
        <v/>
      </c>
      <c r="H277" s="12" t="str">
        <f>IF('9b-Optional'!H125=0,"",'9b-Optional'!D125&amp;"x "&amp;'9b-Optional'!B125&amp;": "&amp;'9b-Optional'!C125&amp;" ton Output")</f>
        <v/>
      </c>
      <c r="I277" s="4">
        <f>'9b-Optional'!H125</f>
        <v>0</v>
      </c>
      <c r="J277" s="265">
        <f>'9b-Optional'!F125</f>
        <v>0</v>
      </c>
    </row>
    <row r="278" spans="1:10" ht="16">
      <c r="A278" s="400" t="str">
        <f>IF(MAX(F:F)&lt;276,"",IF(INDEX(F:J,MATCH(276,F:F,0),2)=0,"",INDEX(F:J,MATCH(276,F:F,0),2)))</f>
        <v/>
      </c>
      <c r="B278" s="463" t="str">
        <f>IF(MAX(F:F)&lt;276,"",INDEX(F:J,MATCH(276,F:F,0),3))</f>
        <v/>
      </c>
      <c r="C278" s="4" t="str">
        <f>IF(MAX(F:F)&lt;276,"",INDEX(F:J,MATCH(276,F:F,0),4))</f>
        <v/>
      </c>
      <c r="D278" s="4" t="str">
        <f>IF(MAX(F:F)&lt;276,"",INDEX(F:J,MATCH(276,F:F,0),5))</f>
        <v/>
      </c>
      <c r="E278" s="73">
        <f t="shared" si="14"/>
        <v>47</v>
      </c>
      <c r="F278" s="73" t="str">
        <f t="shared" si="15"/>
        <v/>
      </c>
      <c r="G278" s="398" t="str">
        <f>IF(H278="","",IF(AND(G275="",G276="",G277=""),"Manufacturing",""))</f>
        <v/>
      </c>
      <c r="H278" s="392" t="str">
        <f>IF('9b-Optional'!H126=0,"",'9b-Optional'!D126&amp;"x "&amp;'9b-Optional'!B126&amp;": "&amp;'9b-Optional'!C126&amp;" ton Output")</f>
        <v/>
      </c>
      <c r="I278" s="403">
        <f>'9b-Optional'!H126</f>
        <v>0</v>
      </c>
      <c r="J278" s="266">
        <f>'9b-Optional'!F126</f>
        <v>0</v>
      </c>
    </row>
    <row r="279" spans="1:10" ht="16">
      <c r="A279" s="400" t="str">
        <f>IF(MAX(F:F)&lt;277,"",IF(INDEX(F:J,MATCH(277,F:F,0),2)=0,"",INDEX(F:J,MATCH(277,F:F,0),2)))</f>
        <v/>
      </c>
      <c r="B279" s="463" t="str">
        <f>IF(MAX(F:F)&lt;277,"",INDEX(F:J,MATCH(277,F:F,0),3))</f>
        <v/>
      </c>
      <c r="C279" s="4" t="str">
        <f>IF(MAX(F:F)&lt;277,"",INDEX(F:J,MATCH(277,F:F,0),4))</f>
        <v/>
      </c>
      <c r="D279" s="4" t="str">
        <f>IF(MAX(F:F)&lt;277,"",INDEX(F:J,MATCH(277,F:F,0),5))</f>
        <v/>
      </c>
      <c r="E279" s="73">
        <f t="shared" si="14"/>
        <v>47</v>
      </c>
      <c r="F279" s="73" t="str">
        <f t="shared" si="15"/>
        <v/>
      </c>
      <c r="G279" s="401" t="str">
        <f>IF(H279="","","Refineries")</f>
        <v/>
      </c>
      <c r="H279" s="391" t="str">
        <f>IF('9b-Optional'!C108=0,"",'9b-Optional'!B108&amp;": "&amp;'9b-Optional'!C108&amp;" tons")</f>
        <v/>
      </c>
      <c r="I279" s="237">
        <f>'9b-Optional'!H108</f>
        <v>0</v>
      </c>
      <c r="J279" s="387">
        <f>'9b-Optional'!F108</f>
        <v>0</v>
      </c>
    </row>
    <row r="280" spans="1:10" ht="16">
      <c r="A280" s="400" t="str">
        <f>IF(MAX(F:F)&lt;278,"",IF(INDEX(F:J,MATCH(278,F:F,0),2)=0,"",INDEX(F:J,MATCH(278,F:F,0),2)))</f>
        <v/>
      </c>
      <c r="B280" s="463" t="str">
        <f>IF(MAX(F:F)&lt;278,"",INDEX(F:J,MATCH(278,F:F,0),3))</f>
        <v/>
      </c>
      <c r="C280" s="4" t="str">
        <f>IF(MAX(F:F)&lt;278,"",INDEX(F:J,MATCH(278,F:F,0),4))</f>
        <v/>
      </c>
      <c r="D280" s="4" t="str">
        <f>IF(MAX(F:F)&lt;278,"",INDEX(F:J,MATCH(278,F:F,0),5))</f>
        <v/>
      </c>
      <c r="E280" s="73">
        <f t="shared" si="14"/>
        <v>47</v>
      </c>
      <c r="F280" s="73" t="str">
        <f t="shared" si="15"/>
        <v/>
      </c>
      <c r="G280" s="397" t="str">
        <f>IF(H280="","",IF(G279="","Refineries",""))</f>
        <v/>
      </c>
      <c r="H280" s="12" t="str">
        <f>IF('9b-Optional'!C109=0,"",'9b-Optional'!B109&amp;": "&amp;'9b-Optional'!C109&amp;" tons")</f>
        <v/>
      </c>
      <c r="I280" s="4">
        <f>'9b-Optional'!H109</f>
        <v>0</v>
      </c>
      <c r="J280" s="265">
        <f>'9b-Optional'!F109</f>
        <v>0</v>
      </c>
    </row>
    <row r="281" spans="1:10" ht="16">
      <c r="A281" s="400" t="str">
        <f>IF(MAX(F:F)&lt;279,"",IF(INDEX(F:J,MATCH(279,F:F,0),2)=0,"",INDEX(F:J,MATCH(279,F:F,0),2)))</f>
        <v/>
      </c>
      <c r="B281" s="463" t="str">
        <f>IF(MAX(F:F)&lt;279,"",INDEX(F:J,MATCH(279,F:F,0),3))</f>
        <v/>
      </c>
      <c r="C281" s="4" t="str">
        <f>IF(MAX(F:F)&lt;279,"",INDEX(F:J,MATCH(279,F:F,0),4))</f>
        <v/>
      </c>
      <c r="D281" s="4" t="str">
        <f>IF(MAX(F:F)&lt;279,"",INDEX(F:J,MATCH(279,F:F,0),5))</f>
        <v/>
      </c>
      <c r="E281" s="73">
        <f t="shared" si="14"/>
        <v>47</v>
      </c>
      <c r="F281" s="73" t="str">
        <f t="shared" si="15"/>
        <v/>
      </c>
      <c r="G281" s="397" t="str">
        <f>IF(H281="","",IF(AND(G279="",G280=""),"Refineries",""))</f>
        <v/>
      </c>
      <c r="H281" s="12" t="str">
        <f>IF('9b-Optional'!C111=0,"",'9b-Optional'!B111&amp;": "&amp;'9b-Optional'!C111&amp;" tons")</f>
        <v/>
      </c>
      <c r="I281" s="4">
        <f>'9b-Optional'!H111</f>
        <v>0</v>
      </c>
      <c r="J281" s="265">
        <f>'9b-Optional'!F111</f>
        <v>0</v>
      </c>
    </row>
    <row r="282" spans="1:10" ht="16">
      <c r="A282" s="400" t="str">
        <f>IF(MAX(F:F)&lt;280,"",IF(INDEX(F:J,MATCH(280,F:F,0),2)=0,"",INDEX(F:J,MATCH(280,F:F,0),2)))</f>
        <v/>
      </c>
      <c r="B282" s="463" t="str">
        <f>IF(MAX(F:F)&lt;280,"",INDEX(F:J,MATCH(280,F:F,0),3))</f>
        <v/>
      </c>
      <c r="C282" s="4" t="str">
        <f>IF(MAX(F:F)&lt;280,"",INDEX(F:J,MATCH(280,F:F,0),4))</f>
        <v/>
      </c>
      <c r="D282" s="4" t="str">
        <f>IF(MAX(F:F)&lt;280,"",INDEX(F:J,MATCH(280,F:F,0),5))</f>
        <v/>
      </c>
      <c r="E282" s="73">
        <f t="shared" si="14"/>
        <v>47</v>
      </c>
      <c r="F282" s="73" t="str">
        <f t="shared" si="15"/>
        <v/>
      </c>
      <c r="G282" s="398" t="str">
        <f>IF(H282="","",IF(AND(G279="",G280="",G281=""),"Refineries",""))</f>
        <v/>
      </c>
      <c r="H282" s="392" t="str">
        <f>IF('9b-Optional'!C112=0,"",'9b-Optional'!B112&amp;": "&amp;'9b-Optional'!C112&amp;" tons")</f>
        <v/>
      </c>
      <c r="I282" s="403">
        <f>'9b-Optional'!H112</f>
        <v>0</v>
      </c>
      <c r="J282" s="266">
        <f>'9b-Optional'!F112</f>
        <v>0</v>
      </c>
    </row>
    <row r="283" spans="1:10" ht="16">
      <c r="A283" s="400" t="str">
        <f>IF(MAX(F:F)&lt;281,"",IF(INDEX(F:J,MATCH(281,F:F,0),2)=0,"",INDEX(F:J,MATCH(281,F:F,0),2)))</f>
        <v/>
      </c>
      <c r="B283" s="463" t="str">
        <f>IF(MAX(F:F)&lt;281,"",INDEX(F:J,MATCH(281,F:F,0),3))</f>
        <v/>
      </c>
      <c r="C283" s="4" t="str">
        <f>IF(MAX(F:F)&lt;281,"",INDEX(F:J,MATCH(281,F:F,0),4))</f>
        <v/>
      </c>
      <c r="D283" s="4" t="str">
        <f>IF(MAX(F:F)&lt;281,"",INDEX(F:J,MATCH(281,F:F,0),5))</f>
        <v/>
      </c>
      <c r="E283" s="73">
        <f t="shared" si="14"/>
        <v>47</v>
      </c>
      <c r="F283" s="73" t="str">
        <f t="shared" si="15"/>
        <v/>
      </c>
      <c r="G283" s="401" t="str">
        <f>IF(H283="","","Shipyard")</f>
        <v/>
      </c>
      <c r="H283" s="391" t="str">
        <f>IF('9b-Optional'!H117=0,"",'9b-Optional'!D117&amp;"x "&amp;'9b-Optional'!C117&amp;" Dton Capacity Non-Jump Shipyard")</f>
        <v/>
      </c>
      <c r="I283" s="237">
        <f>'9b-Optional'!H117</f>
        <v>0</v>
      </c>
      <c r="J283" s="387">
        <f>'9b-Optional'!F117</f>
        <v>0</v>
      </c>
    </row>
    <row r="284" spans="1:10" ht="16">
      <c r="A284" s="400" t="str">
        <f>IF(MAX(F:F)&lt;282,"",IF(INDEX(F:J,MATCH(282,F:F,0),2)=0,"",INDEX(F:J,MATCH(282,F:F,0),2)))</f>
        <v/>
      </c>
      <c r="B284" s="463" t="str">
        <f>IF(MAX(F:F)&lt;282,"",INDEX(F:J,MATCH(282,F:F,0),3))</f>
        <v/>
      </c>
      <c r="C284" s="4" t="str">
        <f>IF(MAX(F:F)&lt;282,"",INDEX(F:J,MATCH(282,F:F,0),4))</f>
        <v/>
      </c>
      <c r="D284" s="4" t="str">
        <f>IF(MAX(F:F)&lt;282,"",INDEX(F:J,MATCH(282,F:F,0),5))</f>
        <v/>
      </c>
      <c r="E284" s="73">
        <f t="shared" si="14"/>
        <v>47</v>
      </c>
      <c r="F284" s="73" t="str">
        <f t="shared" si="15"/>
        <v/>
      </c>
      <c r="G284" s="398" t="str">
        <f>IF(H284="","",IF(G283="","Shipyard",""))</f>
        <v/>
      </c>
      <c r="H284" s="392" t="str">
        <f>IF('9b-Optional'!H118=0,"",'9b-Optional'!D118&amp;"x "&amp;'9b-Optional'!C118&amp;" Dton Capacity Jump Shipyard")</f>
        <v/>
      </c>
      <c r="I284" s="403">
        <f>'9b-Optional'!H118</f>
        <v>0</v>
      </c>
      <c r="J284" s="266">
        <f>'9b-Optional'!F118</f>
        <v>0</v>
      </c>
    </row>
    <row r="285" spans="1:10" ht="16">
      <c r="A285" s="400" t="str">
        <f>IF(MAX(F:F)&lt;283,"",IF(INDEX(F:J,MATCH(283,F:F,0),2)=0,"",INDEX(F:J,MATCH(283,F:F,0),2)))</f>
        <v/>
      </c>
      <c r="B285" s="463" t="str">
        <f>IF(MAX(F:F)&lt;283,"",INDEX(F:J,MATCH(283,F:F,0),3))</f>
        <v/>
      </c>
      <c r="C285" s="4" t="str">
        <f>IF(MAX(F:F)&lt;283,"",INDEX(F:J,MATCH(283,F:F,0),4))</f>
        <v/>
      </c>
      <c r="D285" s="4" t="str">
        <f>IF(MAX(F:F)&lt;283,"",INDEX(F:J,MATCH(283,F:F,0),5))</f>
        <v/>
      </c>
      <c r="E285" s="73">
        <f t="shared" si="14"/>
        <v>47</v>
      </c>
      <c r="F285" s="73" t="str">
        <f t="shared" si="15"/>
        <v/>
      </c>
      <c r="G285" s="401" t="str">
        <f>IF(H285="","","Staterooms")</f>
        <v/>
      </c>
      <c r="H285" s="391" t="str">
        <f>IF('11-Staterooms'!C15=0,"",'11-Staterooms'!C15&amp;"x "&amp;'11-Staterooms'!A15)</f>
        <v/>
      </c>
      <c r="I285" s="237">
        <f>'11-Staterooms'!H15</f>
        <v>0</v>
      </c>
      <c r="J285" s="387">
        <f>'11-Staterooms'!F15</f>
        <v>0</v>
      </c>
    </row>
    <row r="286" spans="1:10" ht="16">
      <c r="A286" s="400" t="str">
        <f>IF(MAX(F:F)&lt;284,"",IF(INDEX(F:J,MATCH(284,F:F,0),2)=0,"",INDEX(F:J,MATCH(284,F:F,0),2)))</f>
        <v/>
      </c>
      <c r="B286" s="463" t="str">
        <f>IF(MAX(F:F)&lt;284,"",INDEX(F:J,MATCH(284,F:F,0),3))</f>
        <v/>
      </c>
      <c r="C286" s="4" t="str">
        <f>IF(MAX(F:F)&lt;284,"",INDEX(F:J,MATCH(284,F:F,0),4))</f>
        <v/>
      </c>
      <c r="D286" s="4" t="str">
        <f>IF(MAX(F:F)&lt;284,"",INDEX(F:J,MATCH(284,F:F,0),5))</f>
        <v/>
      </c>
      <c r="E286" s="73">
        <f t="shared" ref="E286:E300" si="16">IF(H286="",E285,E285+1)</f>
        <v>47</v>
      </c>
      <c r="F286" s="73" t="str">
        <f t="shared" ref="F286:F300" si="17">IF(E286=E285,"",E286)</f>
        <v/>
      </c>
      <c r="G286" s="397" t="str">
        <f>IF(H286="","",IF(G285="","Staterooms",""))</f>
        <v/>
      </c>
      <c r="H286" s="12" t="str">
        <f>IF('11-Staterooms'!C16=0,"",'11-Staterooms'!C16&amp;"x "&amp;'11-Staterooms'!A16)</f>
        <v/>
      </c>
      <c r="I286" s="4">
        <f>'11-Staterooms'!H16</f>
        <v>0</v>
      </c>
      <c r="J286" s="265">
        <f>'11-Staterooms'!F16</f>
        <v>0</v>
      </c>
    </row>
    <row r="287" spans="1:10" ht="16">
      <c r="A287" s="400" t="str">
        <f>IF(MAX(F:F)&lt;285,"",IF(INDEX(F:J,MATCH(285,F:F,0),2)=0,"",INDEX(F:J,MATCH(285,F:F,0),2)))</f>
        <v/>
      </c>
      <c r="B287" s="463" t="str">
        <f>IF(MAX(F:F)&lt;285,"",INDEX(F:J,MATCH(285,F:F,0),3))</f>
        <v/>
      </c>
      <c r="C287" s="4" t="str">
        <f>IF(MAX(F:F)&lt;285,"",INDEX(F:J,MATCH(285,F:F,0),4))</f>
        <v/>
      </c>
      <c r="D287" s="4" t="str">
        <f>IF(MAX(F:F)&lt;285,"",INDEX(F:J,MATCH(285,F:F,0),5))</f>
        <v/>
      </c>
      <c r="E287" s="73">
        <f t="shared" si="16"/>
        <v>47</v>
      </c>
      <c r="F287" s="73" t="str">
        <f t="shared" si="17"/>
        <v/>
      </c>
      <c r="G287" s="397" t="str">
        <f>IF(H287="","",IF(AND(G285="",G286=""),"Staterooms",""))</f>
        <v/>
      </c>
      <c r="H287" s="12" t="str">
        <f>IF('11-Staterooms'!C17=0,"",'11-Staterooms'!C17&amp;"x "&amp;'11-Staterooms'!A17)</f>
        <v/>
      </c>
      <c r="I287" s="4">
        <f>'11-Staterooms'!H17</f>
        <v>0</v>
      </c>
      <c r="J287" s="265">
        <f>'11-Staterooms'!F17</f>
        <v>0</v>
      </c>
    </row>
    <row r="288" spans="1:10" ht="16">
      <c r="A288" s="400" t="str">
        <f>IF(MAX(F:F)&lt;286,"",IF(INDEX(F:J,MATCH(286,F:F,0),2)=0,"",INDEX(F:J,MATCH(286,F:F,0),2)))</f>
        <v/>
      </c>
      <c r="B288" s="463" t="str">
        <f>IF(MAX(F:F)&lt;286,"",INDEX(F:J,MATCH(286,F:F,0),3))</f>
        <v/>
      </c>
      <c r="C288" s="4" t="str">
        <f>IF(MAX(F:F)&lt;286,"",INDEX(F:J,MATCH(286,F:F,0),4))</f>
        <v/>
      </c>
      <c r="D288" s="4" t="str">
        <f>IF(MAX(F:F)&lt;286,"",INDEX(F:J,MATCH(286,F:F,0),5))</f>
        <v/>
      </c>
      <c r="E288" s="73">
        <f t="shared" si="16"/>
        <v>47</v>
      </c>
      <c r="F288" s="73" t="str">
        <f t="shared" si="17"/>
        <v/>
      </c>
      <c r="G288" s="397" t="str">
        <f>IF(H288="","",IF(AND(G285="",G286="",G287=""),"Staterooms",""))</f>
        <v/>
      </c>
      <c r="H288" s="12" t="str">
        <f>IF('11-Staterooms'!C18=0,"",'11-Staterooms'!C18&amp;"x "&amp;'11-Staterooms'!A18)</f>
        <v/>
      </c>
      <c r="I288" s="4">
        <f>'11-Staterooms'!H18</f>
        <v>0</v>
      </c>
      <c r="J288" s="265">
        <f>'11-Staterooms'!F18</f>
        <v>0</v>
      </c>
    </row>
    <row r="289" spans="1:10" ht="16">
      <c r="A289" s="400" t="str">
        <f>IF(MAX(F:F)&lt;287,"",IF(INDEX(F:J,MATCH(287,F:F,0),2)=0,"",INDEX(F:J,MATCH(287,F:F,0),2)))</f>
        <v/>
      </c>
      <c r="B289" s="463" t="str">
        <f>IF(MAX(F:F)&lt;287,"",INDEX(F:J,MATCH(287,F:F,0),3))</f>
        <v/>
      </c>
      <c r="C289" s="4" t="str">
        <f>IF(MAX(F:F)&lt;287,"",INDEX(F:J,MATCH(287,F:F,0),4))</f>
        <v/>
      </c>
      <c r="D289" s="4" t="str">
        <f>IF(MAX(F:F)&lt;287,"",INDEX(F:J,MATCH(287,F:F,0),5))</f>
        <v/>
      </c>
      <c r="E289" s="73">
        <f t="shared" si="16"/>
        <v>47</v>
      </c>
      <c r="F289" s="73" t="str">
        <f t="shared" si="17"/>
        <v/>
      </c>
      <c r="G289" s="397" t="str">
        <f>IF(H289="","",IF(AND(G285="",G286="",G287="",G288=""),"Staterooms",""))</f>
        <v/>
      </c>
      <c r="H289" s="12" t="str">
        <f>IF('11-Staterooms'!C19=0,"",'11-Staterooms'!C19&amp;"x "&amp;'11-Staterooms'!A19)</f>
        <v/>
      </c>
      <c r="I289" s="4">
        <f>'11-Staterooms'!H19</f>
        <v>0</v>
      </c>
      <c r="J289" s="265">
        <f>'11-Staterooms'!F19</f>
        <v>0</v>
      </c>
    </row>
    <row r="290" spans="1:10" ht="16">
      <c r="A290" s="400" t="str">
        <f>IF(MAX(F:F)&lt;288,"",IF(INDEX(F:J,MATCH(288,F:F,0),2)=0,"",INDEX(F:J,MATCH(288,F:F,0),2)))</f>
        <v/>
      </c>
      <c r="B290" s="463" t="str">
        <f>IF(MAX(F:F)&lt;288,"",INDEX(F:J,MATCH(288,F:F,0),3))</f>
        <v/>
      </c>
      <c r="C290" s="4" t="str">
        <f>IF(MAX(F:F)&lt;288,"",INDEX(F:J,MATCH(288,F:F,0),4))</f>
        <v/>
      </c>
      <c r="D290" s="4" t="str">
        <f>IF(MAX(F:F)&lt;288,"",INDEX(F:J,MATCH(288,F:F,0),5))</f>
        <v/>
      </c>
      <c r="E290" s="73">
        <f t="shared" si="16"/>
        <v>47</v>
      </c>
      <c r="F290" s="73" t="str">
        <f t="shared" si="17"/>
        <v/>
      </c>
      <c r="G290" s="397" t="str">
        <f>IF(H290="","",IF(AND(G285="",G286="",G287="",G288="",G289=""),"Staterooms",""))</f>
        <v/>
      </c>
      <c r="H290" s="12" t="str">
        <f>IF('11-Staterooms'!C20=0,"",'11-Staterooms'!C20&amp;" tons of "&amp;'11-Staterooms'!A20)</f>
        <v/>
      </c>
      <c r="I290" s="4">
        <f>'11-Staterooms'!H20</f>
        <v>0</v>
      </c>
      <c r="J290" s="265">
        <f>'11-Staterooms'!F20</f>
        <v>0</v>
      </c>
    </row>
    <row r="291" spans="1:10" ht="16">
      <c r="A291" s="400" t="str">
        <f>IF(MAX(F:F)&lt;289,"",IF(INDEX(F:J,MATCH(289,F:F,0),2)=0,"",INDEX(F:J,MATCH(289,F:F,0),2)))</f>
        <v/>
      </c>
      <c r="B291" s="463" t="str">
        <f>IF(MAX(F:F)&lt;289,"",INDEX(F:J,MATCH(289,F:F,0),3))</f>
        <v/>
      </c>
      <c r="C291" s="4" t="str">
        <f>IF(MAX(F:F)&lt;289,"",INDEX(F:J,MATCH(289,F:F,0),4))</f>
        <v/>
      </c>
      <c r="D291" s="4" t="str">
        <f>IF(MAX(F:F)&lt;289,"",INDEX(F:J,MATCH(289,F:F,0),5))</f>
        <v/>
      </c>
      <c r="E291" s="73">
        <f t="shared" si="16"/>
        <v>47</v>
      </c>
      <c r="F291" s="73" t="str">
        <f t="shared" si="17"/>
        <v/>
      </c>
      <c r="G291" s="397" t="str">
        <f>IF(H291="","",IF(AND(G285="",G286="",G287="",G288="",G289="",G290=""),"Staterooms",""))</f>
        <v/>
      </c>
      <c r="H291" s="12" t="str">
        <f>IF('11-Staterooms'!C21=0,"",'11-Staterooms'!C21&amp;"x "&amp;'11-Staterooms'!A21)</f>
        <v/>
      </c>
      <c r="I291" s="4">
        <f>'11-Staterooms'!H21</f>
        <v>0</v>
      </c>
      <c r="J291" s="265">
        <f>'11-Staterooms'!F21</f>
        <v>0</v>
      </c>
    </row>
    <row r="292" spans="1:10" ht="16">
      <c r="A292" s="400" t="str">
        <f>IF(MAX(F:F)&lt;290,"",IF(INDEX(F:J,MATCH(290,F:F,0),2)=0,"",INDEX(F:J,MATCH(290,F:F,0),2)))</f>
        <v/>
      </c>
      <c r="B292" s="463" t="str">
        <f>IF(MAX(F:F)&lt;290,"",INDEX(F:J,MATCH(290,F:F,0),3))</f>
        <v/>
      </c>
      <c r="C292" s="4" t="str">
        <f>IF(MAX(F:F)&lt;290,"",INDEX(F:J,MATCH(290,F:F,0),4))</f>
        <v/>
      </c>
      <c r="D292" s="4" t="str">
        <f>IF(MAX(F:F)&lt;290,"",INDEX(F:J,MATCH(290,F:F,0),5))</f>
        <v/>
      </c>
      <c r="E292" s="73">
        <f t="shared" si="16"/>
        <v>47</v>
      </c>
      <c r="F292" s="73" t="str">
        <f t="shared" si="17"/>
        <v/>
      </c>
      <c r="G292" s="397" t="str">
        <f>IF(H292="","",IF(AND(G285="",G286="",G287="",G288="",G289="",G290="",G291=""),"Staterooms",""))</f>
        <v/>
      </c>
      <c r="H292" s="12" t="str">
        <f>IF('11-Staterooms'!C22=0,"",'11-Staterooms'!C22&amp;"x "&amp;'11-Staterooms'!A22)</f>
        <v/>
      </c>
      <c r="I292" s="4">
        <f>'11-Staterooms'!H22</f>
        <v>0</v>
      </c>
      <c r="J292" s="265">
        <f>'11-Staterooms'!F22</f>
        <v>0</v>
      </c>
    </row>
    <row r="293" spans="1:10" ht="16">
      <c r="A293" s="400" t="str">
        <f>IF(MAX(F:F)&lt;291,"",IF(INDEX(F:J,MATCH(291,F:F,0),2)=0,"",INDEX(F:J,MATCH(291,F:F,0),2)))</f>
        <v/>
      </c>
      <c r="B293" s="463" t="str">
        <f>IF(MAX(F:F)&lt;291,"",INDEX(F:J,MATCH(291,F:F,0),3))</f>
        <v/>
      </c>
      <c r="C293" s="4" t="str">
        <f>IF(MAX(F:F)&lt;291,"",INDEX(F:J,MATCH(291,F:F,0),4))</f>
        <v/>
      </c>
      <c r="D293" s="4" t="str">
        <f>IF(MAX(F:F)&lt;291,"",INDEX(F:J,MATCH(291,F:F,0),5))</f>
        <v/>
      </c>
      <c r="E293" s="73">
        <f t="shared" si="16"/>
        <v>48</v>
      </c>
      <c r="F293" s="73">
        <f t="shared" si="17"/>
        <v>48</v>
      </c>
      <c r="G293" s="397" t="str">
        <f>IF(H293="","",IF(AND(G285="",G286="",G287="",G288="",G289="",G290="",G291="",G292=""),"Staterooms",""))</f>
        <v>Staterooms</v>
      </c>
      <c r="H293" s="12" t="str">
        <f>IF('11-Staterooms'!C23=0,"",'11-Staterooms'!C23&amp;"x "&amp;'11-Staterooms'!A23)</f>
        <v>7x Middle Staterooms - Double</v>
      </c>
      <c r="I293" s="4">
        <f>'11-Staterooms'!H23</f>
        <v>28</v>
      </c>
      <c r="J293" s="265">
        <f>'11-Staterooms'!F23</f>
        <v>3500000</v>
      </c>
    </row>
    <row r="294" spans="1:10" ht="16">
      <c r="A294" s="400" t="str">
        <f>IF(MAX(F:F)&lt;292,"",IF(INDEX(F:J,MATCH(292,F:F,0),2)=0,"",INDEX(F:J,MATCH(292,F:F,0),2)))</f>
        <v/>
      </c>
      <c r="B294" s="463" t="str">
        <f>IF(MAX(F:F)&lt;292,"",INDEX(F:J,MATCH(292,F:F,0),3))</f>
        <v/>
      </c>
      <c r="C294" s="4" t="str">
        <f>IF(MAX(F:F)&lt;292,"",INDEX(F:J,MATCH(292,F:F,0),4))</f>
        <v/>
      </c>
      <c r="D294" s="4" t="str">
        <f>IF(MAX(F:F)&lt;292,"",INDEX(F:J,MATCH(292,F:F,0),5))</f>
        <v/>
      </c>
      <c r="E294" s="73">
        <f t="shared" si="16"/>
        <v>48</v>
      </c>
      <c r="F294" s="73" t="str">
        <f t="shared" si="17"/>
        <v/>
      </c>
      <c r="G294" s="397" t="str">
        <f>IF(H294="","",IF(AND(G285="",G286="",G287="",G288="",G289="",G290="",G291="",G292="",G293=""),"Staterooms",""))</f>
        <v/>
      </c>
      <c r="H294" s="12" t="str">
        <f>IF('11-Staterooms'!C24=0,"",'11-Staterooms'!C24&amp;"x "&amp;'11-Staterooms'!A24)</f>
        <v/>
      </c>
      <c r="I294" s="4">
        <f>'11-Staterooms'!H24</f>
        <v>0</v>
      </c>
      <c r="J294" s="265">
        <f>'11-Staterooms'!F24</f>
        <v>0</v>
      </c>
    </row>
    <row r="295" spans="1:10" ht="16">
      <c r="A295" s="400" t="str">
        <f>IF(MAX(F:F)&lt;293,"",IF(INDEX(F:J,MATCH(293,F:F,0),2)=0,"",INDEX(F:J,MATCH(293,F:F,0),2)))</f>
        <v/>
      </c>
      <c r="B295" s="463" t="str">
        <f>IF(MAX(F:F)&lt;293,"",INDEX(F:J,MATCH(293,F:F,0),3))</f>
        <v/>
      </c>
      <c r="C295" s="4" t="str">
        <f>IF(MAX(F:F)&lt;293,"",INDEX(F:J,MATCH(293,F:F,0),4))</f>
        <v/>
      </c>
      <c r="D295" s="4" t="str">
        <f>IF(MAX(F:F)&lt;293,"",INDEX(F:J,MATCH(293,F:F,0),5))</f>
        <v/>
      </c>
      <c r="E295" s="73">
        <f t="shared" si="16"/>
        <v>48</v>
      </c>
      <c r="F295" s="73" t="str">
        <f t="shared" si="17"/>
        <v/>
      </c>
      <c r="G295" s="397" t="str">
        <f>IF(H295="","",IF(AND(G285="",G286="",G287="",G288="",G289="",G290="",G291="",G292="",G293="",G294=""),"Staterooms",""))</f>
        <v/>
      </c>
      <c r="H295" s="12" t="str">
        <f>IF('11-Staterooms'!C25=0,"",'11-Staterooms'!C25&amp;"x "&amp;'11-Staterooms'!A25)</f>
        <v/>
      </c>
      <c r="I295" s="4">
        <f>'11-Staterooms'!H25</f>
        <v>0</v>
      </c>
      <c r="J295" s="265">
        <f>'11-Staterooms'!F25</f>
        <v>0</v>
      </c>
    </row>
    <row r="296" spans="1:10" ht="16">
      <c r="A296" s="400" t="str">
        <f>IF(MAX(F:F)&lt;294,"",IF(INDEX(F:J,MATCH(294,F:F,0),2)=0,"",INDEX(F:J,MATCH(294,F:F,0),2)))</f>
        <v/>
      </c>
      <c r="B296" s="463" t="str">
        <f>IF(MAX(F:F)&lt;294,"",INDEX(F:J,MATCH(294,F:F,0),3))</f>
        <v/>
      </c>
      <c r="C296" s="4" t="str">
        <f>IF(MAX(F:F)&lt;294,"",INDEX(F:J,MATCH(294,F:F,0),4))</f>
        <v/>
      </c>
      <c r="D296" s="4" t="str">
        <f>IF(MAX(F:F)&lt;294,"",INDEX(F:J,MATCH(294,F:F,0),5))</f>
        <v/>
      </c>
      <c r="E296" s="73">
        <f t="shared" si="16"/>
        <v>48</v>
      </c>
      <c r="F296" s="73" t="str">
        <f t="shared" si="17"/>
        <v/>
      </c>
      <c r="G296" s="397" t="str">
        <f>IF(H296="","",IF(AND(G285="",G286="",G287="",G288="",G289="",G290="",G291="",G292="",G293="",G294="",G295=""),"Staterooms",""))</f>
        <v/>
      </c>
      <c r="H296" s="12" t="str">
        <f>IF('11-Staterooms'!C26=0,"",'11-Staterooms'!C26&amp;"x "&amp;'11-Staterooms'!A26)</f>
        <v/>
      </c>
      <c r="I296" s="4">
        <f>'11-Staterooms'!H26</f>
        <v>0</v>
      </c>
      <c r="J296" s="265">
        <f>'11-Staterooms'!F26</f>
        <v>0</v>
      </c>
    </row>
    <row r="297" spans="1:10" ht="16">
      <c r="A297" s="400" t="str">
        <f>IF(MAX(F:F)&lt;295,"",IF(INDEX(F:J,MATCH(295,F:F,0),2)=0,"",INDEX(F:J,MATCH(295,F:F,0),2)))</f>
        <v/>
      </c>
      <c r="B297" s="463" t="str">
        <f>IF(MAX(F:F)&lt;295,"",INDEX(F:J,MATCH(295,F:F,0),3))</f>
        <v/>
      </c>
      <c r="C297" s="4" t="str">
        <f>IF(MAX(F:F)&lt;295,"",INDEX(F:J,MATCH(295,F:F,0),4))</f>
        <v/>
      </c>
      <c r="D297" s="4" t="str">
        <f>IF(MAX(F:F)&lt;295,"",INDEX(F:J,MATCH(295,F:F,0),5))</f>
        <v/>
      </c>
      <c r="E297" s="73">
        <f t="shared" si="16"/>
        <v>48</v>
      </c>
      <c r="F297" s="73" t="str">
        <f t="shared" si="17"/>
        <v/>
      </c>
      <c r="G297" s="397" t="str">
        <f>IF(H297="","",IF(AND(G285="",G286="",G287="",G288="",G289="",G290="",G291="",G292="",G293="",G294="",G295="",G296=""),"Staterooms",""))</f>
        <v/>
      </c>
      <c r="H297" s="12" t="str">
        <f>IF('11-Staterooms'!C27=0,"",'11-Staterooms'!C27&amp;"x "&amp;'11-Staterooms'!A27)</f>
        <v/>
      </c>
      <c r="I297" s="4">
        <f>'11-Staterooms'!H27</f>
        <v>0</v>
      </c>
      <c r="J297" s="265">
        <f>'11-Staterooms'!F27</f>
        <v>0</v>
      </c>
    </row>
    <row r="298" spans="1:10" ht="16">
      <c r="A298" s="400" t="str">
        <f>IF(MAX(F:F)&lt;296,"",IF(INDEX(F:J,MATCH(296,F:F,0),2)=0,"",INDEX(F:J,MATCH(296,F:F,0),2)))</f>
        <v/>
      </c>
      <c r="B298" s="463" t="str">
        <f>IF(MAX(F:F)&lt;296,"",INDEX(F:J,MATCH(296,F:F,0),3))</f>
        <v/>
      </c>
      <c r="C298" s="4" t="str">
        <f>IF(MAX(F:F)&lt;296,"",INDEX(F:J,MATCH(296,F:F,0),4))</f>
        <v/>
      </c>
      <c r="D298" s="4" t="str">
        <f>IF(MAX(F:F)&lt;296,"",INDEX(F:J,MATCH(296,F:F,0),5))</f>
        <v/>
      </c>
      <c r="E298" s="73">
        <f t="shared" si="16"/>
        <v>48</v>
      </c>
      <c r="F298" s="73" t="str">
        <f t="shared" si="17"/>
        <v/>
      </c>
      <c r="G298" s="397" t="str">
        <f>IF(H298="","",IF(AND(G285="",G286="",G287="",G288="",G289="",G290="",G291="",G292="",G293="",G294="",G295="",G296="",G297=""),"Staterooms",""))</f>
        <v/>
      </c>
      <c r="H298" s="12" t="str">
        <f>IF('11-Staterooms'!C28=0,"",'11-Staterooms'!C28&amp;"x "&amp;'11-Staterooms'!A28)</f>
        <v/>
      </c>
      <c r="I298" s="4">
        <f>'11-Staterooms'!H28</f>
        <v>0</v>
      </c>
      <c r="J298" s="265">
        <f>'11-Staterooms'!F28</f>
        <v>0</v>
      </c>
    </row>
    <row r="299" spans="1:10" ht="16">
      <c r="A299" s="400" t="str">
        <f>IF(MAX(F:F)&lt;297,"",IF(INDEX(F:J,MATCH(297,F:F,0),2)=0,"",INDEX(F:J,MATCH(297,F:F,0),2)))</f>
        <v/>
      </c>
      <c r="B299" s="463" t="str">
        <f>IF(MAX(F:F)&lt;297,"",INDEX(F:J,MATCH(297,F:F,0),3))</f>
        <v/>
      </c>
      <c r="C299" s="4" t="str">
        <f>IF(MAX(F:F)&lt;297,"",INDEX(F:J,MATCH(297,F:F,0),4))</f>
        <v/>
      </c>
      <c r="D299" s="4" t="str">
        <f>IF(MAX(F:F)&lt;297,"",INDEX(F:J,MATCH(297,F:F,0),5))</f>
        <v/>
      </c>
      <c r="E299" s="73">
        <f t="shared" si="16"/>
        <v>48</v>
      </c>
      <c r="F299" s="73" t="str">
        <f t="shared" si="17"/>
        <v/>
      </c>
      <c r="G299" s="397" t="str">
        <f>IF(H299="","",IF(AND(G285="",G286="",G287="",G288="",G289="",G290="",G291="",G292="",G293="",G294="",G295="",G296="",G297="",G298=""),"Staterooms",""))</f>
        <v/>
      </c>
      <c r="H299" s="12" t="str">
        <f>IF('11-Staterooms'!C29=0,"",'11-Staterooms'!A29&amp;" x"&amp;'11-Staterooms'!C29)</f>
        <v/>
      </c>
      <c r="I299" s="4">
        <f>'11-Staterooms'!H29</f>
        <v>0</v>
      </c>
      <c r="J299" s="265">
        <f>'11-Staterooms'!F29</f>
        <v>0</v>
      </c>
    </row>
    <row r="300" spans="1:10" ht="16">
      <c r="A300" s="400" t="str">
        <f>IF(MAX(F:F)&lt;298,"",IF(INDEX(F:J,MATCH(298,F:F,0),2)=0,"",INDEX(F:J,MATCH(298,F:F,0),2)))</f>
        <v/>
      </c>
      <c r="B300" s="463" t="str">
        <f>IF(MAX(F:F)&lt;298,"",INDEX(F:J,MATCH(298,F:F,0),3))</f>
        <v/>
      </c>
      <c r="C300" s="4" t="str">
        <f>IF(MAX(F:F)&lt;298,"",INDEX(F:J,MATCH(298,F:F,0),4))</f>
        <v/>
      </c>
      <c r="D300" s="4" t="str">
        <f>IF(MAX(F:F)&lt;298,"",INDEX(F:J,MATCH(298,F:F,0),5))</f>
        <v/>
      </c>
      <c r="E300" s="73">
        <f t="shared" si="16"/>
        <v>48</v>
      </c>
      <c r="F300" s="73" t="str">
        <f t="shared" si="17"/>
        <v/>
      </c>
      <c r="G300" s="397" t="str">
        <f>IF(H300="","",IF(AND(G285="",G286="",G287="",G288="",G289="",G290="",G291="",G292="",G293="",G294="",G295="",G296="",G298="",G299="",G297=""),"Staterooms",""))</f>
        <v/>
      </c>
      <c r="H300" s="12" t="str">
        <f>IF('11-Staterooms'!C32=0,"",'11-Staterooms'!C32&amp;"x "&amp;'11-Staterooms'!A32)</f>
        <v/>
      </c>
      <c r="I300" s="4">
        <f>'11-Staterooms'!H32</f>
        <v>0</v>
      </c>
      <c r="J300" s="265">
        <f>'11-Staterooms'!F32</f>
        <v>0</v>
      </c>
    </row>
    <row r="301" spans="1:10" ht="16">
      <c r="A301" s="400" t="str">
        <f>IF(MAX(F:F)&lt;299,"",IF(INDEX(F:J,MATCH(299,F:F,0),2)=0,"",INDEX(F:J,MATCH(299,F:F,0),2)))</f>
        <v/>
      </c>
      <c r="B301" s="463" t="str">
        <f>IF(MAX(F:F)&lt;299,"",INDEX(F:J,MATCH(299,F:F,0),3))</f>
        <v/>
      </c>
      <c r="C301" s="4" t="str">
        <f>IF(MAX(F:F)&lt;299,"",INDEX(F:J,MATCH(299,F:F,0),4))</f>
        <v/>
      </c>
      <c r="D301" s="4" t="str">
        <f>IF(MAX(F:F)&lt;299,"",INDEX(F:J,MATCH(299,F:F,0),5))</f>
        <v/>
      </c>
      <c r="E301" s="73">
        <f t="shared" ref="E301:E310" si="18">IF(H301="",E300,E300+1)</f>
        <v>48</v>
      </c>
      <c r="F301" s="73" t="str">
        <f t="shared" ref="F301:F310" si="19">IF(E301=E300,"",E301)</f>
        <v/>
      </c>
      <c r="G301" s="397" t="str">
        <f>IF(H301="","",IF(AND(G285="",G286="",G287="",G288="",G289="",G290="",G291="",G292="",G293="",G294="",G295="",G296="",G297="",G298="",G299="",G300="",G304=""),"Staterooms",""))</f>
        <v/>
      </c>
      <c r="H301" s="12" t="str">
        <f>IF('11-Staterooms'!C33=0,"",'11-Staterooms'!C33&amp;"x "&amp;'11-Staterooms'!A33)</f>
        <v/>
      </c>
      <c r="I301" s="4">
        <f>'11-Staterooms'!H33</f>
        <v>0</v>
      </c>
      <c r="J301" s="265">
        <f>'11-Staterooms'!F33</f>
        <v>0</v>
      </c>
    </row>
    <row r="302" spans="1:10" ht="16">
      <c r="A302" s="400" t="str">
        <f>IF(MAX(F:F)&lt;300,"",IF(INDEX(F:J,MATCH(300,F:F,0),2)=0,"",INDEX(F:J,MATCH(300,F:F,0),2)))</f>
        <v/>
      </c>
      <c r="B302" s="463" t="str">
        <f>IF(MAX(F:F)&lt;300,"",INDEX(F:J,MATCH(300,F:F,0),3))</f>
        <v/>
      </c>
      <c r="C302" s="4" t="str">
        <f>IF(MAX(F:F)&lt;300,"",INDEX(F:J,MATCH(300,F:F,0),4))</f>
        <v/>
      </c>
      <c r="D302" s="4" t="str">
        <f>IF(MAX(F:F)&lt;300,"",INDEX(F:J,MATCH(300,F:F,0),5))</f>
        <v/>
      </c>
      <c r="E302" s="73">
        <f t="shared" si="18"/>
        <v>48</v>
      </c>
      <c r="F302" s="73" t="str">
        <f t="shared" si="19"/>
        <v/>
      </c>
      <c r="G302" s="397" t="str">
        <f>IF(H302="","",IF(AND(G285="",G286="",G287="",G288="",G289="",G290="",G291="",G292="",G293="",G294="",G295="",G296="",G297="",G298="",G299="",G300="",G304="",G301=""),"Staterooms",""))</f>
        <v/>
      </c>
      <c r="H302" s="12" t="str">
        <f>IF('11-Staterooms'!C58='11-Staterooms'!S2,"",LEFT('11-Staterooms'!B58,17))</f>
        <v/>
      </c>
      <c r="I302" s="4">
        <f>'11-Staterooms'!H58</f>
        <v>0</v>
      </c>
      <c r="J302" s="265">
        <f>'11-Staterooms'!F58</f>
        <v>0</v>
      </c>
    </row>
    <row r="303" spans="1:10" ht="16">
      <c r="A303" s="400" t="str">
        <f>IF(MAX(F:F)&lt;301,"",IF(INDEX(F:J,MATCH(301,F:F,0),2)=0,"",INDEX(F:J,MATCH(301,F:F,0),2)))</f>
        <v/>
      </c>
      <c r="B303" s="463" t="str">
        <f>IF(MAX(F:F)&lt;301,"",INDEX(F:J,MATCH(301,F:F,0),3))</f>
        <v/>
      </c>
      <c r="C303" s="4" t="str">
        <f>IF(MAX(F:F)&lt;301,"",INDEX(F:J,MATCH(301,F:F,0),4))</f>
        <v/>
      </c>
      <c r="D303" s="4" t="str">
        <f>IF(MAX(F:F)&lt;301,"",INDEX(F:J,MATCH(301,F:F,0),5))</f>
        <v/>
      </c>
      <c r="E303" s="73">
        <f t="shared" si="18"/>
        <v>48</v>
      </c>
      <c r="F303" s="73" t="str">
        <f t="shared" si="19"/>
        <v/>
      </c>
      <c r="G303" s="397" t="str">
        <f>IF(H303="","",IF(AND(G285="",G286="",G287="",G288="",G289="",G290="",G291="",G292="",G293="",G294="",G295="",G296="",G297="",G298="",G299="",G300="",G304="",G301="",G302=""),"Staterooms",""))</f>
        <v/>
      </c>
      <c r="H303" s="12" t="str">
        <f>IF('11-Staterooms'!C59='11-Staterooms'!S2,"",LEFT('11-Staterooms'!B59,11))</f>
        <v/>
      </c>
      <c r="J303" s="265">
        <f>'11-Staterooms'!F59</f>
        <v>0</v>
      </c>
    </row>
    <row r="304" spans="1:10" ht="16">
      <c r="A304" s="400" t="str">
        <f>IF(MAX(F:F)&lt;302,"",IF(INDEX(F:J,MATCH(302,F:F,0),2)=0,"",INDEX(F:J,MATCH(302,F:F,0),2)))</f>
        <v/>
      </c>
      <c r="B304" s="463" t="str">
        <f>IF(MAX(F:F)&lt;302,"",INDEX(F:J,MATCH(302,F:F,0),3))</f>
        <v/>
      </c>
      <c r="C304" s="4" t="str">
        <f>IF(MAX(F:F)&lt;302,"",INDEX(F:J,MATCH(302,F:F,0),4))</f>
        <v/>
      </c>
      <c r="D304" s="4" t="str">
        <f>IF(MAX(F:F)&lt;302,"",INDEX(F:J,MATCH(302,F:F,0),5))</f>
        <v/>
      </c>
      <c r="E304" s="73">
        <f t="shared" si="18"/>
        <v>48</v>
      </c>
      <c r="F304" s="73" t="str">
        <f t="shared" si="19"/>
        <v/>
      </c>
      <c r="G304" s="397" t="str">
        <f>IF(H304="","",IF(AND(G285="",G286="",G287="",G288="",G289="",G290="",G291="",G292="",G293="",G294="",G295="",G296="",G297="",G298="",G299="",G300=""),"Staterooms",""))</f>
        <v/>
      </c>
      <c r="H304" s="12" t="str">
        <f>IF('11-Staterooms'!C34=0,"",'11-Staterooms'!C34&amp;"x "&amp;'11-Staterooms'!A34)</f>
        <v/>
      </c>
      <c r="I304" s="4">
        <f>'11-Staterooms'!H35</f>
        <v>0</v>
      </c>
      <c r="J304" s="265">
        <f>'11-Staterooms'!F35</f>
        <v>0</v>
      </c>
    </row>
    <row r="305" spans="1:10" ht="16">
      <c r="A305" s="400" t="str">
        <f>IF(MAX(F:F)&lt;303,"",IF(INDEX(F:J,MATCH(303,F:F,0),2)=0,"",INDEX(F:J,MATCH(303,F:F,0),2)))</f>
        <v/>
      </c>
      <c r="B305" s="463" t="str">
        <f>IF(MAX(F:F)&lt;303,"",INDEX(F:J,MATCH(303,F:F,0),3))</f>
        <v/>
      </c>
      <c r="C305" s="4" t="str">
        <f>IF(MAX(F:F)&lt;303,"",INDEX(F:J,MATCH(303,F:F,0),4))</f>
        <v/>
      </c>
      <c r="D305" s="4" t="str">
        <f>IF(MAX(F:F)&lt;303,"",INDEX(F:J,MATCH(303,F:F,0),5))</f>
        <v/>
      </c>
      <c r="E305" s="73">
        <f t="shared" si="18"/>
        <v>48</v>
      </c>
      <c r="F305" s="73" t="str">
        <f t="shared" si="19"/>
        <v/>
      </c>
      <c r="G305" s="397"/>
      <c r="H305" s="12" t="str">
        <f>IF($H$304="","",IF('11-Staterooms'!C37=0,"","     Multi-Environmental Cargo: "&amp;'11-Staterooms'!C37&amp;" tons"))</f>
        <v/>
      </c>
      <c r="J305" s="265"/>
    </row>
    <row r="306" spans="1:10" ht="16">
      <c r="A306" s="400" t="str">
        <f>IF(MAX(F:F)&lt;304,"",IF(INDEX(F:J,MATCH(304,F:F,0),2)=0,"",INDEX(F:J,MATCH(304,F:F,0),2)))</f>
        <v/>
      </c>
      <c r="B306" s="463" t="str">
        <f>IF(MAX(F:F)&lt;304,"",INDEX(F:J,MATCH(304,F:F,0),3))</f>
        <v/>
      </c>
      <c r="C306" s="4" t="str">
        <f>IF(MAX(F:F)&lt;304,"",INDEX(F:J,MATCH(304,F:F,0),4))</f>
        <v/>
      </c>
      <c r="D306" s="4" t="str">
        <f>IF(MAX(F:F)&lt;304,"",INDEX(F:J,MATCH(304,F:F,0),5))</f>
        <v/>
      </c>
      <c r="E306" s="73">
        <f t="shared" si="18"/>
        <v>48</v>
      </c>
      <c r="F306" s="73" t="str">
        <f t="shared" si="19"/>
        <v/>
      </c>
      <c r="G306" s="397"/>
      <c r="H306" s="12" t="str">
        <f>IF($H$304="","",IF('11-Staterooms'!C38=0,"","     Multi-Environmental Barracks x"&amp;'11-Staterooms'!C38))</f>
        <v/>
      </c>
      <c r="J306" s="265"/>
    </row>
    <row r="307" spans="1:10" ht="16">
      <c r="A307" s="400" t="str">
        <f>IF(MAX(F:F)&lt;305,"",IF(INDEX(F:J,MATCH(305,F:F,0),2)=0,"",INDEX(F:J,MATCH(305,F:F,0),2)))</f>
        <v/>
      </c>
      <c r="B307" s="463" t="str">
        <f>IF(MAX(F:F)&lt;305,"",INDEX(F:J,MATCH(305,F:F,0),3))</f>
        <v/>
      </c>
      <c r="C307" s="4" t="str">
        <f>IF(MAX(F:F)&lt;305,"",INDEX(F:J,MATCH(305,F:F,0),4))</f>
        <v/>
      </c>
      <c r="D307" s="4" t="str">
        <f>IF(MAX(F:F)&lt;305,"",INDEX(F:J,MATCH(305,F:F,0),5))</f>
        <v/>
      </c>
      <c r="E307" s="73">
        <f t="shared" si="18"/>
        <v>48</v>
      </c>
      <c r="F307" s="73" t="str">
        <f t="shared" si="19"/>
        <v/>
      </c>
      <c r="G307" s="397"/>
      <c r="H307" s="12" t="str">
        <f>IF($H$304="","",IF('11-Staterooms'!C39=0,"","     Multi-Environmental Common Areas: "&amp;'11-Staterooms'!C39&amp;" tons"))</f>
        <v/>
      </c>
      <c r="J307" s="265"/>
    </row>
    <row r="308" spans="1:10" ht="16">
      <c r="A308" s="400" t="str">
        <f>IF(MAX(F:F)&lt;306,"",IF(INDEX(F:J,MATCH(306,F:F,0),2)=0,"",INDEX(F:J,MATCH(306,F:F,0),2)))</f>
        <v/>
      </c>
      <c r="B308" s="463" t="str">
        <f>IF(MAX(F:F)&lt;306,"",INDEX(F:J,MATCH(306,F:F,0),3))</f>
        <v/>
      </c>
      <c r="C308" s="4" t="str">
        <f>IF(MAX(F:F)&lt;306,"",INDEX(F:J,MATCH(306,F:F,0),4))</f>
        <v/>
      </c>
      <c r="D308" s="4" t="str">
        <f>IF(MAX(F:F)&lt;306,"",INDEX(F:J,MATCH(306,F:F,0),5))</f>
        <v/>
      </c>
      <c r="E308" s="73">
        <f t="shared" si="18"/>
        <v>48</v>
      </c>
      <c r="F308" s="73" t="str">
        <f t="shared" si="19"/>
        <v/>
      </c>
      <c r="G308" s="397"/>
      <c r="H308" s="12" t="str">
        <f>IF($H$304="","",IF('11-Staterooms'!C40=0,"","     Multi-Environmental Middle Staterooms x"&amp;'11-Staterooms'!C40))</f>
        <v/>
      </c>
      <c r="J308" s="265"/>
    </row>
    <row r="309" spans="1:10" ht="16">
      <c r="A309" s="400" t="str">
        <f>IF(MAX(F:F)&lt;307,"",IF(INDEX(F:J,MATCH(307,F:F,0),2)=0,"",INDEX(F:J,MATCH(307,F:F,0),2)))</f>
        <v/>
      </c>
      <c r="B309" s="463" t="str">
        <f>IF(MAX(F:F)&lt;307,"",INDEX(F:J,MATCH(307,F:F,0),3))</f>
        <v/>
      </c>
      <c r="C309" s="4" t="str">
        <f>IF(MAX(F:F)&lt;307,"",INDEX(F:J,MATCH(307,F:F,0),4))</f>
        <v/>
      </c>
      <c r="D309" s="4" t="str">
        <f>IF(MAX(F:F)&lt;307,"",INDEX(F:J,MATCH(307,F:F,0),5))</f>
        <v/>
      </c>
      <c r="E309" s="73">
        <f t="shared" si="18"/>
        <v>48</v>
      </c>
      <c r="F309" s="73" t="str">
        <f t="shared" si="19"/>
        <v/>
      </c>
      <c r="G309" s="397"/>
      <c r="H309" s="12" t="str">
        <f>IF($H$304="","",IF('11-Staterooms'!C41=0,"","     Multi-Environmental High Staterooms x"&amp;'11-Staterooms'!C41))</f>
        <v/>
      </c>
      <c r="J309" s="265"/>
    </row>
    <row r="310" spans="1:10" ht="16">
      <c r="A310" s="400" t="str">
        <f>IF(MAX(F:F)&lt;308,"",IF(INDEX(F:J,MATCH(308,F:F,0),2)=0,"",INDEX(F:J,MATCH(308,F:F,0),2)))</f>
        <v/>
      </c>
      <c r="B310" s="463" t="str">
        <f>IF(MAX(F:F)&lt;308,"",INDEX(F:J,MATCH(308,F:F,0),3))</f>
        <v/>
      </c>
      <c r="C310" s="4" t="str">
        <f>IF(MAX(F:F)&lt;308,"",INDEX(F:J,MATCH(308,F:F,0),4))</f>
        <v/>
      </c>
      <c r="D310" s="4" t="str">
        <f>IF(MAX(F:F)&lt;308,"",INDEX(F:J,MATCH(308,F:F,0),5))</f>
        <v/>
      </c>
      <c r="E310" s="73">
        <f t="shared" si="18"/>
        <v>48</v>
      </c>
      <c r="F310" s="73" t="str">
        <f t="shared" si="19"/>
        <v/>
      </c>
      <c r="G310" s="397"/>
      <c r="H310" s="12" t="str">
        <f>IF($H$304="","",IF('11-Staterooms'!C42=0,"","     Multi-Environmental Luxury Staterooms x"&amp;'11-Staterooms'!C42))</f>
        <v/>
      </c>
      <c r="J310" s="265"/>
    </row>
    <row r="311" spans="1:10" ht="16">
      <c r="A311" s="400" t="str">
        <f>IF(MAX(F:F)&lt;309,"",IF(INDEX(F:J,MATCH(309,F:F,0),2)=0,"",INDEX(F:J,MATCH(309,F:F,0),2)))</f>
        <v/>
      </c>
      <c r="B311" s="463" t="str">
        <f>IF(MAX(F:F)&lt;309,"",INDEX(F:J,MATCH(309,F:F,0),3))</f>
        <v/>
      </c>
      <c r="C311" s="4" t="str">
        <f>IF(MAX(F:F)&lt;309,"",INDEX(F:J,MATCH(309,F:F,0),4))</f>
        <v/>
      </c>
      <c r="D311" s="4" t="str">
        <f>IF(MAX(F:F)&lt;309,"",INDEX(F:J,MATCH(309,F:F,0),5))</f>
        <v/>
      </c>
      <c r="E311" s="73">
        <f t="shared" ref="E311:E312" si="20">IF(H311="",E310,E310+1)</f>
        <v>48</v>
      </c>
      <c r="F311" s="73" t="str">
        <f t="shared" ref="F311:F312" si="21">IF(E311=E310,"",E311)</f>
        <v/>
      </c>
      <c r="G311" s="397"/>
      <c r="H311" s="12" t="str">
        <f>IF($H$304="","",IF('11-Staterooms'!C43=0,"","     Multi-Environmental Brig x"&amp;'11-Staterooms'!C43))</f>
        <v/>
      </c>
      <c r="J311" s="265"/>
    </row>
    <row r="312" spans="1:10" ht="16">
      <c r="A312" s="400" t="str">
        <f>IF(MAX(F:F)&lt;310,"",IF(INDEX(F:J,MATCH(310,F:F,0),2)=0,"",INDEX(F:J,MATCH(310,F:F,0),2)))</f>
        <v/>
      </c>
      <c r="B312" s="463" t="str">
        <f>IF(MAX(F:F)&lt;310,"",INDEX(F:J,MATCH(310,F:F,0),3))</f>
        <v/>
      </c>
      <c r="C312" s="4" t="str">
        <f>IF(MAX(F:F)&lt;310,"",INDEX(F:J,MATCH(310,F:F,0),4))</f>
        <v/>
      </c>
      <c r="D312" s="4" t="str">
        <f>IF(MAX(F:F)&lt;310,"",INDEX(F:J,MATCH(310,F:F,0),5))</f>
        <v/>
      </c>
      <c r="E312" s="73">
        <f t="shared" si="20"/>
        <v>48</v>
      </c>
      <c r="F312" s="73" t="str">
        <f t="shared" si="21"/>
        <v/>
      </c>
      <c r="G312" s="397"/>
      <c r="H312" s="12" t="str">
        <f>IF($H$304="","",IF('11-Staterooms'!C44=0,"","     Multi-Environmental Stables x"&amp;'11-Staterooms'!C44))</f>
        <v/>
      </c>
      <c r="J312" s="265"/>
    </row>
    <row r="313" spans="1:10" ht="16">
      <c r="A313" s="400" t="str">
        <f>IF(MAX(F:F)&lt;311,"",IF(INDEX(F:J,MATCH(311,F:F,0),2)=0,"",INDEX(F:J,MATCH(311,F:F,0),2)))</f>
        <v/>
      </c>
      <c r="B313" s="463" t="str">
        <f>IF(MAX(F:F)&lt;311,"",INDEX(F:J,MATCH(311,F:F,0),3))</f>
        <v/>
      </c>
      <c r="C313" s="4" t="str">
        <f>IF(MAX(F:F)&lt;311,"",INDEX(F:J,MATCH(311,F:F,0),4))</f>
        <v/>
      </c>
      <c r="D313" s="4" t="str">
        <f>IF(MAX(F:F)&lt;311,"",INDEX(F:J,MATCH(311,F:F,0),5))</f>
        <v/>
      </c>
      <c r="E313" s="73">
        <f t="shared" ref="E313:E376" si="22">IF(H313="",E312,E312+1)</f>
        <v>48</v>
      </c>
      <c r="F313" s="73" t="str">
        <f t="shared" ref="F313:F376" si="23">IF(E313=E312,"",E313)</f>
        <v/>
      </c>
      <c r="G313" s="397"/>
      <c r="H313" s="12" t="str">
        <f>IF($H$304="","",IF('11-Staterooms'!C45=0,"","     Multi-Environmental Engineering Spaces: "&amp;'11-Staterooms'!C45&amp;" tons"))</f>
        <v/>
      </c>
      <c r="J313" s="265"/>
    </row>
    <row r="314" spans="1:10" ht="16">
      <c r="A314" s="400" t="str">
        <f>IF(MAX(F:F)&lt;312,"",IF(INDEX(F:J,MATCH(312,F:F,0),2)=0,"",INDEX(F:J,MATCH(312,F:F,0),2)))</f>
        <v/>
      </c>
      <c r="B314" s="463" t="str">
        <f>IF(MAX(F:F)&lt;312,"",INDEX(F:J,MATCH(312,F:F,0),3))</f>
        <v/>
      </c>
      <c r="C314" s="4" t="str">
        <f>IF(MAX(F:F)&lt;312,"",INDEX(F:J,MATCH(312,F:F,0),4))</f>
        <v/>
      </c>
      <c r="D314" s="4" t="str">
        <f>IF(MAX(F:F)&lt;312,"",INDEX(F:J,MATCH(312,F:F,0),5))</f>
        <v/>
      </c>
      <c r="E314" s="73">
        <f t="shared" si="22"/>
        <v>48</v>
      </c>
      <c r="F314" s="73" t="str">
        <f t="shared" si="23"/>
        <v/>
      </c>
      <c r="G314" s="397"/>
      <c r="H314" s="12" t="str">
        <f>IF($H$304="","",IF('11-Staterooms'!C46=0,"","     Multi-Environmental Bridge Spaces: "&amp;'11-Staterooms'!C46&amp;" tons"))</f>
        <v/>
      </c>
      <c r="J314" s="265"/>
    </row>
    <row r="315" spans="1:10" ht="16">
      <c r="A315" s="400" t="str">
        <f>IF(MAX(F:F)&lt;313,"",IF(INDEX(F:J,MATCH(313,F:F,0),2)=0,"",INDEX(F:J,MATCH(313,F:F,0),2)))</f>
        <v/>
      </c>
      <c r="B315" s="463" t="str">
        <f>IF(MAX(F:F)&lt;313,"",INDEX(F:J,MATCH(313,F:F,0),3))</f>
        <v/>
      </c>
      <c r="C315" s="4" t="str">
        <f>IF(MAX(F:F)&lt;313,"",INDEX(F:J,MATCH(313,F:F,0),4))</f>
        <v/>
      </c>
      <c r="D315" s="4" t="str">
        <f>IF(MAX(F:F)&lt;313,"",INDEX(F:J,MATCH(313,F:F,0),5))</f>
        <v/>
      </c>
      <c r="E315" s="73">
        <f t="shared" si="22"/>
        <v>48</v>
      </c>
      <c r="F315" s="73" t="str">
        <f t="shared" si="23"/>
        <v/>
      </c>
      <c r="G315" s="397"/>
      <c r="H315" s="12" t="str">
        <f>IF($H$304="","",IF('11-Staterooms'!C47=0,"","     Multi-Environmental Sensors Spaces: "&amp;'11-Staterooms'!C47&amp;" tons"))</f>
        <v/>
      </c>
      <c r="J315" s="265"/>
    </row>
    <row r="316" spans="1:10" ht="16">
      <c r="A316" s="400" t="str">
        <f>IF(MAX(F:F)&lt;314,"",IF(INDEX(F:J,MATCH(314,F:F,0),2)=0,"",INDEX(F:J,MATCH(314,F:F,0),2)))</f>
        <v/>
      </c>
      <c r="B316" s="463" t="str">
        <f>IF(MAX(F:F)&lt;314,"",INDEX(F:J,MATCH(314,F:F,0),3))</f>
        <v/>
      </c>
      <c r="C316" s="4" t="str">
        <f>IF(MAX(F:F)&lt;314,"",INDEX(F:J,MATCH(314,F:F,0),4))</f>
        <v/>
      </c>
      <c r="D316" s="4" t="str">
        <f>IF(MAX(F:F)&lt;314,"",INDEX(F:J,MATCH(314,F:F,0),5))</f>
        <v/>
      </c>
      <c r="E316" s="73">
        <f t="shared" si="22"/>
        <v>48</v>
      </c>
      <c r="F316" s="73" t="str">
        <f t="shared" si="23"/>
        <v/>
      </c>
      <c r="G316" s="397"/>
      <c r="H316" s="12" t="str">
        <f>IF($H$304="","",IF('11-Staterooms'!C48=0,"","     Multi-Environmental Weapons Spaces: "&amp;'11-Staterooms'!C48&amp;" tons"))</f>
        <v/>
      </c>
      <c r="J316" s="265"/>
    </row>
    <row r="317" spans="1:10" ht="16">
      <c r="A317" s="400" t="str">
        <f>IF(MAX(F:F)&lt;315,"",IF(INDEX(F:J,MATCH(315,F:F,0),2)=0,"",INDEX(F:J,MATCH(315,F:F,0),2)))</f>
        <v/>
      </c>
      <c r="B317" s="463" t="str">
        <f>IF(MAX(F:F)&lt;315,"",INDEX(F:J,MATCH(315,F:F,0),3))</f>
        <v/>
      </c>
      <c r="C317" s="4" t="str">
        <f>IF(MAX(F:F)&lt;315,"",INDEX(F:J,MATCH(315,F:F,0),4))</f>
        <v/>
      </c>
      <c r="D317" s="4" t="str">
        <f>IF(MAX(F:F)&lt;315,"",INDEX(F:J,MATCH(315,F:F,0),5))</f>
        <v/>
      </c>
      <c r="E317" s="73">
        <f t="shared" si="22"/>
        <v>48</v>
      </c>
      <c r="F317" s="73" t="str">
        <f t="shared" si="23"/>
        <v/>
      </c>
      <c r="G317" s="397"/>
      <c r="H317" s="12" t="str">
        <f>IF($H$304="","",IF('11-Staterooms'!C49=0,"","     Multi-Environmental Screens Spaces: "&amp;'11-Staterooms'!C49&amp;" tons"))</f>
        <v/>
      </c>
      <c r="J317" s="265"/>
    </row>
    <row r="318" spans="1:10" ht="16">
      <c r="A318" s="400" t="str">
        <f>IF(MAX(F:F)&lt;316,"",IF(INDEX(F:J,MATCH(316,F:F,0),2)=0,"",INDEX(F:J,MATCH(316,F:F,0),2)))</f>
        <v/>
      </c>
      <c r="B318" s="463" t="str">
        <f>IF(MAX(F:F)&lt;316,"",INDEX(F:J,MATCH(316,F:F,0),3))</f>
        <v/>
      </c>
      <c r="C318" s="4" t="str">
        <f>IF(MAX(F:F)&lt;316,"",INDEX(F:J,MATCH(316,F:F,0),4))</f>
        <v/>
      </c>
      <c r="D318" s="4" t="str">
        <f>IF(MAX(F:F)&lt;316,"",INDEX(F:J,MATCH(316,F:F,0),5))</f>
        <v/>
      </c>
      <c r="E318" s="73">
        <f t="shared" si="22"/>
        <v>48</v>
      </c>
      <c r="F318" s="73" t="str">
        <f t="shared" si="23"/>
        <v/>
      </c>
      <c r="G318" s="397"/>
      <c r="H318" s="12" t="str">
        <f>IF($H$304="","",IF('11-Staterooms'!C50=0,"","     Multi-Environmental Dockin/Hangar Spaces: "&amp;'11-Staterooms'!C50&amp;" tons"))</f>
        <v/>
      </c>
      <c r="J318" s="265"/>
    </row>
    <row r="319" spans="1:10" ht="16">
      <c r="A319" s="400" t="str">
        <f>IF(MAX(F:F)&lt;317,"",IF(INDEX(F:J,MATCH(317,F:F,0),2)=0,"",INDEX(F:J,MATCH(317,F:F,0),2)))</f>
        <v/>
      </c>
      <c r="B319" s="463" t="str">
        <f>IF(MAX(F:F)&lt;317,"",INDEX(F:J,MATCH(317,F:F,0),3))</f>
        <v/>
      </c>
      <c r="C319" s="4" t="str">
        <f>IF(MAX(F:F)&lt;317,"",INDEX(F:J,MATCH(317,F:F,0),4))</f>
        <v/>
      </c>
      <c r="D319" s="4" t="str">
        <f>IF(MAX(F:F)&lt;317,"",INDEX(F:J,MATCH(317,F:F,0),5))</f>
        <v/>
      </c>
      <c r="E319" s="73">
        <f t="shared" si="22"/>
        <v>48</v>
      </c>
      <c r="F319" s="73" t="str">
        <f t="shared" si="23"/>
        <v/>
      </c>
      <c r="G319" s="397"/>
      <c r="H319" s="12" t="str">
        <f>IF($H$304="","",IF('11-Staterooms'!C51=0,"","     Multi-Environmental Facilities Spaces: "&amp;'11-Staterooms'!C51&amp;" tons"))</f>
        <v/>
      </c>
      <c r="J319" s="265"/>
    </row>
    <row r="320" spans="1:10" ht="16">
      <c r="A320" s="400" t="str">
        <f>IF(MAX(F:F)&lt;318,"",IF(INDEX(F:J,MATCH(318,F:F,0),2)=0,"",INDEX(F:J,MATCH(318,F:F,0),2)))</f>
        <v/>
      </c>
      <c r="B320" s="463" t="str">
        <f>IF(MAX(F:F)&lt;318,"",INDEX(F:J,MATCH(318,F:F,0),3))</f>
        <v/>
      </c>
      <c r="C320" s="4" t="str">
        <f>IF(MAX(F:F)&lt;318,"",INDEX(F:J,MATCH(318,F:F,0),4))</f>
        <v/>
      </c>
      <c r="D320" s="4" t="str">
        <f>IF(MAX(F:F)&lt;318,"",INDEX(F:J,MATCH(318,F:F,0),5))</f>
        <v/>
      </c>
      <c r="E320" s="73">
        <f t="shared" si="22"/>
        <v>48</v>
      </c>
      <c r="F320" s="73" t="str">
        <f t="shared" si="23"/>
        <v/>
      </c>
      <c r="G320" s="397"/>
      <c r="H320" s="12" t="str">
        <f>IF($H$304="","",IF('11-Staterooms'!C52=0,"","     Multi-Environmental "&amp;'11-Staterooms'!B52&amp;": "&amp;'11-Staterooms'!C52&amp;" tons"))</f>
        <v/>
      </c>
      <c r="J320" s="265"/>
    </row>
    <row r="321" spans="1:10" ht="16">
      <c r="A321" s="400" t="str">
        <f>IF(MAX(F:F)&lt;319,"",IF(INDEX(F:J,MATCH(319,F:F,0),2)=0,"",INDEX(F:J,MATCH(319,F:F,0),2)))</f>
        <v/>
      </c>
      <c r="B321" s="463" t="str">
        <f>IF(MAX(F:F)&lt;319,"",INDEX(F:J,MATCH(319,F:F,0),3))</f>
        <v/>
      </c>
      <c r="C321" s="4" t="str">
        <f>IF(MAX(F:F)&lt;319,"",INDEX(F:J,MATCH(319,F:F,0),4))</f>
        <v/>
      </c>
      <c r="D321" s="4" t="str">
        <f>IF(MAX(F:F)&lt;319,"",INDEX(F:J,MATCH(319,F:F,0),5))</f>
        <v/>
      </c>
      <c r="E321" s="73">
        <f t="shared" si="22"/>
        <v>48</v>
      </c>
      <c r="F321" s="73" t="str">
        <f t="shared" si="23"/>
        <v/>
      </c>
      <c r="G321" s="397"/>
      <c r="H321" s="12" t="str">
        <f>IF($H$304="","",IF('11-Staterooms'!C53=0,"","     Multi-Environmental "&amp;'11-Staterooms'!B53&amp;": "&amp;'11-Staterooms'!C53&amp;" tons"))</f>
        <v/>
      </c>
      <c r="J321" s="265"/>
    </row>
    <row r="322" spans="1:10" ht="16">
      <c r="A322" s="400" t="str">
        <f>IF(MAX(F:F)&lt;320,"",IF(INDEX(F:J,MATCH(320,F:F,0),2)=0,"",INDEX(F:J,MATCH(320,F:F,0),2)))</f>
        <v/>
      </c>
      <c r="B322" s="463" t="str">
        <f>IF(MAX(F:F)&lt;320,"",INDEX(F:J,MATCH(320,F:F,0),3))</f>
        <v/>
      </c>
      <c r="C322" s="4" t="str">
        <f>IF(MAX(F:F)&lt;320,"",INDEX(F:J,MATCH(320,F:F,0),4))</f>
        <v/>
      </c>
      <c r="D322" s="4" t="str">
        <f>IF(MAX(F:F)&lt;320,"",INDEX(F:J,MATCH(320,F:F,0),5))</f>
        <v/>
      </c>
      <c r="E322" s="73">
        <f t="shared" si="22"/>
        <v>48</v>
      </c>
      <c r="F322" s="73" t="str">
        <f t="shared" si="23"/>
        <v/>
      </c>
      <c r="G322" s="397"/>
      <c r="H322" s="12" t="str">
        <f>IF($H$304="","",IF('11-Staterooms'!C54=0,"","     Multi-Environmental "&amp;'11-Staterooms'!B54&amp;": "&amp;'11-Staterooms'!C54&amp;" tons"))</f>
        <v/>
      </c>
      <c r="J322" s="265"/>
    </row>
    <row r="323" spans="1:10" ht="16">
      <c r="A323" s="400" t="str">
        <f>IF(MAX(F:F)&lt;321,"",IF(INDEX(F:J,MATCH(321,F:F,0),2)=0,"",INDEX(F:J,MATCH(321,F:F,0),2)))</f>
        <v/>
      </c>
      <c r="B323" s="463" t="str">
        <f>IF(MAX(F:F)&lt;321,"",INDEX(F:J,MATCH(321,F:F,0),3))</f>
        <v/>
      </c>
      <c r="C323" s="4" t="str">
        <f>IF(MAX(F:F)&lt;321,"",INDEX(F:J,MATCH(321,F:F,0),4))</f>
        <v/>
      </c>
      <c r="D323" s="4" t="str">
        <f>IF(MAX(F:F)&lt;321,"",INDEX(F:J,MATCH(321,F:F,0),5))</f>
        <v/>
      </c>
      <c r="E323" s="73">
        <f t="shared" si="22"/>
        <v>48</v>
      </c>
      <c r="F323" s="73" t="str">
        <f t="shared" si="23"/>
        <v/>
      </c>
      <c r="G323" s="397"/>
      <c r="H323" s="12" t="str">
        <f>IF($H$304="","",IF('11-Staterooms'!C55=0,"","     Multi-Environmental "&amp;'11-Staterooms'!B55&amp;": "&amp;'11-Staterooms'!C55&amp;" tons"))</f>
        <v/>
      </c>
      <c r="J323" s="265"/>
    </row>
    <row r="324" spans="1:10" ht="16">
      <c r="A324" s="400" t="str">
        <f>IF(MAX(F:F)&lt;322,"",IF(INDEX(F:J,MATCH(322,F:F,0),2)=0,"",INDEX(F:J,MATCH(322,F:F,0),2)))</f>
        <v/>
      </c>
      <c r="B324" s="463" t="str">
        <f>IF(MAX(F:F)&lt;322,"",INDEX(F:J,MATCH(322,F:F,0),3))</f>
        <v/>
      </c>
      <c r="C324" s="4" t="str">
        <f>IF(MAX(F:F)&lt;322,"",INDEX(F:J,MATCH(322,F:F,0),4))</f>
        <v/>
      </c>
      <c r="D324" s="4" t="str">
        <f>IF(MAX(F:F)&lt;322,"",INDEX(F:J,MATCH(322,F:F,0),5))</f>
        <v/>
      </c>
      <c r="E324" s="73">
        <f t="shared" si="22"/>
        <v>48</v>
      </c>
      <c r="F324" s="73" t="str">
        <f t="shared" si="23"/>
        <v/>
      </c>
      <c r="G324" s="397"/>
      <c r="H324" s="12" t="str">
        <f>IF($H$304="","",IF('11-Staterooms'!C56=0,"","     Multi-Environmental "&amp;'11-Staterooms'!B56&amp;": "&amp;'11-Staterooms'!C56&amp;" tons"))</f>
        <v/>
      </c>
      <c r="J324" s="265"/>
    </row>
    <row r="325" spans="1:10" ht="16">
      <c r="A325" s="400" t="str">
        <f>IF(MAX(F:F)&lt;323,"",IF(INDEX(F:J,MATCH(323,F:F,0),2)=0,"",INDEX(F:J,MATCH(323,F:F,0),2)))</f>
        <v/>
      </c>
      <c r="B325" s="463" t="str">
        <f>IF(MAX(F:F)&lt;323,"",INDEX(F:J,MATCH(323,F:F,0),3))</f>
        <v/>
      </c>
      <c r="C325" s="4" t="str">
        <f>IF(MAX(F:F)&lt;323,"",INDEX(F:J,MATCH(323,F:F,0),4))</f>
        <v/>
      </c>
      <c r="D325" s="4" t="str">
        <f>IF(MAX(F:F)&lt;323,"",INDEX(F:J,MATCH(323,F:F,0),5))</f>
        <v/>
      </c>
      <c r="E325" s="73">
        <f t="shared" si="22"/>
        <v>48</v>
      </c>
      <c r="F325" s="73" t="str">
        <f t="shared" si="23"/>
        <v/>
      </c>
      <c r="G325" s="398"/>
      <c r="H325" s="12" t="str">
        <f>IF($H$304="","",IF('11-Staterooms'!C57=0,"","     Multi-Environmental Stables x"&amp;'11-Staterooms'!C57))</f>
        <v/>
      </c>
      <c r="I325" s="403"/>
      <c r="J325" s="4" t="s">
        <v>2065</v>
      </c>
    </row>
    <row r="326" spans="1:10" ht="16">
      <c r="A326" s="400" t="str">
        <f>IF(MAX(F:F)&lt;324,"",IF(INDEX(F:J,MATCH(324,F:F,0),2)=0,"",INDEX(F:J,MATCH(324,F:F,0),2)))</f>
        <v/>
      </c>
      <c r="B326" s="463" t="str">
        <f>IF(MAX(F:F)&lt;324,"",INDEX(F:J,MATCH(324,F:F,0),3))</f>
        <v/>
      </c>
      <c r="C326" s="4" t="str">
        <f>IF(MAX(F:F)&lt;324,"",INDEX(F:J,MATCH(324,F:F,0),4))</f>
        <v/>
      </c>
      <c r="D326" s="4" t="str">
        <f>IF(MAX(F:F)&lt;324,"",INDEX(F:J,MATCH(324,F:F,0),5))</f>
        <v/>
      </c>
      <c r="E326" s="73">
        <f t="shared" si="22"/>
        <v>48</v>
      </c>
      <c r="F326" s="73" t="str">
        <f t="shared" si="23"/>
        <v/>
      </c>
      <c r="G326" s="401" t="str">
        <f>IF(H326="","","Entertainment")</f>
        <v/>
      </c>
      <c r="H326" s="391" t="str">
        <f>IF('11-Staterooms'!C62='11-Staterooms'!S54,"",'11-Staterooms'!C62&amp;" "&amp;'11-Staterooms'!B62)</f>
        <v/>
      </c>
      <c r="I326" s="237">
        <f>'11-Staterooms'!H62</f>
        <v>0</v>
      </c>
      <c r="J326" s="387">
        <f>'11-Staterooms'!F62</f>
        <v>0</v>
      </c>
    </row>
    <row r="327" spans="1:10" ht="16">
      <c r="A327" s="400" t="str">
        <f>IF(MAX(F:F)&lt;325,"",IF(INDEX(F:J,MATCH(325,F:F,0),2)=0,"",INDEX(F:J,MATCH(325,F:F,0),2)))</f>
        <v/>
      </c>
      <c r="B327" s="463" t="str">
        <f>IF(MAX(F:F)&lt;325,"",INDEX(F:J,MATCH(325,F:F,0),3))</f>
        <v/>
      </c>
      <c r="C327" s="4" t="str">
        <f>IF(MAX(F:F)&lt;325,"",INDEX(F:J,MATCH(325,F:F,0),4))</f>
        <v/>
      </c>
      <c r="D327" s="4" t="str">
        <f>IF(MAX(F:F)&lt;325,"",INDEX(F:J,MATCH(325,F:F,0),5))</f>
        <v/>
      </c>
      <c r="E327" s="73">
        <f t="shared" si="22"/>
        <v>48</v>
      </c>
      <c r="F327" s="73" t="str">
        <f t="shared" si="23"/>
        <v/>
      </c>
      <c r="G327" s="397" t="str">
        <f>IF(H327="","",IF(G326="","Entertainment",""))</f>
        <v/>
      </c>
      <c r="H327" s="12" t="str">
        <f>IF('11-Staterooms'!C63=0,"",'11-Staterooms'!B63&amp;": "&amp;'11-Staterooms'!D63)</f>
        <v/>
      </c>
      <c r="I327" s="4">
        <f>'11-Staterooms'!H63</f>
        <v>0</v>
      </c>
      <c r="J327" s="265">
        <f>'11-Staterooms'!F63</f>
        <v>0</v>
      </c>
    </row>
    <row r="328" spans="1:10" ht="16">
      <c r="A328" s="400" t="str">
        <f>IF(MAX(F:F)&lt;326,"",IF(INDEX(F:J,MATCH(326,F:F,0),2)=0,"",INDEX(F:J,MATCH(326,F:F,0),2)))</f>
        <v/>
      </c>
      <c r="B328" s="463" t="str">
        <f>IF(MAX(F:F)&lt;326,"",INDEX(F:J,MATCH(326,F:F,0),3))</f>
        <v/>
      </c>
      <c r="C328" s="4" t="str">
        <f>IF(MAX(F:F)&lt;326,"",INDEX(F:J,MATCH(326,F:F,0),4))</f>
        <v/>
      </c>
      <c r="D328" s="4" t="str">
        <f>IF(MAX(F:F)&lt;326,"",INDEX(F:J,MATCH(326,F:F,0),5))</f>
        <v/>
      </c>
      <c r="E328" s="73">
        <f t="shared" si="22"/>
        <v>49</v>
      </c>
      <c r="F328" s="73">
        <f t="shared" si="23"/>
        <v>49</v>
      </c>
      <c r="G328" s="397" t="str">
        <f>IF(H328="","",IF(AND(G326="",G327=""),"Entertainment",""))</f>
        <v>Entertainment</v>
      </c>
      <c r="H328" s="12" t="str">
        <f>IF('11-Staterooms'!C64=0,"",'11-Staterooms'!B64&amp;": "&amp;'11-Staterooms'!D64)</f>
        <v>Gourmet Kitchen: 6 diner capacity</v>
      </c>
      <c r="I328" s="4">
        <f>'11-Staterooms'!H64</f>
        <v>6</v>
      </c>
      <c r="J328" s="265">
        <f>'11-Staterooms'!F64</f>
        <v>1200000</v>
      </c>
    </row>
    <row r="329" spans="1:10" ht="16">
      <c r="A329" s="400" t="str">
        <f>IF(MAX(F:F)&lt;327,"",IF(INDEX(F:J,MATCH(327,F:F,0),2)=0,"",INDEX(F:J,MATCH(327,F:F,0),2)))</f>
        <v/>
      </c>
      <c r="B329" s="463" t="str">
        <f>IF(MAX(F:F)&lt;327,"",INDEX(F:J,MATCH(327,F:F,0),3))</f>
        <v/>
      </c>
      <c r="C329" s="4" t="str">
        <f>IF(MAX(F:F)&lt;327,"",INDEX(F:J,MATCH(327,F:F,0),4))</f>
        <v/>
      </c>
      <c r="D329" s="4" t="str">
        <f>IF(MAX(F:F)&lt;327,"",INDEX(F:J,MATCH(327,F:F,0),5))</f>
        <v/>
      </c>
      <c r="E329" s="73">
        <f t="shared" si="22"/>
        <v>50</v>
      </c>
      <c r="F329" s="73">
        <f t="shared" si="23"/>
        <v>50</v>
      </c>
      <c r="G329" s="397" t="str">
        <f>IF(H329="","",IF(AND(G326="",G327="",G328=""),"Entertainment",""))</f>
        <v/>
      </c>
      <c r="H329" s="12" t="str">
        <f>IF('11-Staterooms'!C65=0,"",'11-Staterooms'!B65&amp;": "&amp;'11-Staterooms'!D65)</f>
        <v>Hot Tub: Seating for 4</v>
      </c>
      <c r="I329" s="4">
        <f>'11-Staterooms'!H65</f>
        <v>1</v>
      </c>
      <c r="J329" s="265">
        <f>'11-Staterooms'!F65</f>
        <v>12000</v>
      </c>
    </row>
    <row r="330" spans="1:10" ht="16">
      <c r="A330" s="400" t="str">
        <f>IF(MAX(F:F)&lt;328,"",IF(INDEX(F:J,MATCH(328,F:F,0),2)=0,"",INDEX(F:J,MATCH(328,F:F,0),2)))</f>
        <v/>
      </c>
      <c r="B330" s="463" t="str">
        <f>IF(MAX(F:F)&lt;328,"",INDEX(F:J,MATCH(328,F:F,0),3))</f>
        <v/>
      </c>
      <c r="C330" s="4" t="str">
        <f>IF(MAX(F:F)&lt;328,"",INDEX(F:J,MATCH(328,F:F,0),4))</f>
        <v/>
      </c>
      <c r="D330" s="4" t="str">
        <f>IF(MAX(F:F)&lt;328,"",INDEX(F:J,MATCH(328,F:F,0),5))</f>
        <v/>
      </c>
      <c r="E330" s="73">
        <f t="shared" si="22"/>
        <v>50</v>
      </c>
      <c r="F330" s="73" t="str">
        <f t="shared" si="23"/>
        <v/>
      </c>
      <c r="G330" s="397" t="str">
        <f>IF(H330="","",IF(AND(G326="",G327="",G328="",G329=""),"Entertainment",""))</f>
        <v/>
      </c>
      <c r="H330" s="12" t="str">
        <f>IF('11-Staterooms'!C66=0,"",'11-Staterooms'!B66&amp;": "&amp;'11-Staterooms'!D66)</f>
        <v/>
      </c>
      <c r="I330" s="4">
        <f>'11-Staterooms'!H66</f>
        <v>0</v>
      </c>
      <c r="J330" s="265">
        <f>'11-Staterooms'!F66</f>
        <v>0</v>
      </c>
    </row>
    <row r="331" spans="1:10" ht="16">
      <c r="A331" s="400" t="str">
        <f>IF(MAX(F:F)&lt;329,"",IF(INDEX(F:J,MATCH(329,F:F,0),2)=0,"",INDEX(F:J,MATCH(329,F:F,0),2)))</f>
        <v/>
      </c>
      <c r="B331" s="463" t="str">
        <f>IF(MAX(F:F)&lt;329,"",INDEX(F:J,MATCH(329,F:F,0),3))</f>
        <v/>
      </c>
      <c r="C331" s="4" t="str">
        <f>IF(MAX(F:F)&lt;329,"",INDEX(F:J,MATCH(329,F:F,0),4))</f>
        <v/>
      </c>
      <c r="D331" s="4" t="str">
        <f>IF(MAX(F:F)&lt;329,"",INDEX(F:J,MATCH(329,F:F,0),5))</f>
        <v/>
      </c>
      <c r="E331" s="73">
        <f t="shared" si="22"/>
        <v>50</v>
      </c>
      <c r="F331" s="73" t="str">
        <f t="shared" si="23"/>
        <v/>
      </c>
      <c r="G331" s="397" t="str">
        <f>IF(H331="","",IF(AND(G326="",G327="",G328="",G329="",G330=""),"Entertainment",""))</f>
        <v/>
      </c>
      <c r="H331" s="12" t="str">
        <f>IF('11-Staterooms'!C67=0,"",'11-Staterooms'!B67)</f>
        <v/>
      </c>
      <c r="I331" s="4">
        <f>'11-Staterooms'!H67</f>
        <v>0</v>
      </c>
      <c r="J331" s="265">
        <f>'11-Staterooms'!F67</f>
        <v>0</v>
      </c>
    </row>
    <row r="332" spans="1:10" ht="16">
      <c r="A332" s="400" t="str">
        <f>IF(MAX(F:F)&lt;330,"",IF(INDEX(F:J,MATCH(330,F:F,0),2)=0,"",INDEX(F:J,MATCH(330,F:F,0),2)))</f>
        <v/>
      </c>
      <c r="B332" s="463" t="str">
        <f>IF(MAX(F:F)&lt;330,"",INDEX(F:J,MATCH(330,F:F,0),3))</f>
        <v/>
      </c>
      <c r="C332" s="4" t="str">
        <f>IF(MAX(F:F)&lt;330,"",INDEX(F:J,MATCH(330,F:F,0),4))</f>
        <v/>
      </c>
      <c r="D332" s="4" t="str">
        <f>IF(MAX(F:F)&lt;330,"",INDEX(F:J,MATCH(330,F:F,0),5))</f>
        <v/>
      </c>
      <c r="E332" s="73">
        <f t="shared" si="22"/>
        <v>50</v>
      </c>
      <c r="F332" s="73" t="str">
        <f t="shared" si="23"/>
        <v/>
      </c>
      <c r="G332" s="397" t="str">
        <f>IF(H332="","",IF(AND(G326="",G327="",G328="",G329="",G330="",G331=""),"Entertainment",""))</f>
        <v/>
      </c>
      <c r="H332" s="12" t="str">
        <f>IF('11-Staterooms'!C68=0,"",'11-Staterooms'!B68)</f>
        <v/>
      </c>
      <c r="I332" s="4">
        <f>'11-Staterooms'!H68</f>
        <v>0</v>
      </c>
      <c r="J332" s="265">
        <f>'11-Staterooms'!F68</f>
        <v>0</v>
      </c>
    </row>
    <row r="333" spans="1:10" ht="16">
      <c r="A333" s="400" t="str">
        <f>IF(MAX(F:F)&lt;331,"",IF(INDEX(F:J,MATCH(331,F:F,0),2)=0,"",INDEX(F:J,MATCH(331,F:F,0),2)))</f>
        <v/>
      </c>
      <c r="B333" s="463" t="str">
        <f>IF(MAX(F:F)&lt;331,"",INDEX(F:J,MATCH(331,F:F,0),3))</f>
        <v/>
      </c>
      <c r="C333" s="4" t="str">
        <f>IF(MAX(F:F)&lt;331,"",INDEX(F:J,MATCH(331,F:F,0),4))</f>
        <v/>
      </c>
      <c r="D333" s="4" t="str">
        <f>IF(MAX(F:F)&lt;331,"",INDEX(F:J,MATCH(331,F:F,0),5))</f>
        <v/>
      </c>
      <c r="E333" s="73">
        <f t="shared" si="22"/>
        <v>50</v>
      </c>
      <c r="F333" s="73" t="str">
        <f t="shared" si="23"/>
        <v/>
      </c>
      <c r="G333" s="397" t="str">
        <f>IF(H333="","",IF(AND(G326="",G327="",G328="",G329="",G330="",G331="",G332=""),"Entertainment",""))</f>
        <v/>
      </c>
      <c r="H333" s="12" t="str">
        <f>IF('11-Staterooms'!C69=0,"",'11-Staterooms'!B69)</f>
        <v/>
      </c>
      <c r="I333" s="4">
        <f>'11-Staterooms'!H69</f>
        <v>0</v>
      </c>
      <c r="J333" s="265">
        <f>'11-Staterooms'!F69</f>
        <v>0</v>
      </c>
    </row>
    <row r="334" spans="1:10" ht="16">
      <c r="A334" s="400" t="str">
        <f>IF(MAX(F:F)&lt;332,"",IF(INDEX(F:J,MATCH(332,F:F,0),2)=0,"",INDEX(F:J,MATCH(332,F:F,0),2)))</f>
        <v/>
      </c>
      <c r="B334" s="463" t="str">
        <f>IF(MAX(F:F)&lt;332,"",INDEX(F:J,MATCH(332,F:F,0),3))</f>
        <v/>
      </c>
      <c r="C334" s="4" t="str">
        <f>IF(MAX(F:F)&lt;332,"",INDEX(F:J,MATCH(332,F:F,0),4))</f>
        <v/>
      </c>
      <c r="D334" s="4" t="str">
        <f>IF(MAX(F:F)&lt;332,"",INDEX(F:J,MATCH(332,F:F,0),5))</f>
        <v/>
      </c>
      <c r="E334" s="73">
        <f t="shared" si="22"/>
        <v>50</v>
      </c>
      <c r="F334" s="73" t="str">
        <f t="shared" si="23"/>
        <v/>
      </c>
      <c r="G334" s="397" t="str">
        <f>IF(H334="","",IF(AND(G326="",G327="",G328="",G329="",G330="",G331="",G332="",G333=""),"Entertainment",""))</f>
        <v/>
      </c>
      <c r="H334" s="12" t="str">
        <f>IF('11-Staterooms'!C70=0,"",'11-Staterooms'!C70&amp;"x "&amp;'11-Staterooms'!B70)</f>
        <v/>
      </c>
      <c r="I334" s="4">
        <f>'11-Staterooms'!H70</f>
        <v>0</v>
      </c>
      <c r="J334" s="265">
        <f>'11-Staterooms'!F70</f>
        <v>0</v>
      </c>
    </row>
    <row r="335" spans="1:10" ht="16">
      <c r="A335" s="400" t="str">
        <f>IF(MAX(F:F)&lt;333,"",IF(INDEX(F:J,MATCH(333,F:F,0),2)=0,"",INDEX(F:J,MATCH(333,F:F,0),2)))</f>
        <v/>
      </c>
      <c r="B335" s="463" t="str">
        <f>IF(MAX(F:F)&lt;333,"",INDEX(F:J,MATCH(333,F:F,0),3))</f>
        <v/>
      </c>
      <c r="C335" s="4" t="str">
        <f>IF(MAX(F:F)&lt;333,"",INDEX(F:J,MATCH(333,F:F,0),4))</f>
        <v/>
      </c>
      <c r="D335" s="4" t="str">
        <f>IF(MAX(F:F)&lt;333,"",INDEX(F:J,MATCH(333,F:F,0),5))</f>
        <v/>
      </c>
      <c r="E335" s="73">
        <f t="shared" si="22"/>
        <v>50</v>
      </c>
      <c r="F335" s="73" t="str">
        <f t="shared" si="23"/>
        <v/>
      </c>
      <c r="G335" s="398" t="str">
        <f>IF(H335="","",IF(AND(G326="",G327="",G328="",G329="",G330="",G331="",G332="",G333="",G334=""),"Entertainment",""))</f>
        <v/>
      </c>
      <c r="H335" s="392" t="str">
        <f>IF('11-Staterooms'!C71=0,"",'11-Staterooms'!B71)</f>
        <v/>
      </c>
      <c r="I335" s="403">
        <f>'11-Staterooms'!H71</f>
        <v>0</v>
      </c>
      <c r="J335" s="266">
        <f>'11-Staterooms'!F71</f>
        <v>0</v>
      </c>
    </row>
    <row r="336" spans="1:10" ht="16">
      <c r="A336" s="400" t="str">
        <f>IF(MAX(F:F)&lt;334,"",IF(INDEX(F:J,MATCH(334,F:F,0),2)=0,"",INDEX(F:J,MATCH(334,F:F,0),2)))</f>
        <v/>
      </c>
      <c r="B336" s="463" t="str">
        <f>IF(MAX(F:F)&lt;334,"",INDEX(F:J,MATCH(334,F:F,0),3))</f>
        <v/>
      </c>
      <c r="C336" s="4" t="str">
        <f>IF(MAX(F:F)&lt;334,"",INDEX(F:J,MATCH(334,F:F,0),4))</f>
        <v/>
      </c>
      <c r="D336" s="4" t="str">
        <f>IF(MAX(F:F)&lt;334,"",INDEX(F:J,MATCH(334,F:F,0),5))</f>
        <v/>
      </c>
      <c r="E336" s="73">
        <f t="shared" si="22"/>
        <v>50</v>
      </c>
      <c r="F336" s="73" t="str">
        <f t="shared" si="23"/>
        <v/>
      </c>
      <c r="G336" s="401" t="str">
        <f>IF(H336="","","Cargo")</f>
        <v/>
      </c>
      <c r="H336" s="391" t="str">
        <f>IF('12-Cargo'!H9=0,"",'12-Cargo'!C9&amp;"x "&amp;'12-Cargo'!A9)</f>
        <v/>
      </c>
      <c r="I336" s="237">
        <f>'12-Cargo'!H9</f>
        <v>0</v>
      </c>
      <c r="J336" s="387">
        <f>'12-Cargo'!F9</f>
        <v>0</v>
      </c>
    </row>
    <row r="337" spans="1:10" ht="16">
      <c r="A337" s="400" t="str">
        <f>IF(MAX(F:F)&lt;335,"",IF(INDEX(F:J,MATCH(335,F:F,0),2)=0,"",INDEX(F:J,MATCH(335,F:F,0),2)))</f>
        <v/>
      </c>
      <c r="B337" s="463" t="str">
        <f>IF(MAX(F:F)&lt;335,"",INDEX(F:J,MATCH(335,F:F,0),3))</f>
        <v/>
      </c>
      <c r="C337" s="4" t="str">
        <f>IF(MAX(F:F)&lt;335,"",INDEX(F:J,MATCH(335,F:F,0),4))</f>
        <v/>
      </c>
      <c r="D337" s="4" t="str">
        <f>IF(MAX(F:F)&lt;335,"",INDEX(F:J,MATCH(335,F:F,0),5))</f>
        <v/>
      </c>
      <c r="E337" s="73">
        <f t="shared" si="22"/>
        <v>50</v>
      </c>
      <c r="F337" s="73" t="str">
        <f t="shared" si="23"/>
        <v/>
      </c>
      <c r="G337" s="397" t="str">
        <f>IF(H337="","",IF(G336="","Cargo",""))</f>
        <v/>
      </c>
      <c r="H337" s="12" t="str">
        <f>IF('12-Cargo'!H10=0,"",'12-Cargo'!A10)</f>
        <v/>
      </c>
      <c r="I337" s="4">
        <f>'12-Cargo'!H10</f>
        <v>0</v>
      </c>
      <c r="J337" s="265">
        <f>'12-Cargo'!F10</f>
        <v>0</v>
      </c>
    </row>
    <row r="338" spans="1:10" ht="16">
      <c r="A338" s="400" t="str">
        <f>IF(MAX(F:F)&lt;336,"",IF(INDEX(F:J,MATCH(336,F:F,0),2)=0,"",INDEX(F:J,MATCH(336,F:F,0),2)))</f>
        <v/>
      </c>
      <c r="B338" s="463" t="str">
        <f>IF(MAX(F:F)&lt;336,"",INDEX(F:J,MATCH(336,F:F,0),3))</f>
        <v/>
      </c>
      <c r="C338" s="4" t="str">
        <f>IF(MAX(F:F)&lt;336,"",INDEX(F:J,MATCH(336,F:F,0),4))</f>
        <v/>
      </c>
      <c r="D338" s="4" t="str">
        <f>IF(MAX(F:F)&lt;336,"",INDEX(F:J,MATCH(336,F:F,0),5))</f>
        <v/>
      </c>
      <c r="E338" s="73">
        <f t="shared" si="22"/>
        <v>50</v>
      </c>
      <c r="F338" s="73" t="str">
        <f t="shared" si="23"/>
        <v/>
      </c>
      <c r="G338" s="397" t="str">
        <f>IF(H338="","",IF(AND(G336="",G337=""),"Cargo",""))</f>
        <v/>
      </c>
      <c r="H338" s="12" t="str">
        <f>IF('12-Cargo'!F11=0,"",'12-Cargo'!D11&amp;" Ton "&amp;'12-Cargo'!A11)</f>
        <v/>
      </c>
      <c r="I338" s="4">
        <f>'12-Cargo'!H11</f>
        <v>0</v>
      </c>
      <c r="J338" s="265">
        <f>'12-Cargo'!F11</f>
        <v>0</v>
      </c>
    </row>
    <row r="339" spans="1:10" ht="16">
      <c r="A339" s="400" t="str">
        <f>IF(MAX(F:F)&lt;337,"",IF(INDEX(F:J,MATCH(337,F:F,0),2)=0,"",INDEX(F:J,MATCH(337,F:F,0),2)))</f>
        <v/>
      </c>
      <c r="B339" s="463" t="str">
        <f>IF(MAX(F:F)&lt;337,"",INDEX(F:J,MATCH(337,F:F,0),3))</f>
        <v/>
      </c>
      <c r="C339" s="4" t="str">
        <f>IF(MAX(F:F)&lt;337,"",INDEX(F:J,MATCH(337,F:F,0),4))</f>
        <v/>
      </c>
      <c r="D339" s="4" t="str">
        <f>IF(MAX(F:F)&lt;337,"",INDEX(F:J,MATCH(337,F:F,0),5))</f>
        <v/>
      </c>
      <c r="E339" s="73">
        <f t="shared" si="22"/>
        <v>50</v>
      </c>
      <c r="F339" s="73" t="str">
        <f t="shared" si="23"/>
        <v/>
      </c>
      <c r="G339" s="397" t="str">
        <f>IF(H339="","",IF(AND(G336="",G337="",G338=""),"Cargo",""))</f>
        <v/>
      </c>
      <c r="H339" s="12" t="str">
        <f>IF('12-Cargo'!H12=0,"",'12-Cargo'!D12&amp;" Ton Capacity "&amp;'12-Cargo'!A12)</f>
        <v/>
      </c>
      <c r="I339" s="4">
        <f>'12-Cargo'!H12</f>
        <v>0</v>
      </c>
      <c r="J339" s="265">
        <f>'12-Cargo'!F12</f>
        <v>0</v>
      </c>
    </row>
    <row r="340" spans="1:10" ht="16">
      <c r="E340" s="73">
        <f t="shared" si="22"/>
        <v>50</v>
      </c>
      <c r="F340" s="73" t="str">
        <f t="shared" si="23"/>
        <v/>
      </c>
      <c r="G340" s="397" t="str">
        <f>IF(H340="","",IF(AND(G336="",G337="",G338="",G339=""),"Cargo",""))</f>
        <v/>
      </c>
      <c r="H340" s="12" t="str">
        <f>IF('12-Cargo'!H13=0,"",'12-Cargo'!D13&amp;" Ton Capacity "&amp;'12-Cargo'!A13)</f>
        <v/>
      </c>
      <c r="I340" s="4">
        <f>'12-Cargo'!H13</f>
        <v>0</v>
      </c>
      <c r="J340" s="265">
        <f>'12-Cargo'!F13</f>
        <v>0</v>
      </c>
    </row>
    <row r="341" spans="1:10" ht="16">
      <c r="E341" s="73">
        <f t="shared" si="22"/>
        <v>51</v>
      </c>
      <c r="F341" s="73">
        <f t="shared" si="23"/>
        <v>51</v>
      </c>
      <c r="G341" s="397" t="str">
        <f>IF(H341="","",IF(AND(G336="",G337="",G338="",G339="",G340=""),"Cargo",""))</f>
        <v>Cargo</v>
      </c>
      <c r="H341" s="12" t="str">
        <f>IF('12-Cargo'!H18=0,"",'12-Cargo'!C18&amp;"x "&amp;'12-Cargo'!D18&amp;" Ton "&amp;'12-Cargo'!A18&amp;": "&amp;'12-Cargo'!B18)</f>
        <v>1x 5 Ton Cargo Bay: Standard Cargo Hold</v>
      </c>
      <c r="I341" s="4">
        <f>'12-Cargo'!H18</f>
        <v>5</v>
      </c>
      <c r="J341" s="265">
        <f>'12-Cargo'!F18</f>
        <v>0</v>
      </c>
    </row>
    <row r="342" spans="1:10" ht="16">
      <c r="E342" s="73">
        <f t="shared" si="22"/>
        <v>51</v>
      </c>
      <c r="F342" s="73" t="str">
        <f t="shared" si="23"/>
        <v/>
      </c>
      <c r="G342" s="397" t="str">
        <f>IF(H342="","",IF(AND(G336="",G337="",G338="",G339="",G340="",G341=""),"Cargo",""))</f>
        <v/>
      </c>
      <c r="H342" s="12" t="str">
        <f>IF('12-Cargo'!H18=0,"",IF('12-Cargo'!B19='12-Cargo'!S4,"",'12-Cargo'!C18&amp;"x "&amp;'12-Cargo'!A19))</f>
        <v/>
      </c>
      <c r="I342" s="4">
        <f>'12-Cargo'!H19</f>
        <v>0</v>
      </c>
      <c r="J342" s="265">
        <f>'12-Cargo'!F19</f>
        <v>0</v>
      </c>
    </row>
    <row r="343" spans="1:10" ht="16">
      <c r="E343" s="73">
        <f t="shared" si="22"/>
        <v>51</v>
      </c>
      <c r="F343" s="73" t="str">
        <f t="shared" si="23"/>
        <v/>
      </c>
      <c r="G343" s="397" t="str">
        <f>IF(H343="","",IF(AND(G336="",G337="",G338="",G339="",G340="",G341="",G342=""),"Cargo",""))</f>
        <v/>
      </c>
      <c r="H343" s="12" t="str">
        <f>IF('12-Cargo'!H18=0,"",IF('12-Cargo'!B20='12-Cargo'!S7,"",'12-Cargo'!C18*'12-Cargo'!C20&amp;"x "&amp;'12-Cargo'!B20&amp;" "&amp;'12-Cargo'!A20))</f>
        <v/>
      </c>
      <c r="I343" s="4">
        <f>'12-Cargo'!H20</f>
        <v>0</v>
      </c>
      <c r="J343" s="265">
        <f>'12-Cargo'!F20</f>
        <v>0</v>
      </c>
    </row>
    <row r="344" spans="1:10" ht="16">
      <c r="E344" s="73">
        <f t="shared" si="22"/>
        <v>51</v>
      </c>
      <c r="F344" s="73" t="str">
        <f t="shared" si="23"/>
        <v/>
      </c>
      <c r="G344" s="397" t="str">
        <f>IF(H344="","",IF(AND(G336="",G337="",G338="",G339="",G340="",G341="",G342="",G343=""),"Cargo",""))</f>
        <v/>
      </c>
      <c r="H344" s="12" t="str">
        <f>IF('12-Cargo'!H18=0,"",IF('12-Cargo'!B21='12-Cargo'!S4,"",'12-Cargo'!A21&amp;" for "&amp;H341))</f>
        <v/>
      </c>
      <c r="I344" s="4">
        <f>'12-Cargo'!H21</f>
        <v>0</v>
      </c>
      <c r="J344" s="265">
        <f>'12-Cargo'!F21</f>
        <v>0</v>
      </c>
    </row>
    <row r="345" spans="1:10" ht="16">
      <c r="E345" s="73">
        <f t="shared" si="22"/>
        <v>52</v>
      </c>
      <c r="F345" s="73">
        <f t="shared" si="23"/>
        <v>52</v>
      </c>
      <c r="G345" s="397" t="str">
        <f>IF(H345="","",IF(AND(G336="",G337="",G338="",G339="",G340="",G341="",G342="",G343="",G344=""),"Cargo",""))</f>
        <v/>
      </c>
      <c r="H345" s="12" t="str">
        <f>IF('12-Cargo'!H22=0,"",'12-Cargo'!C22&amp;"x "&amp;'12-Cargo'!D22&amp;" Ton "&amp;'12-Cargo'!A22&amp;": "&amp;'12-Cargo'!B22)</f>
        <v>1x 5 Ton Cargo Bay: Biological Containment Hold</v>
      </c>
      <c r="I345" s="4">
        <f>'12-Cargo'!H22</f>
        <v>5</v>
      </c>
      <c r="J345" s="265">
        <f>'12-Cargo'!F22</f>
        <v>0</v>
      </c>
    </row>
    <row r="346" spans="1:10" ht="16">
      <c r="E346" s="73">
        <f t="shared" si="22"/>
        <v>52</v>
      </c>
      <c r="F346" s="73" t="str">
        <f t="shared" si="23"/>
        <v/>
      </c>
      <c r="G346" s="397" t="str">
        <f>IF(H346="","",IF(AND(G336="",G337="",G338="",G339="",G340="",G341="",G342="",G343="",G344="",G345=""),"Cargo",""))</f>
        <v/>
      </c>
      <c r="H346" s="12" t="str">
        <f>IF('12-Cargo'!H22=0,"",IF('12-Cargo'!B23='12-Cargo'!S4,"",'12-Cargo'!C22&amp;"x "&amp;'12-Cargo'!A23))</f>
        <v/>
      </c>
      <c r="I346" s="4">
        <f>'12-Cargo'!H23</f>
        <v>0</v>
      </c>
      <c r="J346" s="265">
        <f>'12-Cargo'!F23</f>
        <v>0</v>
      </c>
    </row>
    <row r="347" spans="1:10" ht="16">
      <c r="E347" s="73">
        <f t="shared" si="22"/>
        <v>52</v>
      </c>
      <c r="F347" s="73" t="str">
        <f t="shared" si="23"/>
        <v/>
      </c>
      <c r="G347" s="397" t="str">
        <f>IF(H347="","",IF(AND(G336="",G337="",G338="",G339="",G340="",G341="",G342="",G343="",G344="",G345="",G346=""),"Cargo",""))</f>
        <v/>
      </c>
      <c r="H347" s="12" t="str">
        <f>IF('12-Cargo'!H22=0,"",IF('12-Cargo'!B24='12-Cargo'!S7,"",'12-Cargo'!C22*'12-Cargo'!C24&amp;"x "&amp;'12-Cargo'!B24&amp;" "&amp;'12-Cargo'!A24))</f>
        <v/>
      </c>
      <c r="I347" s="4">
        <f>'12-Cargo'!H24</f>
        <v>0</v>
      </c>
      <c r="J347" s="265">
        <f>'12-Cargo'!F24</f>
        <v>0</v>
      </c>
    </row>
    <row r="348" spans="1:10" ht="16">
      <c r="E348" s="73">
        <f t="shared" si="22"/>
        <v>53</v>
      </c>
      <c r="F348" s="73">
        <f t="shared" si="23"/>
        <v>53</v>
      </c>
      <c r="G348" s="397" t="str">
        <f>IF(H348="","",IF(AND(G336="",G337="",G338="",G339="",G340="",G341="",G342="",G343="",G344="",G345="",G346="",G347=""),"Cargo",""))</f>
        <v/>
      </c>
      <c r="H348" s="12" t="str">
        <f>IF('12-Cargo'!H22=0,"",IF('12-Cargo'!B25='12-Cargo'!S4,"",'12-Cargo'!A25&amp;" for "&amp;H345))</f>
        <v>Armored Bulkhead for 1x 5 Ton Cargo Bay: Biological Containment Hold</v>
      </c>
      <c r="I348" s="4">
        <f>'12-Cargo'!H25</f>
        <v>0.5</v>
      </c>
      <c r="J348" s="265">
        <f>'12-Cargo'!F25</f>
        <v>100000</v>
      </c>
    </row>
    <row r="349" spans="1:10" ht="16">
      <c r="E349" s="73">
        <f t="shared" si="22"/>
        <v>53</v>
      </c>
      <c r="F349" s="73" t="str">
        <f t="shared" si="23"/>
        <v/>
      </c>
      <c r="G349" s="397" t="str">
        <f>IF(H349="","",IF(AND(G336="",G337="",G338="",G339="",G340="",G341="",G342="",G343="",G344="",G345="",G346="",G347="",G348=""),"Cargo",""))</f>
        <v/>
      </c>
      <c r="H349" s="12" t="str">
        <f>IF('12-Cargo'!H26=0,"",'12-Cargo'!C26&amp;"x "&amp;'12-Cargo'!D26&amp;" Ton "&amp;'12-Cargo'!A26&amp;": "&amp;'12-Cargo'!B26)</f>
        <v/>
      </c>
      <c r="I349" s="4">
        <f>'12-Cargo'!H26</f>
        <v>0</v>
      </c>
      <c r="J349" s="265">
        <f>'12-Cargo'!F26</f>
        <v>0</v>
      </c>
    </row>
    <row r="350" spans="1:10" ht="16">
      <c r="E350" s="73">
        <f t="shared" si="22"/>
        <v>53</v>
      </c>
      <c r="F350" s="73" t="str">
        <f t="shared" si="23"/>
        <v/>
      </c>
      <c r="G350" s="397" t="str">
        <f>IF(H350="","",IF(AND(G336="",G337="",G338="",G339="",G340="",G341="",G342="",G343="",G344="",G345="",G346="",G347="",G348="",G349=""),"Cargo",""))</f>
        <v/>
      </c>
      <c r="H350" s="12" t="str">
        <f>IF('12-Cargo'!H26=0,"",IF('12-Cargo'!B27='12-Cargo'!S4,"",'12-Cargo'!C26&amp;"x "&amp;'12-Cargo'!A27))</f>
        <v/>
      </c>
      <c r="I350" s="4">
        <f>'12-Cargo'!H27</f>
        <v>0</v>
      </c>
      <c r="J350" s="265">
        <f>'12-Cargo'!F27</f>
        <v>0</v>
      </c>
    </row>
    <row r="351" spans="1:10" ht="16">
      <c r="E351" s="73">
        <f t="shared" si="22"/>
        <v>53</v>
      </c>
      <c r="F351" s="73" t="str">
        <f t="shared" si="23"/>
        <v/>
      </c>
      <c r="G351" s="397" t="str">
        <f>IF(H351="","",IF(AND(G336="",G337="",G338="",G339="",G340="",G341="",G342="",G343="",G344="",G345="",G346="",G347="",G348="",G349="",G350=""),"Cargo",""))</f>
        <v/>
      </c>
      <c r="H351" s="12" t="str">
        <f>IF('12-Cargo'!H26=0,"",IF('12-Cargo'!B28='12-Cargo'!S7,"",'12-Cargo'!C26*'12-Cargo'!C28&amp;"x "&amp;'12-Cargo'!B28&amp;" "&amp;'12-Cargo'!A28))</f>
        <v/>
      </c>
      <c r="I351" s="4">
        <f>'12-Cargo'!H28</f>
        <v>0</v>
      </c>
      <c r="J351" s="265">
        <f>'12-Cargo'!F28</f>
        <v>0</v>
      </c>
    </row>
    <row r="352" spans="1:10" ht="16">
      <c r="E352" s="73">
        <f t="shared" si="22"/>
        <v>53</v>
      </c>
      <c r="F352" s="73" t="str">
        <f t="shared" si="23"/>
        <v/>
      </c>
      <c r="G352" s="397" t="str">
        <f>IF(H352="","",IF(AND(G336="",G337="",G338="",G339="",G340="",G341="",G342="",G343="",G344="",G345="",G346="",G347="",G348="",G349="",G350="",G351=""),"Cargo",""))</f>
        <v/>
      </c>
      <c r="H352" s="12" t="str">
        <f>IF('12-Cargo'!H26=0,"",IF('12-Cargo'!B29='12-Cargo'!S4,"",'12-Cargo'!A29&amp;" for "&amp;H349))</f>
        <v/>
      </c>
      <c r="I352" s="4">
        <f>'12-Cargo'!H29</f>
        <v>0</v>
      </c>
      <c r="J352" s="265">
        <f>'12-Cargo'!F29</f>
        <v>0</v>
      </c>
    </row>
    <row r="353" spans="5:10" ht="16">
      <c r="E353" s="73">
        <f t="shared" si="22"/>
        <v>53</v>
      </c>
      <c r="F353" s="73" t="str">
        <f t="shared" si="23"/>
        <v/>
      </c>
      <c r="G353" s="397" t="str">
        <f>IF(H353="","",IF(AND(G336="",G337="",G338="",G339="",G340="",G341="",G342="",G343="",G344="",G345="",G346="",G347="",G348="",G349="",G350="",G351="",G352=""),"Cargo",""))</f>
        <v/>
      </c>
      <c r="H353" s="12" t="str">
        <f>IF('12-Cargo'!D30=0,"",'12-Cargo'!A30)</f>
        <v/>
      </c>
      <c r="I353" s="4">
        <f>'12-Cargo'!H30</f>
        <v>0</v>
      </c>
      <c r="J353" s="265">
        <f>'12-Cargo'!F30</f>
        <v>0</v>
      </c>
    </row>
    <row r="354" spans="5:10" ht="16">
      <c r="E354" s="73">
        <f t="shared" si="22"/>
        <v>53</v>
      </c>
      <c r="F354" s="73" t="str">
        <f t="shared" si="23"/>
        <v/>
      </c>
      <c r="G354" s="397" t="str">
        <f>IF(H354="","",IF(AND(G336="",G337="",G338="",G339="",G340="",G341="",G342="",G343="",G344="",G345="",G346="",G347="",G348="",G349="",G350="",G351="",G352="",G353=""),"Cargo",""))</f>
        <v/>
      </c>
      <c r="H354" s="12" t="str">
        <f>IF('12-Cargo'!D32=0,"",'12-Cargo'!A32)</f>
        <v/>
      </c>
      <c r="I354" s="4">
        <f>'12-Cargo'!H32</f>
        <v>0</v>
      </c>
      <c r="J354" s="265" t="str">
        <f>""</f>
        <v/>
      </c>
    </row>
    <row r="355" spans="5:10" ht="16">
      <c r="E355" s="73">
        <f t="shared" si="22"/>
        <v>54</v>
      </c>
      <c r="F355" s="73">
        <f t="shared" si="23"/>
        <v>54</v>
      </c>
      <c r="G355" s="397" t="str">
        <f>IF(H355="","",IF(AND(G336="",G337="",G338="",G339="",G340="",G341="",G342="",G343="",G344="",G345="",G346="",G347="",G348="",G349="",G350="",G351="",G352="",G353="",G354=""),"Cargo",""))</f>
        <v/>
      </c>
      <c r="H355" s="392" t="str">
        <f>IF('12-Cargo'!D34=0,"",'12-Cargo'!A34&amp;" : "&amp;ROUND('12-Cargo'!D34*100/(Tonnage/100),2)&amp;" Days")</f>
        <v>Supplies Stores and Spares : 100 Days</v>
      </c>
      <c r="I355" s="403">
        <f>'12-Cargo'!H34</f>
        <v>3</v>
      </c>
      <c r="J355" s="266" t="str">
        <f>""</f>
        <v/>
      </c>
    </row>
    <row r="356" spans="5:10" ht="16">
      <c r="E356" s="73">
        <f t="shared" si="22"/>
        <v>54</v>
      </c>
      <c r="F356" s="73" t="str">
        <f t="shared" si="23"/>
        <v/>
      </c>
      <c r="G356" s="401" t="str">
        <f>IF(H356="","","Magazine")</f>
        <v/>
      </c>
      <c r="H356" s="391" t="str">
        <f>IF('12-Cargo'!D38=0,"",IF('12-Cargo'!D39='12-Cargo'!T3,"","Armored ")&amp;'12-Cargo'!B38&amp;" Storage ("&amp;ROUNDDOWN(12*'12-Cargo'!D38,0)&amp;")")</f>
        <v/>
      </c>
      <c r="I356" s="237">
        <f>SUM('12-Cargo'!H38:H39)</f>
        <v>0</v>
      </c>
      <c r="J356" s="387">
        <f>'12-Cargo'!F39</f>
        <v>0</v>
      </c>
    </row>
    <row r="357" spans="5:10" ht="16">
      <c r="E357" s="73">
        <f t="shared" si="22"/>
        <v>54</v>
      </c>
      <c r="F357" s="73" t="str">
        <f t="shared" si="23"/>
        <v/>
      </c>
      <c r="G357" s="397" t="str">
        <f>IF(H357="","",IF(G356="","Magazine",""))</f>
        <v/>
      </c>
      <c r="H357" s="12" t="str">
        <f>IF('12-Cargo'!D40=0,"",IF('12-Cargo'!D41='12-Cargo'!$T$3,"","Armored ")&amp;'12-Cargo'!B40&amp;" Storage ("&amp;ROUNDDOWN(3*'12-Cargo'!D40,0)&amp;")")</f>
        <v/>
      </c>
      <c r="I357" s="4">
        <f>SUM('12-Cargo'!H40:H41)</f>
        <v>0</v>
      </c>
      <c r="J357" s="265">
        <f>'12-Cargo'!F41</f>
        <v>0</v>
      </c>
    </row>
    <row r="358" spans="5:10" ht="16">
      <c r="E358" s="73">
        <f t="shared" si="22"/>
        <v>54</v>
      </c>
      <c r="F358" s="73" t="str">
        <f t="shared" si="23"/>
        <v/>
      </c>
      <c r="G358" s="397" t="str">
        <f>IF(H358="","",IF(AND(G356="",G357=""),"Magazine",""))</f>
        <v/>
      </c>
      <c r="H358" s="12" t="str">
        <f>IF('12-Cargo'!D42=0,"",IF('12-Cargo'!D43='12-Cargo'!$T$3,"","Armored ")&amp;'12-Cargo'!B42&amp;" Storage ("&amp;ROUNDDOWN(20*'12-Cargo'!D42,0)&amp;")")</f>
        <v/>
      </c>
      <c r="I358" s="4">
        <f>SUM('12-Cargo'!H42:H43)</f>
        <v>0</v>
      </c>
      <c r="J358" s="265">
        <f>'12-Cargo'!F43</f>
        <v>0</v>
      </c>
    </row>
    <row r="359" spans="5:10" ht="16">
      <c r="E359" s="73">
        <f t="shared" si="22"/>
        <v>54</v>
      </c>
      <c r="F359" s="73" t="str">
        <f t="shared" si="23"/>
        <v/>
      </c>
      <c r="G359" s="397"/>
      <c r="H359" s="12" t="str">
        <f>IF('12-Cargo'!D44=0,"",IF('12-Cargo'!D45='12-Cargo'!$T$3,"","Armored ")&amp;'12-Cargo'!B44&amp;" Storage")</f>
        <v/>
      </c>
      <c r="I359" s="4">
        <f>SUM('12-Cargo'!H44:H45)</f>
        <v>0</v>
      </c>
      <c r="J359" s="265">
        <f>'12-Cargo'!F45</f>
        <v>0</v>
      </c>
    </row>
    <row r="360" spans="5:10" ht="16">
      <c r="E360" s="73">
        <f t="shared" si="22"/>
        <v>54</v>
      </c>
      <c r="F360" s="73" t="str">
        <f t="shared" si="23"/>
        <v/>
      </c>
      <c r="G360" s="397"/>
      <c r="H360" s="12" t="str">
        <f>IF('12-Cargo'!D46=0,"",IF('12-Cargo'!D47='12-Cargo'!$T$3,"","Armored ")&amp;'12-Cargo'!B46&amp;" Storage")</f>
        <v/>
      </c>
      <c r="I360" s="4">
        <f>SUM('12-Cargo'!H46:H47)</f>
        <v>0</v>
      </c>
      <c r="J360" s="265">
        <f>'12-Cargo'!F47</f>
        <v>0</v>
      </c>
    </row>
    <row r="361" spans="5:10" ht="16">
      <c r="E361" s="73">
        <f t="shared" si="22"/>
        <v>54</v>
      </c>
      <c r="F361" s="73" t="str">
        <f t="shared" si="23"/>
        <v/>
      </c>
      <c r="G361" s="398"/>
      <c r="H361" s="392" t="str">
        <f>IF('12-Cargo'!D48=0,"",IF('12-Cargo'!D49='12-Cargo'!$T$3,"","Armored ")&amp;'12-Cargo'!B48&amp;" Storage")</f>
        <v/>
      </c>
      <c r="I361" s="403">
        <f>SUM('12-Cargo'!H48:H49)</f>
        <v>0</v>
      </c>
      <c r="J361" s="266">
        <f>'12-Cargo'!F49</f>
        <v>0</v>
      </c>
    </row>
    <row r="362" spans="5:10" ht="16">
      <c r="E362" s="73">
        <f t="shared" si="22"/>
        <v>54</v>
      </c>
      <c r="F362" s="73" t="str">
        <f t="shared" si="23"/>
        <v/>
      </c>
      <c r="H362" s="12" t="str">
        <f>""</f>
        <v/>
      </c>
      <c r="J362" s="4" t="s">
        <v>2065</v>
      </c>
    </row>
    <row r="363" spans="5:10" ht="16">
      <c r="E363" s="73">
        <f t="shared" si="22"/>
        <v>54</v>
      </c>
      <c r="F363" s="73" t="str">
        <f t="shared" si="23"/>
        <v/>
      </c>
      <c r="H363" s="12" t="str">
        <f>""</f>
        <v/>
      </c>
      <c r="J363" s="4" t="s">
        <v>2065</v>
      </c>
    </row>
    <row r="364" spans="5:10" ht="16">
      <c r="E364" s="73">
        <f t="shared" si="22"/>
        <v>54</v>
      </c>
      <c r="F364" s="73" t="str">
        <f t="shared" si="23"/>
        <v/>
      </c>
      <c r="H364" s="12" t="str">
        <f>""</f>
        <v/>
      </c>
      <c r="J364" s="4" t="s">
        <v>2065</v>
      </c>
    </row>
    <row r="365" spans="5:10" ht="16">
      <c r="E365" s="73">
        <f t="shared" si="22"/>
        <v>54</v>
      </c>
      <c r="F365" s="73" t="str">
        <f t="shared" si="23"/>
        <v/>
      </c>
      <c r="H365" s="12" t="str">
        <f>""</f>
        <v/>
      </c>
      <c r="J365" s="4" t="s">
        <v>2065</v>
      </c>
    </row>
    <row r="366" spans="5:10" ht="16">
      <c r="E366" s="73">
        <f t="shared" si="22"/>
        <v>54</v>
      </c>
      <c r="F366" s="73" t="str">
        <f t="shared" si="23"/>
        <v/>
      </c>
      <c r="H366" s="12" t="str">
        <f>""</f>
        <v/>
      </c>
      <c r="J366" s="4" t="s">
        <v>2065</v>
      </c>
    </row>
    <row r="367" spans="5:10" ht="16">
      <c r="E367" s="73">
        <f t="shared" si="22"/>
        <v>54</v>
      </c>
      <c r="F367" s="73" t="str">
        <f t="shared" si="23"/>
        <v/>
      </c>
      <c r="H367" s="12" t="str">
        <f>""</f>
        <v/>
      </c>
      <c r="J367" s="4" t="s">
        <v>2065</v>
      </c>
    </row>
    <row r="368" spans="5:10" ht="16">
      <c r="E368" s="73">
        <f t="shared" si="22"/>
        <v>54</v>
      </c>
      <c r="F368" s="73" t="str">
        <f t="shared" si="23"/>
        <v/>
      </c>
      <c r="H368" s="12" t="str">
        <f>""</f>
        <v/>
      </c>
      <c r="J368" s="4" t="s">
        <v>2065</v>
      </c>
    </row>
    <row r="369" spans="5:10" ht="16">
      <c r="E369" s="73">
        <f t="shared" si="22"/>
        <v>54</v>
      </c>
      <c r="F369" s="73" t="str">
        <f t="shared" si="23"/>
        <v/>
      </c>
      <c r="H369" s="12" t="str">
        <f>""</f>
        <v/>
      </c>
      <c r="J369" s="4" t="s">
        <v>2065</v>
      </c>
    </row>
    <row r="370" spans="5:10">
      <c r="E370" s="73">
        <f t="shared" si="22"/>
        <v>55</v>
      </c>
      <c r="F370" s="73">
        <f t="shared" si="23"/>
        <v>55</v>
      </c>
      <c r="G370" s="401" t="s">
        <v>666</v>
      </c>
      <c r="H370" s="492">
        <f>SUM(J2:J369)</f>
        <v>690568666.66666675</v>
      </c>
      <c r="I370" s="237" t="s">
        <v>2066</v>
      </c>
      <c r="J370" s="387" t="str">
        <f>""</f>
        <v/>
      </c>
    </row>
    <row r="371" spans="5:10" ht="16">
      <c r="E371" s="73">
        <f t="shared" si="22"/>
        <v>56</v>
      </c>
      <c r="F371" s="73">
        <f t="shared" si="23"/>
        <v>56</v>
      </c>
      <c r="H371" s="12" t="str">
        <f>IF('Ship Info'!F3="No","","Purchase Price: ")</f>
        <v xml:space="preserve">Purchase Price: </v>
      </c>
      <c r="I371" s="4" t="str">
        <f>""</f>
        <v/>
      </c>
      <c r="J371" s="4">
        <f>'Ship Info'!G2</f>
        <v>621511800.00000012</v>
      </c>
    </row>
    <row r="372" spans="5:10" ht="16">
      <c r="E372" s="73">
        <f t="shared" si="22"/>
        <v>57</v>
      </c>
      <c r="F372" s="73">
        <f t="shared" si="23"/>
        <v>57</v>
      </c>
      <c r="G372" s="397" t="str">
        <f>"Ship's Expenses"</f>
        <v>Ship's Expenses</v>
      </c>
      <c r="H372" s="12" t="str">
        <f>'Ship Info'!A24</f>
        <v>Mortgage:</v>
      </c>
      <c r="I372" s="4" t="str">
        <f>""</f>
        <v/>
      </c>
      <c r="J372" s="265">
        <f>'Ship Info'!B24</f>
        <v>2589632.5000000005</v>
      </c>
    </row>
    <row r="373" spans="5:10" ht="16">
      <c r="E373" s="73">
        <f t="shared" si="22"/>
        <v>58</v>
      </c>
      <c r="F373" s="73">
        <f t="shared" si="23"/>
        <v>58</v>
      </c>
      <c r="G373" s="397"/>
      <c r="H373" s="12" t="str">
        <f>'Ship Info'!A25</f>
        <v>Maintenance Cost</v>
      </c>
      <c r="I373" s="4" t="str">
        <f>""</f>
        <v/>
      </c>
      <c r="J373" s="265">
        <f>'Ship Info'!B25</f>
        <v>51793</v>
      </c>
    </row>
    <row r="374" spans="5:10" ht="16">
      <c r="E374" s="73">
        <f t="shared" si="22"/>
        <v>59</v>
      </c>
      <c r="F374" s="73">
        <f t="shared" si="23"/>
        <v>59</v>
      </c>
      <c r="G374" s="397"/>
      <c r="H374" s="12" t="str">
        <f>'Ship Info'!A26</f>
        <v>Life Support:</v>
      </c>
      <c r="I374" s="4" t="str">
        <f>""</f>
        <v/>
      </c>
      <c r="J374" s="265">
        <f>'Ship Info'!B26</f>
        <v>21000</v>
      </c>
    </row>
    <row r="375" spans="5:10" ht="16">
      <c r="E375" s="73">
        <f t="shared" si="22"/>
        <v>60</v>
      </c>
      <c r="F375" s="73">
        <f t="shared" si="23"/>
        <v>60</v>
      </c>
      <c r="G375" s="397"/>
      <c r="H375" s="12" t="str">
        <f>'Ship Info'!A27</f>
        <v>Crew Salaries:</v>
      </c>
      <c r="I375" s="4" t="str">
        <f>""</f>
        <v/>
      </c>
      <c r="J375" s="265">
        <f>'Ship Info'!B27</f>
        <v>56000</v>
      </c>
    </row>
    <row r="376" spans="5:10" ht="16">
      <c r="E376" s="73">
        <f t="shared" si="22"/>
        <v>61</v>
      </c>
      <c r="F376" s="73">
        <f t="shared" si="23"/>
        <v>61</v>
      </c>
      <c r="G376" s="398"/>
      <c r="H376" s="392" t="str">
        <f>'Ship Info'!A29</f>
        <v>Total Expenses:</v>
      </c>
      <c r="I376" s="403" t="str">
        <f>""</f>
        <v/>
      </c>
      <c r="J376" s="266">
        <f>'Ship Info'!B29</f>
        <v>2718425.5000000005</v>
      </c>
    </row>
    <row r="377" spans="5:10" ht="16">
      <c r="E377" s="73">
        <f t="shared" ref="E377:E440" si="24">IF(H377="",E376,E376+1)</f>
        <v>61</v>
      </c>
      <c r="F377" s="73" t="str">
        <f t="shared" ref="F377:F440" si="25">IF(E377=E376,"",E377)</f>
        <v/>
      </c>
      <c r="G377" s="401" t="str">
        <f>IF(H377="","","Crew")</f>
        <v/>
      </c>
      <c r="H377" s="391" t="str">
        <f>IF('10-Crew'!F10=0,"",'10-Crew'!F10&amp;"x CAPTAIN")</f>
        <v/>
      </c>
      <c r="I377" s="237" t="str">
        <f>""</f>
        <v/>
      </c>
      <c r="J377" s="387">
        <f>'10-Crew'!G10</f>
        <v>0</v>
      </c>
    </row>
    <row r="378" spans="5:10" ht="16">
      <c r="E378" s="73">
        <f t="shared" si="24"/>
        <v>62</v>
      </c>
      <c r="F378" s="73">
        <f t="shared" si="25"/>
        <v>62</v>
      </c>
      <c r="G378" s="397" t="str">
        <f>IF(H378="","",IF(G377="","Crew",""))</f>
        <v>Crew</v>
      </c>
      <c r="H378" s="12" t="str">
        <f>IF('10-Crew'!F11=0,"",'10-Crew'!F11&amp;"x "&amp;'10-Crew'!A11)</f>
        <v>4x PILOT</v>
      </c>
      <c r="I378" s="4" t="str">
        <f>""</f>
        <v/>
      </c>
      <c r="J378" s="265">
        <f>'10-Crew'!G11</f>
        <v>24000</v>
      </c>
    </row>
    <row r="379" spans="5:10" ht="16">
      <c r="E379" s="73">
        <f t="shared" si="24"/>
        <v>63</v>
      </c>
      <c r="F379" s="73">
        <f t="shared" si="25"/>
        <v>63</v>
      </c>
      <c r="G379" s="397" t="str">
        <f>IF(H379="","",IF(AND(G377="",G378=""),"Crew",""))</f>
        <v/>
      </c>
      <c r="H379" s="12" t="str">
        <f>IF('10-Crew'!F12=0,"",'10-Crew'!F12&amp;"x "&amp;'10-Crew'!A12)</f>
        <v>1x ASTROGATOR</v>
      </c>
      <c r="I379" s="4" t="str">
        <f>""</f>
        <v/>
      </c>
      <c r="J379" s="265">
        <f>'10-Crew'!G12</f>
        <v>5000</v>
      </c>
    </row>
    <row r="380" spans="5:10" ht="16">
      <c r="E380" s="73">
        <f t="shared" si="24"/>
        <v>64</v>
      </c>
      <c r="F380" s="73">
        <f t="shared" si="25"/>
        <v>64</v>
      </c>
      <c r="G380" s="397" t="str">
        <f>IF(H380="","",IF(AND(G377="",G378="",G379=""),"Crew",""))</f>
        <v/>
      </c>
      <c r="H380" s="12" t="str">
        <f>IF('10-Crew'!F13=0,"",'10-Crew'!F13&amp;"x "&amp;'10-Crew'!A13)</f>
        <v>1x ENGINEER</v>
      </c>
      <c r="I380" s="4" t="str">
        <f>""</f>
        <v/>
      </c>
      <c r="J380" s="265">
        <f>'10-Crew'!G13</f>
        <v>4000</v>
      </c>
    </row>
    <row r="381" spans="5:10" ht="16">
      <c r="E381" s="73">
        <f t="shared" si="24"/>
        <v>65</v>
      </c>
      <c r="F381" s="73">
        <f t="shared" si="25"/>
        <v>65</v>
      </c>
      <c r="G381" s="397" t="str">
        <f>IF(H381="","",IF(AND(G377="",G378="",G379="",G380=""),"Crew",""))</f>
        <v/>
      </c>
      <c r="H381" s="12" t="str">
        <f>IF('10-Crew'!F14=0,"",'10-Crew'!F14&amp;"x "&amp;'10-Crew'!A14)</f>
        <v>1x MAINTENANCE</v>
      </c>
      <c r="I381" s="4" t="str">
        <f>""</f>
        <v/>
      </c>
      <c r="J381" s="265">
        <f>'10-Crew'!G14</f>
        <v>1000</v>
      </c>
    </row>
    <row r="382" spans="5:10" ht="16">
      <c r="E382" s="73">
        <f t="shared" si="24"/>
        <v>66</v>
      </c>
      <c r="F382" s="73">
        <f t="shared" si="25"/>
        <v>66</v>
      </c>
      <c r="G382" s="397" t="str">
        <f>IF(H382="","",IF(AND(G378="",G379="",G377="",G380="",G381=""),"Crew",""))</f>
        <v/>
      </c>
      <c r="H382" s="12" t="str">
        <f>IF('10-Crew'!F15=0,"",'10-Crew'!F15&amp;"x "&amp;'10-Crew'!A15)</f>
        <v>1x MEDIC</v>
      </c>
      <c r="I382" s="4" t="str">
        <f>""</f>
        <v/>
      </c>
      <c r="J382" s="265">
        <f>'10-Crew'!G15</f>
        <v>4000</v>
      </c>
    </row>
    <row r="383" spans="5:10" ht="16">
      <c r="E383" s="73">
        <f t="shared" si="24"/>
        <v>67</v>
      </c>
      <c r="F383" s="73">
        <f t="shared" si="25"/>
        <v>67</v>
      </c>
      <c r="G383" s="397" t="str">
        <f>IF(H383="","",IF(AND(G377="",G379="",G380="",G378="",G381="",G382=""),"Crew",""))</f>
        <v/>
      </c>
      <c r="H383" s="12" t="str">
        <f>IF('10-Crew'!F16=0,"",'10-Crew'!F16&amp;"x "&amp;'10-Crew'!A16)</f>
        <v>1x GUNNER</v>
      </c>
      <c r="I383" s="4" t="str">
        <f>""</f>
        <v/>
      </c>
      <c r="J383" s="265">
        <f>'10-Crew'!G16</f>
        <v>2000</v>
      </c>
    </row>
    <row r="384" spans="5:10" ht="16">
      <c r="E384" s="73">
        <f t="shared" si="24"/>
        <v>68</v>
      </c>
      <c r="F384" s="73">
        <f t="shared" si="25"/>
        <v>68</v>
      </c>
      <c r="G384" s="397" t="str">
        <f>IF(H384="","",IF(AND(G377="",G378="",G380="",G381="",G379="",G382="",G383=""),"Crew",""))</f>
        <v/>
      </c>
      <c r="H384" s="12" t="str">
        <f>IF('10-Crew'!F17=0,"",'10-Crew'!F17&amp;"x "&amp;'10-Crew'!A17&amp;", "&amp;'7-Sensors'!C13&amp;" Sensor Actions per Round")</f>
        <v>2x SENSOP, 2 Sensor Actions per Round</v>
      </c>
      <c r="I384" s="4" t="str">
        <f>""</f>
        <v/>
      </c>
      <c r="J384" s="265">
        <f>'10-Crew'!G17</f>
        <v>8000</v>
      </c>
    </row>
    <row r="385" spans="5:10" ht="16">
      <c r="E385" s="73">
        <f t="shared" si="24"/>
        <v>68</v>
      </c>
      <c r="F385" s="73" t="str">
        <f t="shared" si="25"/>
        <v/>
      </c>
      <c r="G385" s="397" t="str">
        <f>IF(H385="","",IF(AND(G377="",G378="",G379="",G381="",G382="",G380="",G383="",G384=""),"Crew",""))</f>
        <v/>
      </c>
      <c r="H385" s="12" t="str">
        <f>IF('10-Crew'!F18=0,"",'10-Crew'!F18&amp;"x "&amp;'10-Crew'!A18)</f>
        <v/>
      </c>
      <c r="I385" s="4" t="str">
        <f>""</f>
        <v/>
      </c>
      <c r="J385" s="265">
        <f>'10-Crew'!G18</f>
        <v>0</v>
      </c>
    </row>
    <row r="386" spans="5:10" ht="16">
      <c r="E386" s="73">
        <f t="shared" si="24"/>
        <v>68</v>
      </c>
      <c r="F386" s="73" t="str">
        <f t="shared" si="25"/>
        <v/>
      </c>
      <c r="G386" s="397" t="str">
        <f>IF(H386="","",IF(AND(G377="",G378="",G379="",G380="",G382="",G383="",G381="",G384="",G385=""),"Crew",""))</f>
        <v/>
      </c>
      <c r="H386" s="12" t="str">
        <f>IF('10-Crew'!F19=0,"",'10-Crew'!F19&amp;"x "&amp;'10-Crew'!A19)</f>
        <v/>
      </c>
      <c r="I386" s="4" t="str">
        <f>""</f>
        <v/>
      </c>
      <c r="J386" s="265">
        <f>'10-Crew'!G19</f>
        <v>0</v>
      </c>
    </row>
    <row r="387" spans="5:10" ht="15" customHeight="1">
      <c r="E387" s="73">
        <f t="shared" si="24"/>
        <v>68</v>
      </c>
      <c r="F387" s="73" t="str">
        <f t="shared" si="25"/>
        <v/>
      </c>
      <c r="G387" s="397" t="str">
        <f>IF(H387="","",IF(AND(G377="",G378="",G379="",G380="",G381="",G383="",G384="",G382="",G385="",G386=""),"Crew",""))</f>
        <v/>
      </c>
      <c r="H387" s="12" t="str">
        <f>IF('10-Crew'!F20=0,"",'10-Crew'!F20&amp;"x "&amp;'10-Crew'!A20)</f>
        <v/>
      </c>
      <c r="I387" s="4" t="str">
        <f>""</f>
        <v/>
      </c>
      <c r="J387" s="265">
        <f>'10-Crew'!G20</f>
        <v>0</v>
      </c>
    </row>
    <row r="388" spans="5:10" ht="16">
      <c r="E388" s="73">
        <f t="shared" si="24"/>
        <v>68</v>
      </c>
      <c r="F388" s="73" t="str">
        <f t="shared" si="25"/>
        <v/>
      </c>
      <c r="G388" s="397" t="str">
        <f>IF(H388="","",IF(AND(G377="",G378="",G379="",G380="",G381="",G382="",G384="",G385="",G383="",G386="",G387=""),"Crew",""))</f>
        <v/>
      </c>
      <c r="H388" s="12" t="str">
        <f>IF('10-Crew'!F21=0,"",'10-Crew'!F21&amp;"x "&amp;IF('10-Crew'!B21="",'10-Crew'!A21,'10-Crew'!B21))</f>
        <v/>
      </c>
      <c r="I388" s="4" t="str">
        <f>""</f>
        <v/>
      </c>
      <c r="J388" s="265">
        <f>'10-Crew'!G21</f>
        <v>0</v>
      </c>
    </row>
    <row r="389" spans="5:10" ht="16">
      <c r="E389" s="73">
        <f t="shared" si="24"/>
        <v>68</v>
      </c>
      <c r="F389" s="73" t="str">
        <f t="shared" si="25"/>
        <v/>
      </c>
      <c r="G389" s="397" t="str">
        <f>IF(H389="","",IF(AND(G377="",G378="",G379="",G380="",G381="",G382="",G383="",G385="",G386="",G384="",G387="",G388=""),"Crew",""))</f>
        <v/>
      </c>
      <c r="H389" s="12" t="str">
        <f>IF('10-Crew'!F22=0,"",'10-Crew'!F22&amp;"x "&amp;IF('10-Crew'!B22="",'10-Crew'!A22,'10-Crew'!B22))</f>
        <v/>
      </c>
      <c r="I389" s="4" t="str">
        <f>""</f>
        <v/>
      </c>
      <c r="J389" s="265">
        <f>'10-Crew'!G22</f>
        <v>0</v>
      </c>
    </row>
    <row r="390" spans="5:10" ht="16">
      <c r="E390" s="73">
        <f t="shared" si="24"/>
        <v>68</v>
      </c>
      <c r="F390" s="73" t="str">
        <f t="shared" si="25"/>
        <v/>
      </c>
      <c r="G390" s="397" t="str">
        <f>IF(H390="","",IF(AND(G377="",G378="",G379="",G380="",G381="",G382="",G383="",G384="",G386="",G387="",G385="",G388="",G389=""),"Crew",""))</f>
        <v/>
      </c>
      <c r="H390" s="12" t="str">
        <f>IF('10-Crew'!F23=0,"",'10-Crew'!F23&amp;"x "&amp;IF('10-Crew'!B23="",'10-Crew'!A23,'10-Crew'!B23))</f>
        <v/>
      </c>
      <c r="I390" s="4" t="str">
        <f>""</f>
        <v/>
      </c>
      <c r="J390" s="265">
        <f>'10-Crew'!G23</f>
        <v>0</v>
      </c>
    </row>
    <row r="391" spans="5:10" ht="16">
      <c r="E391" s="73">
        <f t="shared" si="24"/>
        <v>68</v>
      </c>
      <c r="F391" s="73" t="str">
        <f t="shared" si="25"/>
        <v/>
      </c>
      <c r="G391" s="397" t="str">
        <f>IF(H391="","",IF(AND(G377="",G378="",G379="",G380="",G381="",G382="",G383="",G384="",G385="",G387="",G388="",G386="",G389="",G390=""),"Crew",""))</f>
        <v/>
      </c>
      <c r="H391" s="12" t="str">
        <f>IF('10-Crew'!F24=0,"",'10-Crew'!F24&amp;"x "&amp;IF('10-Crew'!B24="",'10-Crew'!A24,'10-Crew'!B24))</f>
        <v/>
      </c>
      <c r="I391" s="4" t="str">
        <f>""</f>
        <v/>
      </c>
      <c r="J391" s="265">
        <f>'10-Crew'!G24</f>
        <v>0</v>
      </c>
    </row>
    <row r="392" spans="5:10" ht="16">
      <c r="E392" s="73">
        <f t="shared" si="24"/>
        <v>68</v>
      </c>
      <c r="F392" s="73" t="str">
        <f t="shared" si="25"/>
        <v/>
      </c>
      <c r="G392" s="397" t="str">
        <f>IF(H392="","",IF(AND(G377="",G378="",G379="",G380="",G381="",G382="",G383="",G384="",G385="",G386="",G388="",G389="",G387="",G390="",G391=""),"Crew",""))</f>
        <v/>
      </c>
      <c r="H392" s="12" t="str">
        <f>IF('10-Crew'!F25=0,"",'10-Crew'!F25&amp;"x "&amp;IF('10-Crew'!B25="",'10-Crew'!A25,'10-Crew'!B25))</f>
        <v/>
      </c>
      <c r="I392" s="4" t="str">
        <f>""</f>
        <v/>
      </c>
      <c r="J392" s="265">
        <f>'10-Crew'!G25</f>
        <v>0</v>
      </c>
    </row>
    <row r="393" spans="5:10" ht="16">
      <c r="E393" s="73">
        <f t="shared" si="24"/>
        <v>68</v>
      </c>
      <c r="F393" s="73" t="str">
        <f t="shared" si="25"/>
        <v/>
      </c>
      <c r="G393" s="397" t="str">
        <f>IF(H393="","",IF(AND(G377="",G378="",G379="",G380="",G381="",G382="",G383="",G384="",G385="",G386="",G387="",G389="",G390="",G388="",G391="",G392=""),"Crew",""))</f>
        <v/>
      </c>
      <c r="H393" s="12" t="str">
        <f>IF('10-Crew'!F26=0,"",'10-Crew'!F26&amp;"x "&amp;'10-Crew'!A26)</f>
        <v/>
      </c>
      <c r="I393" s="4" t="str">
        <f>""</f>
        <v/>
      </c>
      <c r="J393" s="265">
        <f>'10-Crew'!G26</f>
        <v>0</v>
      </c>
    </row>
    <row r="394" spans="5:10" ht="16">
      <c r="E394" s="73">
        <f t="shared" si="24"/>
        <v>68</v>
      </c>
      <c r="F394" s="73" t="str">
        <f t="shared" si="25"/>
        <v/>
      </c>
      <c r="G394" s="397" t="str">
        <f>IF(H394="","",IF(AND(G377="",G378="",G379="",G380="",G381="",G382="",G383="",G384="",G385="",G386="",G387="",G388="",G390="",G391="",G389="",G392="",G393=""),"Crew",""))</f>
        <v/>
      </c>
      <c r="H394" s="12" t="str">
        <f>IF('10-Crew'!F27=0,"",'10-Crew'!F27&amp;"x "&amp;'10-Crew'!A27)</f>
        <v/>
      </c>
      <c r="I394" s="4" t="str">
        <f>""</f>
        <v/>
      </c>
      <c r="J394" s="265">
        <f>'10-Crew'!G27</f>
        <v>0</v>
      </c>
    </row>
    <row r="395" spans="5:10" ht="16">
      <c r="E395" s="73">
        <f t="shared" si="24"/>
        <v>69</v>
      </c>
      <c r="F395" s="73">
        <f t="shared" si="25"/>
        <v>69</v>
      </c>
      <c r="G395" s="397" t="str">
        <f>IF(H395="","",IF(AND(G377="",G378="",G379="",G380="",G381="",G382="",G383="",G384="",G385="",G386="",G387="",G388="",G389="",G391="",G392="",G390="",G393="",G394=""),"Crew",""))</f>
        <v/>
      </c>
      <c r="H395" s="12" t="str">
        <f>IF('10-Crew'!F28=0,"",'10-Crew'!F28&amp;"x "&amp;'10-Crew'!A28)</f>
        <v>2x SCIENTISTS</v>
      </c>
      <c r="I395" s="4" t="str">
        <f>""</f>
        <v/>
      </c>
      <c r="J395" s="265">
        <f>'10-Crew'!G28</f>
        <v>8000</v>
      </c>
    </row>
    <row r="396" spans="5:10" ht="16">
      <c r="E396" s="73">
        <f t="shared" si="24"/>
        <v>70</v>
      </c>
      <c r="F396" s="73">
        <f t="shared" si="25"/>
        <v>70</v>
      </c>
      <c r="G396" s="401" t="s">
        <v>55</v>
      </c>
      <c r="H396" s="391" t="s">
        <v>2164</v>
      </c>
      <c r="I396" s="237" t="str">
        <f>"Available:"</f>
        <v>Available:</v>
      </c>
      <c r="J396" s="387" t="str">
        <f>'3-Pwr Plant'!L6&amp;" PP"</f>
        <v>250 PP</v>
      </c>
    </row>
    <row r="397" spans="5:10" ht="16">
      <c r="E397" s="73">
        <f t="shared" si="24"/>
        <v>71</v>
      </c>
      <c r="F397" s="73">
        <f t="shared" si="25"/>
        <v>71</v>
      </c>
      <c r="G397" s="397"/>
      <c r="H397" s="12" t="s">
        <v>744</v>
      </c>
      <c r="I397" s="4" t="str">
        <f>""</f>
        <v/>
      </c>
      <c r="J397" s="265" t="str">
        <f>'3-Pwr Plant'!O9&amp;"/"&amp;'3-Pwr Plant'!O10&amp;" ("&amp;'3-Pwr Plant'!O9/2&amp;") PP"</f>
        <v>60/0 (30) PP</v>
      </c>
    </row>
    <row r="398" spans="5:10" ht="16">
      <c r="E398" s="73">
        <f t="shared" si="24"/>
        <v>72</v>
      </c>
      <c r="F398" s="73">
        <f t="shared" si="25"/>
        <v>72</v>
      </c>
      <c r="G398" s="397"/>
      <c r="H398" s="12" t="str">
        <f>IF(SUM('3-Pwr Plant'!O12,'3-Pwr Plant'!O14)=0,"","Jump")</f>
        <v>Jump</v>
      </c>
      <c r="I398" s="4" t="str">
        <f>""</f>
        <v/>
      </c>
      <c r="J398" s="265" t="str">
        <f>'3-Pwr Plant'!O12&amp;"/"&amp;'3-Pwr Plant'!O14&amp;" PP"</f>
        <v>90/0 PP</v>
      </c>
    </row>
    <row r="399" spans="5:10" ht="16">
      <c r="E399" s="73">
        <f t="shared" si="24"/>
        <v>73</v>
      </c>
      <c r="F399" s="73">
        <f t="shared" si="25"/>
        <v>73</v>
      </c>
      <c r="G399" s="397"/>
      <c r="H399" s="12" t="str">
        <f>IF(SUM('3-Pwr Plant'!O11,'3-Pwr Plant'!O13)=0,"","Maneuver")</f>
        <v>Maneuver</v>
      </c>
      <c r="I399" s="4" t="str">
        <f>""</f>
        <v/>
      </c>
      <c r="J399" s="265" t="str">
        <f>'3-Pwr Plant'!O11&amp;" ("&amp;'3-Pwr Plant'!O11&amp;"/"&amp;'3-Pwr Plant'!O13&amp;") PP"</f>
        <v>45 (45/0) PP</v>
      </c>
    </row>
    <row r="400" spans="5:10" ht="16">
      <c r="E400" s="73">
        <f t="shared" si="24"/>
        <v>74</v>
      </c>
      <c r="F400" s="73">
        <f t="shared" si="25"/>
        <v>74</v>
      </c>
      <c r="G400" s="397"/>
      <c r="H400" s="12" t="str">
        <f>IF('3-Pwr Plant'!O15=0,"",'3-Pwr Plant'!N15)</f>
        <v>Fuel</v>
      </c>
      <c r="I400" s="4" t="str">
        <f>""</f>
        <v/>
      </c>
      <c r="J400" s="265" t="str">
        <f>'3-Pwr Plant'!O15&amp;" PP"</f>
        <v>5 PP</v>
      </c>
    </row>
    <row r="401" spans="5:10" ht="16">
      <c r="E401" s="73">
        <f t="shared" si="24"/>
        <v>75</v>
      </c>
      <c r="F401" s="73">
        <f t="shared" si="25"/>
        <v>75</v>
      </c>
      <c r="G401" s="397"/>
      <c r="H401" s="12" t="str">
        <f>IF('3-Pwr Plant'!O16=0,"",'3-Pwr Plant'!N16)</f>
        <v>Sensors</v>
      </c>
      <c r="I401" s="4" t="str">
        <f>""</f>
        <v/>
      </c>
      <c r="J401" s="265" t="str">
        <f>'3-Pwr Plant'!O16&amp;" PP"</f>
        <v>21 PP</v>
      </c>
    </row>
    <row r="402" spans="5:10" ht="16">
      <c r="E402" s="73">
        <f t="shared" si="24"/>
        <v>76</v>
      </c>
      <c r="F402" s="73">
        <f t="shared" si="25"/>
        <v>76</v>
      </c>
      <c r="G402" s="397"/>
      <c r="H402" s="12" t="str">
        <f>IF('3-Pwr Plant'!O17=0,"","Weapons")</f>
        <v>Weapons</v>
      </c>
      <c r="I402" s="4" t="str">
        <f>""</f>
        <v/>
      </c>
      <c r="J402" s="265" t="str">
        <f>'3-Pwr Plant'!O17&amp;" ("&amp;'3-Pwr Plant'!O17&amp;") PP"</f>
        <v>21 (21) PP</v>
      </c>
    </row>
    <row r="403" spans="5:10" ht="16">
      <c r="E403" s="73">
        <f t="shared" si="24"/>
        <v>76</v>
      </c>
      <c r="F403" s="73" t="str">
        <f t="shared" si="25"/>
        <v/>
      </c>
      <c r="G403" s="397"/>
      <c r="H403" s="12" t="str">
        <f>IF('3-Pwr Plant'!O18=0,"","Screens")</f>
        <v/>
      </c>
      <c r="I403" s="4" t="str">
        <f>""</f>
        <v/>
      </c>
      <c r="J403" s="265" t="str">
        <f>'3-Pwr Plant'!O18&amp;" ("&amp;'3-Pwr Plant'!O18&amp;") PP"</f>
        <v>0 (0) PP</v>
      </c>
    </row>
    <row r="404" spans="5:10" ht="16">
      <c r="E404" s="73">
        <f t="shared" si="24"/>
        <v>76</v>
      </c>
      <c r="F404" s="73" t="str">
        <f t="shared" si="25"/>
        <v/>
      </c>
      <c r="G404" s="397"/>
      <c r="H404" s="12" t="str">
        <f>IF('9a-Optional'!S32=0,"","Extra-Vehicular Operations")</f>
        <v/>
      </c>
      <c r="I404" s="4" t="str">
        <f>""</f>
        <v/>
      </c>
      <c r="J404" s="265" t="str">
        <f>'9a-Optional'!S32&amp;" PP"</f>
        <v>0 PP</v>
      </c>
    </row>
    <row r="405" spans="5:10" ht="16">
      <c r="E405" s="73">
        <f t="shared" si="24"/>
        <v>77</v>
      </c>
      <c r="F405" s="73">
        <f t="shared" si="25"/>
        <v>77</v>
      </c>
      <c r="G405" s="397"/>
      <c r="H405" s="12" t="str">
        <f>IF('9b-Optional'!S13=0,"","Optional Components")</f>
        <v>Optional Components</v>
      </c>
      <c r="I405" s="4" t="str">
        <f>""</f>
        <v/>
      </c>
      <c r="J405" s="265" t="str">
        <f>'9b-Optional'!S13&amp;" PP"</f>
        <v>1 PP</v>
      </c>
    </row>
    <row r="406" spans="5:10" ht="16">
      <c r="E406" s="73">
        <f t="shared" si="24"/>
        <v>77</v>
      </c>
      <c r="F406" s="73" t="str">
        <f t="shared" si="25"/>
        <v/>
      </c>
      <c r="G406" s="397"/>
      <c r="H406" s="12" t="str">
        <f>IF(SUM('3-Pwr Plant'!O20:O22)=0,"","Miscellaneous")</f>
        <v/>
      </c>
      <c r="I406" s="4" t="str">
        <f>""</f>
        <v/>
      </c>
      <c r="J406" s="265" t="str">
        <f>SUM('3-Pwr Plant'!O20:O22)&amp;" PP"</f>
        <v>0 PP</v>
      </c>
    </row>
    <row r="407" spans="5:10" ht="16">
      <c r="E407" s="73">
        <f t="shared" si="24"/>
        <v>78</v>
      </c>
      <c r="F407" s="73">
        <f t="shared" si="25"/>
        <v>78</v>
      </c>
      <c r="G407" s="398"/>
      <c r="H407" s="392" t="s">
        <v>2165</v>
      </c>
      <c r="I407" s="403" t="str">
        <f>""</f>
        <v/>
      </c>
      <c r="J407" s="266" t="str">
        <f>'3-Pwr Plant'!O23&amp;" ("&amp;'3-Pwr Plant'!O26&amp;")"</f>
        <v>243 (117)</v>
      </c>
    </row>
    <row r="408" spans="5:10">
      <c r="E408" s="73">
        <f t="shared" si="24"/>
        <v>78</v>
      </c>
      <c r="F408" s="73" t="str">
        <f t="shared" si="25"/>
        <v/>
      </c>
      <c r="G408" s="397" t="str">
        <f>IF(H408="","","Narrative")</f>
        <v/>
      </c>
      <c r="H408" s="51" t="str">
        <f>'Ship Info'!A38</f>
        <v/>
      </c>
      <c r="I408" s="4" t="str">
        <f>""</f>
        <v/>
      </c>
      <c r="J408" s="265" t="str">
        <f>""</f>
        <v/>
      </c>
    </row>
    <row r="409" spans="5:10">
      <c r="E409" s="73">
        <f t="shared" si="24"/>
        <v>78</v>
      </c>
      <c r="F409" s="73" t="str">
        <f t="shared" si="25"/>
        <v/>
      </c>
      <c r="G409" s="397"/>
      <c r="H409" s="51" t="str">
        <f>'Ship Info'!A39</f>
        <v/>
      </c>
      <c r="I409" s="4" t="str">
        <f>""</f>
        <v/>
      </c>
      <c r="J409" s="265" t="str">
        <f>""</f>
        <v/>
      </c>
    </row>
    <row r="410" spans="5:10">
      <c r="E410" s="73">
        <f t="shared" si="24"/>
        <v>78</v>
      </c>
      <c r="F410" s="73" t="str">
        <f t="shared" si="25"/>
        <v/>
      </c>
      <c r="G410" s="397"/>
      <c r="H410" s="51" t="str">
        <f>'Ship Info'!A40</f>
        <v/>
      </c>
      <c r="I410" s="4" t="str">
        <f>""</f>
        <v/>
      </c>
      <c r="J410" s="265" t="str">
        <f>""</f>
        <v/>
      </c>
    </row>
    <row r="411" spans="5:10">
      <c r="E411" s="73">
        <f t="shared" si="24"/>
        <v>78</v>
      </c>
      <c r="F411" s="73" t="str">
        <f t="shared" si="25"/>
        <v/>
      </c>
      <c r="G411" s="397"/>
      <c r="H411" s="51" t="str">
        <f>'Ship Info'!A41</f>
        <v/>
      </c>
      <c r="I411" s="4" t="str">
        <f>""</f>
        <v/>
      </c>
      <c r="J411" s="265" t="str">
        <f>""</f>
        <v/>
      </c>
    </row>
    <row r="412" spans="5:10">
      <c r="E412" s="73">
        <f t="shared" si="24"/>
        <v>78</v>
      </c>
      <c r="F412" s="73" t="str">
        <f t="shared" si="25"/>
        <v/>
      </c>
      <c r="G412" s="397"/>
      <c r="H412" s="51" t="str">
        <f>'Ship Info'!A42</f>
        <v/>
      </c>
      <c r="I412" s="4" t="str">
        <f>""</f>
        <v/>
      </c>
      <c r="J412" s="265" t="str">
        <f>""</f>
        <v/>
      </c>
    </row>
    <row r="413" spans="5:10">
      <c r="E413" s="73">
        <f t="shared" si="24"/>
        <v>78</v>
      </c>
      <c r="F413" s="73" t="str">
        <f t="shared" si="25"/>
        <v/>
      </c>
      <c r="G413" s="397"/>
      <c r="H413" s="51" t="str">
        <f>'Ship Info'!A43</f>
        <v/>
      </c>
      <c r="I413" s="4" t="str">
        <f>""</f>
        <v/>
      </c>
      <c r="J413" s="265" t="str">
        <f>""</f>
        <v/>
      </c>
    </row>
    <row r="414" spans="5:10">
      <c r="E414" s="73">
        <f t="shared" si="24"/>
        <v>78</v>
      </c>
      <c r="F414" s="73" t="str">
        <f t="shared" si="25"/>
        <v/>
      </c>
      <c r="G414" s="397"/>
      <c r="H414" s="51" t="str">
        <f>'Ship Info'!A44</f>
        <v/>
      </c>
      <c r="I414" s="4" t="str">
        <f>""</f>
        <v/>
      </c>
      <c r="J414" s="265" t="str">
        <f>""</f>
        <v/>
      </c>
    </row>
    <row r="415" spans="5:10">
      <c r="E415" s="73">
        <f t="shared" si="24"/>
        <v>78</v>
      </c>
      <c r="F415" s="73" t="str">
        <f t="shared" si="25"/>
        <v/>
      </c>
      <c r="G415" s="397"/>
      <c r="H415" s="51" t="str">
        <f>'Ship Info'!A45</f>
        <v/>
      </c>
      <c r="I415" s="4" t="str">
        <f>""</f>
        <v/>
      </c>
      <c r="J415" s="265" t="str">
        <f>""</f>
        <v/>
      </c>
    </row>
    <row r="416" spans="5:10">
      <c r="E416" s="73">
        <f t="shared" si="24"/>
        <v>78</v>
      </c>
      <c r="F416" s="73" t="str">
        <f t="shared" si="25"/>
        <v/>
      </c>
      <c r="G416" s="397"/>
      <c r="H416" s="51" t="str">
        <f>'Ship Info'!A46</f>
        <v/>
      </c>
      <c r="I416" s="4" t="str">
        <f>""</f>
        <v/>
      </c>
      <c r="J416" s="265" t="str">
        <f>""</f>
        <v/>
      </c>
    </row>
    <row r="417" spans="5:10">
      <c r="E417" s="73">
        <f t="shared" si="24"/>
        <v>78</v>
      </c>
      <c r="F417" s="73" t="str">
        <f t="shared" si="25"/>
        <v/>
      </c>
      <c r="G417" s="397"/>
      <c r="H417" s="51" t="str">
        <f>'Ship Info'!A47</f>
        <v/>
      </c>
      <c r="I417" s="4" t="str">
        <f>""</f>
        <v/>
      </c>
      <c r="J417" s="265" t="str">
        <f>""</f>
        <v/>
      </c>
    </row>
    <row r="418" spans="5:10">
      <c r="E418" s="73">
        <f t="shared" si="24"/>
        <v>78</v>
      </c>
      <c r="F418" s="73" t="str">
        <f t="shared" si="25"/>
        <v/>
      </c>
      <c r="G418" s="397"/>
      <c r="H418" s="51" t="str">
        <f>'Ship Info'!A48</f>
        <v/>
      </c>
      <c r="I418" s="4" t="str">
        <f>""</f>
        <v/>
      </c>
      <c r="J418" s="265" t="str">
        <f>""</f>
        <v/>
      </c>
    </row>
    <row r="419" spans="5:10">
      <c r="E419" s="73">
        <f t="shared" si="24"/>
        <v>78</v>
      </c>
      <c r="F419" s="73" t="str">
        <f t="shared" si="25"/>
        <v/>
      </c>
      <c r="G419" s="397"/>
      <c r="H419" s="51" t="str">
        <f>'Ship Info'!A49</f>
        <v/>
      </c>
      <c r="I419" s="4" t="str">
        <f>""</f>
        <v/>
      </c>
      <c r="J419" s="265" t="str">
        <f>""</f>
        <v/>
      </c>
    </row>
    <row r="420" spans="5:10">
      <c r="E420" s="73">
        <f t="shared" si="24"/>
        <v>78</v>
      </c>
      <c r="F420" s="73" t="str">
        <f t="shared" si="25"/>
        <v/>
      </c>
      <c r="G420" s="397"/>
      <c r="H420" s="51" t="str">
        <f>'Ship Info'!A50</f>
        <v/>
      </c>
      <c r="I420" s="4" t="str">
        <f>""</f>
        <v/>
      </c>
      <c r="J420" s="265" t="str">
        <f>""</f>
        <v/>
      </c>
    </row>
    <row r="421" spans="5:10">
      <c r="E421" s="73">
        <f t="shared" si="24"/>
        <v>78</v>
      </c>
      <c r="F421" s="73" t="str">
        <f t="shared" si="25"/>
        <v/>
      </c>
      <c r="G421" s="397"/>
      <c r="H421" s="51" t="str">
        <f>'Ship Info'!A51</f>
        <v/>
      </c>
      <c r="I421" s="4" t="str">
        <f>""</f>
        <v/>
      </c>
      <c r="J421" s="265" t="str">
        <f>""</f>
        <v/>
      </c>
    </row>
    <row r="422" spans="5:10">
      <c r="E422" s="73">
        <f t="shared" si="24"/>
        <v>78</v>
      </c>
      <c r="F422" s="73" t="str">
        <f t="shared" si="25"/>
        <v/>
      </c>
      <c r="G422" s="397"/>
      <c r="H422" s="51" t="str">
        <f>'Ship Info'!A52</f>
        <v/>
      </c>
      <c r="I422" s="4" t="str">
        <f>""</f>
        <v/>
      </c>
      <c r="J422" s="265" t="str">
        <f>""</f>
        <v/>
      </c>
    </row>
    <row r="423" spans="5:10">
      <c r="E423" s="73">
        <f t="shared" si="24"/>
        <v>78</v>
      </c>
      <c r="F423" s="73" t="str">
        <f t="shared" si="25"/>
        <v/>
      </c>
      <c r="G423" s="397"/>
      <c r="H423" s="51" t="str">
        <f>'Ship Info'!A53</f>
        <v/>
      </c>
      <c r="I423" s="4" t="str">
        <f>""</f>
        <v/>
      </c>
      <c r="J423" s="265" t="str">
        <f>""</f>
        <v/>
      </c>
    </row>
    <row r="424" spans="5:10">
      <c r="E424" s="73">
        <f t="shared" si="24"/>
        <v>78</v>
      </c>
      <c r="F424" s="73" t="str">
        <f t="shared" si="25"/>
        <v/>
      </c>
      <c r="G424" s="397"/>
      <c r="H424" s="51" t="str">
        <f>'Ship Info'!A54</f>
        <v/>
      </c>
      <c r="I424" s="4" t="str">
        <f>""</f>
        <v/>
      </c>
      <c r="J424" s="265" t="str">
        <f>""</f>
        <v/>
      </c>
    </row>
    <row r="425" spans="5:10">
      <c r="E425" s="73">
        <f t="shared" si="24"/>
        <v>78</v>
      </c>
      <c r="F425" s="73" t="str">
        <f t="shared" si="25"/>
        <v/>
      </c>
      <c r="G425" s="397"/>
      <c r="H425" s="51" t="str">
        <f>'Ship Info'!A55</f>
        <v/>
      </c>
      <c r="I425" s="4" t="str">
        <f>""</f>
        <v/>
      </c>
      <c r="J425" s="265" t="str">
        <f>""</f>
        <v/>
      </c>
    </row>
    <row r="426" spans="5:10">
      <c r="E426" s="73">
        <f t="shared" si="24"/>
        <v>78</v>
      </c>
      <c r="F426" s="73" t="str">
        <f t="shared" si="25"/>
        <v/>
      </c>
      <c r="G426" s="397"/>
      <c r="H426" s="51" t="str">
        <f>'Ship Info'!A56</f>
        <v/>
      </c>
      <c r="I426" s="4" t="str">
        <f>""</f>
        <v/>
      </c>
      <c r="J426" s="265" t="str">
        <f>""</f>
        <v/>
      </c>
    </row>
    <row r="427" spans="5:10" ht="16">
      <c r="E427" s="73">
        <f t="shared" si="24"/>
        <v>78</v>
      </c>
      <c r="F427" s="73" t="str">
        <f t="shared" si="25"/>
        <v/>
      </c>
      <c r="G427" s="398"/>
      <c r="H427" s="392" t="str">
        <f>'Ship Info'!A57</f>
        <v/>
      </c>
      <c r="I427" s="403"/>
      <c r="J427" s="266"/>
    </row>
    <row r="428" spans="5:10">
      <c r="E428" s="73">
        <f t="shared" si="24"/>
        <v>78</v>
      </c>
      <c r="F428" s="73" t="str">
        <f t="shared" si="25"/>
        <v/>
      </c>
    </row>
    <row r="429" spans="5:10">
      <c r="E429" s="73">
        <f t="shared" si="24"/>
        <v>78</v>
      </c>
      <c r="F429" s="73" t="str">
        <f t="shared" si="25"/>
        <v/>
      </c>
    </row>
    <row r="430" spans="5:10">
      <c r="E430" s="73">
        <f t="shared" si="24"/>
        <v>78</v>
      </c>
      <c r="F430" s="73" t="str">
        <f t="shared" si="25"/>
        <v/>
      </c>
    </row>
    <row r="431" spans="5:10">
      <c r="E431" s="73">
        <f t="shared" si="24"/>
        <v>78</v>
      </c>
      <c r="F431" s="73" t="str">
        <f t="shared" si="25"/>
        <v/>
      </c>
    </row>
    <row r="432" spans="5:10">
      <c r="E432" s="73">
        <f t="shared" si="24"/>
        <v>78</v>
      </c>
      <c r="F432" s="73" t="str">
        <f t="shared" si="25"/>
        <v/>
      </c>
    </row>
    <row r="433" spans="5:6">
      <c r="E433" s="73">
        <f t="shared" si="24"/>
        <v>78</v>
      </c>
      <c r="F433" s="73" t="str">
        <f t="shared" si="25"/>
        <v/>
      </c>
    </row>
    <row r="434" spans="5:6">
      <c r="E434" s="73">
        <f t="shared" si="24"/>
        <v>78</v>
      </c>
      <c r="F434" s="73" t="str">
        <f t="shared" si="25"/>
        <v/>
      </c>
    </row>
    <row r="435" spans="5:6">
      <c r="E435" s="73">
        <f t="shared" si="24"/>
        <v>78</v>
      </c>
      <c r="F435" s="73" t="str">
        <f t="shared" si="25"/>
        <v/>
      </c>
    </row>
    <row r="436" spans="5:6">
      <c r="E436" s="73">
        <f t="shared" si="24"/>
        <v>78</v>
      </c>
      <c r="F436" s="73" t="str">
        <f t="shared" si="25"/>
        <v/>
      </c>
    </row>
    <row r="437" spans="5:6">
      <c r="E437" s="73">
        <f t="shared" si="24"/>
        <v>78</v>
      </c>
      <c r="F437" s="73" t="str">
        <f t="shared" si="25"/>
        <v/>
      </c>
    </row>
    <row r="438" spans="5:6">
      <c r="E438" s="73">
        <f t="shared" si="24"/>
        <v>78</v>
      </c>
      <c r="F438" s="73" t="str">
        <f t="shared" si="25"/>
        <v/>
      </c>
    </row>
    <row r="439" spans="5:6">
      <c r="E439" s="73">
        <f t="shared" si="24"/>
        <v>78</v>
      </c>
      <c r="F439" s="73" t="str">
        <f t="shared" si="25"/>
        <v/>
      </c>
    </row>
    <row r="440" spans="5:6">
      <c r="E440" s="73">
        <f t="shared" si="24"/>
        <v>78</v>
      </c>
      <c r="F440" s="73" t="str">
        <f t="shared" si="25"/>
        <v/>
      </c>
    </row>
    <row r="441" spans="5:6">
      <c r="E441" s="73">
        <f t="shared" ref="E441:E468" si="26">IF(H441="",E440,E440+1)</f>
        <v>78</v>
      </c>
      <c r="F441" s="73" t="str">
        <f t="shared" ref="F441:F468" si="27">IF(E441=E440,"",E441)</f>
        <v/>
      </c>
    </row>
    <row r="442" spans="5:6">
      <c r="E442" s="73">
        <f t="shared" si="26"/>
        <v>78</v>
      </c>
      <c r="F442" s="73" t="str">
        <f t="shared" si="27"/>
        <v/>
      </c>
    </row>
    <row r="443" spans="5:6">
      <c r="E443" s="73">
        <f t="shared" si="26"/>
        <v>78</v>
      </c>
      <c r="F443" s="73" t="str">
        <f t="shared" si="27"/>
        <v/>
      </c>
    </row>
    <row r="444" spans="5:6">
      <c r="E444" s="73">
        <f t="shared" si="26"/>
        <v>78</v>
      </c>
      <c r="F444" s="73" t="str">
        <f t="shared" si="27"/>
        <v/>
      </c>
    </row>
    <row r="445" spans="5:6">
      <c r="E445" s="73">
        <f t="shared" si="26"/>
        <v>78</v>
      </c>
      <c r="F445" s="73" t="str">
        <f t="shared" si="27"/>
        <v/>
      </c>
    </row>
    <row r="446" spans="5:6">
      <c r="E446" s="73">
        <f t="shared" si="26"/>
        <v>78</v>
      </c>
      <c r="F446" s="73" t="str">
        <f t="shared" si="27"/>
        <v/>
      </c>
    </row>
    <row r="447" spans="5:6">
      <c r="E447" s="73">
        <f t="shared" si="26"/>
        <v>78</v>
      </c>
      <c r="F447" s="73" t="str">
        <f t="shared" si="27"/>
        <v/>
      </c>
    </row>
    <row r="448" spans="5:6">
      <c r="E448" s="73">
        <f t="shared" si="26"/>
        <v>78</v>
      </c>
      <c r="F448" s="73" t="str">
        <f t="shared" si="27"/>
        <v/>
      </c>
    </row>
    <row r="449" spans="5:10">
      <c r="E449" s="73">
        <f t="shared" si="26"/>
        <v>78</v>
      </c>
      <c r="F449" s="73" t="str">
        <f t="shared" si="27"/>
        <v/>
      </c>
    </row>
    <row r="450" spans="5:10">
      <c r="E450" s="73">
        <f t="shared" si="26"/>
        <v>78</v>
      </c>
      <c r="F450" s="73" t="str">
        <f t="shared" si="27"/>
        <v/>
      </c>
    </row>
    <row r="451" spans="5:10">
      <c r="E451" s="73">
        <f t="shared" si="26"/>
        <v>78</v>
      </c>
      <c r="F451" s="73" t="str">
        <f t="shared" si="27"/>
        <v/>
      </c>
    </row>
    <row r="452" spans="5:10">
      <c r="E452" s="73">
        <f t="shared" si="26"/>
        <v>78</v>
      </c>
      <c r="F452" s="73" t="str">
        <f t="shared" si="27"/>
        <v/>
      </c>
    </row>
    <row r="453" spans="5:10">
      <c r="E453" s="73">
        <f t="shared" si="26"/>
        <v>78</v>
      </c>
      <c r="F453" s="73" t="str">
        <f t="shared" si="27"/>
        <v/>
      </c>
    </row>
    <row r="454" spans="5:10">
      <c r="E454" s="73">
        <f t="shared" si="26"/>
        <v>78</v>
      </c>
      <c r="F454" s="73" t="str">
        <f t="shared" si="27"/>
        <v/>
      </c>
    </row>
    <row r="455" spans="5:10">
      <c r="E455" s="73">
        <f t="shared" si="26"/>
        <v>78</v>
      </c>
      <c r="F455" s="73" t="str">
        <f t="shared" si="27"/>
        <v/>
      </c>
    </row>
    <row r="456" spans="5:10">
      <c r="E456" s="73">
        <f t="shared" si="26"/>
        <v>78</v>
      </c>
      <c r="F456" s="73" t="str">
        <f t="shared" si="27"/>
        <v/>
      </c>
    </row>
    <row r="457" spans="5:10">
      <c r="E457" s="73">
        <f t="shared" si="26"/>
        <v>78</v>
      </c>
      <c r="F457" s="73" t="str">
        <f t="shared" si="27"/>
        <v/>
      </c>
    </row>
    <row r="458" spans="5:10" ht="16">
      <c r="E458" s="73">
        <f t="shared" si="26"/>
        <v>78</v>
      </c>
      <c r="F458" s="73" t="str">
        <f t="shared" si="27"/>
        <v/>
      </c>
      <c r="G458" s="526" t="str">
        <f t="shared" ref="G458:G468" si="28">IF(H458="","","ERROR")</f>
        <v/>
      </c>
      <c r="H458" s="527" t="str">
        <f>IF('2-Drives'!T72=0,"","DRIVE ERROR")</f>
        <v/>
      </c>
      <c r="I458" s="528" t="str">
        <f>""</f>
        <v/>
      </c>
      <c r="J458" s="528" t="str">
        <f>""</f>
        <v/>
      </c>
    </row>
    <row r="459" spans="5:10" ht="16">
      <c r="E459" s="73">
        <f t="shared" si="26"/>
        <v>78</v>
      </c>
      <c r="F459" s="73" t="str">
        <f t="shared" si="27"/>
        <v/>
      </c>
      <c r="G459" s="400" t="str">
        <f t="shared" si="28"/>
        <v/>
      </c>
      <c r="H459" s="12" t="str">
        <f>IF('3-Pwr Plant'!T40=0,"","POWER PLANT ERROR")</f>
        <v/>
      </c>
      <c r="I459" s="4" t="str">
        <f>""</f>
        <v/>
      </c>
      <c r="J459" s="4" t="str">
        <f>""</f>
        <v/>
      </c>
    </row>
    <row r="460" spans="5:10" ht="16">
      <c r="E460" s="73">
        <f t="shared" si="26"/>
        <v>78</v>
      </c>
      <c r="F460" s="73" t="str">
        <f t="shared" si="27"/>
        <v/>
      </c>
      <c r="G460" s="400" t="str">
        <f t="shared" si="28"/>
        <v/>
      </c>
      <c r="H460" s="12" t="str">
        <f>IF('4-Fuel'!T25=0,"","FUEL ERROR")</f>
        <v/>
      </c>
      <c r="I460" s="4" t="str">
        <f>""</f>
        <v/>
      </c>
      <c r="J460" s="4" t="str">
        <f>""</f>
        <v/>
      </c>
    </row>
    <row r="461" spans="5:10" ht="16">
      <c r="E461" s="73">
        <f t="shared" si="26"/>
        <v>78</v>
      </c>
      <c r="F461" s="73" t="str">
        <f t="shared" si="27"/>
        <v/>
      </c>
      <c r="G461" s="400" t="str">
        <f t="shared" si="28"/>
        <v/>
      </c>
      <c r="H461" s="12" t="str">
        <f>IF('5-Bridge'!T37=0,"","BRIDGE ERROR")</f>
        <v/>
      </c>
      <c r="I461" s="4" t="str">
        <f>""</f>
        <v/>
      </c>
      <c r="J461" s="4" t="str">
        <f>""</f>
        <v/>
      </c>
    </row>
    <row r="462" spans="5:10" ht="16">
      <c r="E462" s="73">
        <f t="shared" si="26"/>
        <v>78</v>
      </c>
      <c r="F462" s="73" t="str">
        <f t="shared" si="27"/>
        <v/>
      </c>
      <c r="G462" s="400" t="str">
        <f t="shared" si="28"/>
        <v/>
      </c>
      <c r="H462" s="12" t="str">
        <f>IF('6-Comp'!Y20=0,"","COMPUTER ERROR")</f>
        <v/>
      </c>
      <c r="I462" s="4" t="str">
        <f>""</f>
        <v/>
      </c>
      <c r="J462" s="4" t="str">
        <f>""</f>
        <v/>
      </c>
    </row>
    <row r="463" spans="5:10" ht="16">
      <c r="E463" s="73">
        <f t="shared" si="26"/>
        <v>78</v>
      </c>
      <c r="F463" s="73" t="str">
        <f t="shared" si="27"/>
        <v/>
      </c>
      <c r="G463" s="400" t="str">
        <f t="shared" si="28"/>
        <v/>
      </c>
      <c r="H463" s="12" t="str">
        <f>IF('7-Sensors'!Z15=0,"","SENSORS ERROR")</f>
        <v/>
      </c>
      <c r="I463" s="4" t="str">
        <f>""</f>
        <v/>
      </c>
      <c r="J463" s="4" t="str">
        <f>""</f>
        <v/>
      </c>
    </row>
    <row r="464" spans="5:10" ht="16">
      <c r="E464" s="73">
        <f t="shared" si="26"/>
        <v>78</v>
      </c>
      <c r="F464" s="73" t="str">
        <f t="shared" si="27"/>
        <v/>
      </c>
      <c r="G464" s="400" t="str">
        <f t="shared" si="28"/>
        <v/>
      </c>
      <c r="H464" s="12" t="str">
        <f>IF('8a-Weapons'!W55=0,"","WEAPONS ERROR")</f>
        <v/>
      </c>
      <c r="I464" s="4" t="str">
        <f>""</f>
        <v/>
      </c>
      <c r="J464" s="4" t="str">
        <f>""</f>
        <v/>
      </c>
    </row>
    <row r="465" spans="5:10" ht="16">
      <c r="E465" s="73">
        <f t="shared" si="26"/>
        <v>78</v>
      </c>
      <c r="F465" s="73" t="str">
        <f t="shared" si="27"/>
        <v/>
      </c>
      <c r="G465" s="400" t="str">
        <f t="shared" si="28"/>
        <v/>
      </c>
      <c r="H465" s="12" t="str">
        <f>IF('8b-Screens'!T48=0,"","SCREENS ERROR")</f>
        <v/>
      </c>
      <c r="I465" s="4" t="str">
        <f>""</f>
        <v/>
      </c>
      <c r="J465" s="4" t="str">
        <f>""</f>
        <v/>
      </c>
    </row>
    <row r="466" spans="5:10" ht="16">
      <c r="E466" s="73">
        <f t="shared" si="26"/>
        <v>78</v>
      </c>
      <c r="F466" s="73" t="str">
        <f t="shared" si="27"/>
        <v/>
      </c>
      <c r="G466" s="400" t="str">
        <f t="shared" si="28"/>
        <v/>
      </c>
      <c r="H466" s="12" t="str">
        <f>IF('9a-Optional'!V28=0,"","9a-OPTIONAL ERROR")</f>
        <v/>
      </c>
      <c r="I466" s="4" t="str">
        <f>""</f>
        <v/>
      </c>
      <c r="J466" s="4" t="str">
        <f>""</f>
        <v/>
      </c>
    </row>
    <row r="467" spans="5:10" ht="16">
      <c r="E467" s="73">
        <f t="shared" si="26"/>
        <v>78</v>
      </c>
      <c r="F467" s="73" t="str">
        <f t="shared" si="27"/>
        <v/>
      </c>
      <c r="G467" s="400" t="str">
        <f t="shared" si="28"/>
        <v/>
      </c>
      <c r="H467" s="12" t="str">
        <f>IF('9b-Optional'!T20=0,"","9b-OPTIONAL ERROR")</f>
        <v/>
      </c>
      <c r="I467" s="4" t="str">
        <f>""</f>
        <v/>
      </c>
      <c r="J467" s="4" t="str">
        <f>""</f>
        <v/>
      </c>
    </row>
    <row r="468" spans="5:10" ht="16">
      <c r="E468" s="73">
        <f t="shared" si="26"/>
        <v>78</v>
      </c>
      <c r="F468" s="73" t="str">
        <f t="shared" si="27"/>
        <v/>
      </c>
      <c r="G468" s="400" t="str">
        <f t="shared" si="28"/>
        <v/>
      </c>
      <c r="H468" s="12" t="str">
        <f>IF('11-Staterooms'!T63=0,"","CREW/STATEROOMS ERROR")</f>
        <v/>
      </c>
      <c r="I468" s="4" t="str">
        <f>""</f>
        <v/>
      </c>
      <c r="J468" s="4" t="str">
        <f>""</f>
        <v/>
      </c>
    </row>
  </sheetData>
  <sheetProtection algorithmName="SHA-512" hashValue="P3JK8rfZ7+Y63fJWA0VTjPfPA81KhFup7QEFgQqRwt8SEuG8HkXI2vVT/BSrFmcuPX5u8QZ7k+yVd7CJ6nx2sw==" saltValue="5Qs0z2IUZ3aWhIxnYqhlOA==" spinCount="100000" sheet="1" objects="1" scenarios="1"/>
  <mergeCells count="2">
    <mergeCell ref="A1:B1"/>
    <mergeCell ref="A2:B2"/>
  </mergeCells>
  <conditionalFormatting sqref="A1:A1048576">
    <cfRule type="expression" dxfId="727" priority="1283">
      <formula>AND(A1="Staterooms",$G$468="ERROR")</formula>
    </cfRule>
    <cfRule type="expression" dxfId="726" priority="1284">
      <formula>AND(A1="Systems",$G$467="ERROR")</formula>
    </cfRule>
    <cfRule type="expression" dxfId="725" priority="1285">
      <formula>AND(A1="Systems",$G$466="ERROR")</formula>
    </cfRule>
    <cfRule type="expression" dxfId="724" priority="1286">
      <formula>AND(A1="Screens",$G$465="ERROR")</formula>
    </cfRule>
    <cfRule type="expression" dxfId="723" priority="1287">
      <formula>AND(A1="Weapons",$G$464="ERROR")</formula>
    </cfRule>
    <cfRule type="expression" dxfId="722" priority="1288">
      <formula>AND(A1="Sensors",$G$463="ERROR")</formula>
    </cfRule>
    <cfRule type="expression" dxfId="721" priority="1289">
      <formula>AND(A1="Computer",$G$462="ERROR")</formula>
    </cfRule>
    <cfRule type="expression" dxfId="720" priority="1290">
      <formula>AND(A1="Bridge",$G$461="ERROR")</formula>
    </cfRule>
    <cfRule type="expression" dxfId="719" priority="1291">
      <formula>AND(A1="Power Plant",$G$459="ERROR")</formula>
    </cfRule>
    <cfRule type="expression" dxfId="718" priority="1292">
      <formula>AND(A1="Fuel",$G$460="ERROR")</formula>
    </cfRule>
    <cfRule type="expression" dxfId="717" priority="1293">
      <formula>AND(RIGHT(A1,5)="Drive",$G$458="ERROR")</formula>
    </cfRule>
    <cfRule type="expression" dxfId="716" priority="1294">
      <formula>$A1="ERROR"</formula>
    </cfRule>
    <cfRule type="expression" dxfId="715" priority="1295">
      <formula>AND(A1="Hull",#REF!="ERROR")</formula>
    </cfRule>
  </conditionalFormatting>
  <conditionalFormatting sqref="A1:D1048576">
    <cfRule type="expression" dxfId="714" priority="24">
      <formula>$A1&lt;&gt;""</formula>
    </cfRule>
  </conditionalFormatting>
  <conditionalFormatting sqref="B3:B416">
    <cfRule type="expression" priority="1526">
      <formula>$B1048166=$H$372</formula>
    </cfRule>
  </conditionalFormatting>
  <conditionalFormatting sqref="G1:G36 G39:G80 G82:G304 G326:G370 G378:G425 G428:G1048576">
    <cfRule type="expression" dxfId="713" priority="23">
      <formula>$G1="ERROR"</formula>
    </cfRule>
  </conditionalFormatting>
  <pageMargins left="0.25" right="0.25" top="0.25" bottom="0.2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588D8-D711-4286-AEE4-1BCB80EBC121}">
  <dimension ref="A1:DV56"/>
  <sheetViews>
    <sheetView showWhiteSpace="0" view="pageLayout" topLeftCell="A16" zoomScale="130" zoomScaleNormal="106" zoomScaleSheetLayoutView="153" zoomScalePageLayoutView="130" workbookViewId="0">
      <selection activeCell="BS55" sqref="BS55:CF55"/>
    </sheetView>
  </sheetViews>
  <sheetFormatPr baseColWidth="10" defaultColWidth="9.1640625" defaultRowHeight="15"/>
  <cols>
    <col min="1" max="125" width="1" customWidth="1"/>
  </cols>
  <sheetData>
    <row r="1" spans="1:125" ht="16.5" customHeight="1">
      <c r="A1" s="586" t="str">
        <f>IF('Ship Info'!B4=0,"",'Ship Info'!B4)</f>
        <v/>
      </c>
      <c r="B1" s="586"/>
      <c r="C1" s="586"/>
      <c r="D1" s="586"/>
      <c r="E1" s="586"/>
      <c r="F1" s="586"/>
      <c r="G1" s="586"/>
      <c r="H1" s="586"/>
      <c r="I1" s="586"/>
      <c r="J1" s="586"/>
      <c r="K1" s="586"/>
      <c r="L1" s="586"/>
      <c r="M1" s="586"/>
      <c r="N1" s="586"/>
      <c r="O1" s="586"/>
      <c r="P1" s="586"/>
      <c r="Q1" s="586"/>
      <c r="R1" s="586"/>
      <c r="S1" s="586"/>
      <c r="T1" s="586"/>
      <c r="U1" s="586"/>
      <c r="V1" s="586"/>
      <c r="W1" s="586"/>
      <c r="X1" s="586"/>
      <c r="Y1" s="586"/>
      <c r="Z1" s="586"/>
      <c r="AA1" s="586"/>
      <c r="AB1" s="586"/>
      <c r="AC1" s="586"/>
      <c r="AD1" s="586"/>
      <c r="AE1" s="19"/>
      <c r="AF1" s="19"/>
      <c r="AG1" s="587" t="str">
        <f>IF('Ship Info'!B2=0,"",'Ship Info'!B2)</f>
        <v>Scout</v>
      </c>
      <c r="AH1" s="587"/>
      <c r="AI1" s="587"/>
      <c r="AJ1" s="587"/>
      <c r="AK1" s="587"/>
      <c r="AL1" s="587"/>
      <c r="AM1" s="587"/>
      <c r="AN1" s="587"/>
      <c r="AO1" s="587"/>
      <c r="AP1" s="587"/>
      <c r="AQ1" s="587"/>
      <c r="AR1" s="587"/>
      <c r="AS1" s="587"/>
      <c r="AT1" s="587"/>
      <c r="AU1" s="587"/>
      <c r="AV1" s="587"/>
      <c r="AW1" s="587"/>
      <c r="AX1" s="587"/>
      <c r="AY1" s="587"/>
      <c r="AZ1" s="587"/>
      <c r="BA1" s="587"/>
      <c r="BB1" s="587"/>
      <c r="BC1" s="587"/>
      <c r="BD1" s="587"/>
      <c r="BE1" s="587"/>
      <c r="BF1" s="587"/>
      <c r="BG1" s="587"/>
      <c r="BH1" s="587"/>
      <c r="BI1" s="587"/>
      <c r="BJ1" s="587"/>
      <c r="BK1" s="587"/>
      <c r="BL1" s="587"/>
      <c r="BM1" s="587"/>
      <c r="BN1" s="587"/>
      <c r="BO1" s="587"/>
      <c r="BP1" s="587"/>
      <c r="BQ1" s="587"/>
      <c r="BR1" s="587"/>
      <c r="BS1" s="587"/>
      <c r="BT1" s="587"/>
      <c r="BU1" s="587"/>
      <c r="BV1" s="587"/>
      <c r="BW1" s="587"/>
      <c r="BX1" s="587"/>
      <c r="BY1" s="587"/>
      <c r="BZ1" s="587"/>
      <c r="CA1" s="19"/>
      <c r="CB1" s="19"/>
      <c r="CC1" s="587" t="str">
        <f>IF('Ship Info'!B1=0,"",'Ship Info'!B1)</f>
        <v>Zhodani Long Range Scout</v>
      </c>
      <c r="CD1" s="587"/>
      <c r="CE1" s="587"/>
      <c r="CF1" s="587"/>
      <c r="CG1" s="587"/>
      <c r="CH1" s="587"/>
      <c r="CI1" s="587"/>
      <c r="CJ1" s="587"/>
      <c r="CK1" s="587"/>
      <c r="CL1" s="587"/>
      <c r="CM1" s="587"/>
      <c r="CN1" s="587"/>
      <c r="CO1" s="587"/>
      <c r="CP1" s="587"/>
      <c r="CQ1" s="587"/>
      <c r="CR1" s="587"/>
      <c r="CS1" s="587"/>
      <c r="CT1" s="587"/>
      <c r="CU1" s="587"/>
      <c r="CV1" s="587"/>
      <c r="CW1" s="587"/>
      <c r="CX1" s="587"/>
      <c r="CY1" s="587"/>
      <c r="CZ1" s="587"/>
      <c r="DA1" s="587"/>
      <c r="DB1" s="587"/>
      <c r="DC1" s="587"/>
      <c r="DD1" s="587"/>
      <c r="DE1" s="587"/>
      <c r="DF1" s="587"/>
      <c r="DG1" s="587"/>
      <c r="DH1" s="587"/>
      <c r="DI1" s="587"/>
      <c r="DJ1" s="587"/>
      <c r="DK1" s="587"/>
      <c r="DL1" s="587"/>
      <c r="DM1" s="587"/>
      <c r="DN1" s="587"/>
      <c r="DO1" s="587"/>
      <c r="DP1" s="587"/>
      <c r="DQ1" s="587"/>
      <c r="DR1" s="587"/>
      <c r="DS1" s="587"/>
      <c r="DT1" s="587"/>
      <c r="DU1" s="587"/>
    </row>
    <row r="2" spans="1:125" ht="12.75" customHeight="1">
      <c r="A2" s="590" t="str">
        <f>"Armor: "&amp;'1-Hull'!D9&amp;""&amp;IF('1-Hull'!AB34=TRUE,"/"&amp;'1-Hull'!D9+3&amp;" vs. Lasers","")</f>
        <v>Armor: 0</v>
      </c>
      <c r="B2" s="590"/>
      <c r="C2" s="590"/>
      <c r="D2" s="590"/>
      <c r="E2" s="590"/>
      <c r="F2" s="590"/>
      <c r="G2" s="590"/>
      <c r="H2" s="590"/>
      <c r="I2" s="590"/>
      <c r="J2" s="590"/>
      <c r="K2" s="590"/>
      <c r="L2" s="590"/>
      <c r="M2" s="590"/>
      <c r="N2" s="590"/>
      <c r="O2" s="590"/>
      <c r="P2" s="590"/>
      <c r="Q2" s="590"/>
      <c r="R2" s="590"/>
      <c r="S2" s="590"/>
      <c r="T2" s="590"/>
      <c r="U2" s="19"/>
      <c r="V2" s="591" t="str">
        <f>IF('1-Hull'!AB46=TRUE,"Rad Shields: Rads - 1000","")</f>
        <v>Rad Shields: Rads - 1000</v>
      </c>
      <c r="W2" s="591"/>
      <c r="X2" s="591"/>
      <c r="Y2" s="591"/>
      <c r="Z2" s="591"/>
      <c r="AA2" s="591"/>
      <c r="AB2" s="591"/>
      <c r="AC2" s="591"/>
      <c r="AD2" s="591"/>
      <c r="AE2" s="591"/>
      <c r="AF2" s="591"/>
      <c r="AG2" s="591"/>
      <c r="AH2" s="591"/>
      <c r="AI2" s="591"/>
      <c r="AJ2" s="591"/>
      <c r="AK2" s="591"/>
      <c r="AL2" s="591"/>
      <c r="AM2" s="591"/>
      <c r="AN2" s="591"/>
      <c r="AO2" s="19"/>
      <c r="AP2" s="590" t="str">
        <f>IF('1-Hull'!AB33=TRUE,"Stealth: Sensors-2",IF('1-Hull'!AB34=TRUE,"Stealth: Sensors-2",IF('1-Hull'!AB35=TRUE,"Stealth: Sensors-4",IF('1-Hull'!AB36=TRUE,"Stealth: Sensors-6",""))))</f>
        <v/>
      </c>
      <c r="AQ2" s="590"/>
      <c r="AR2" s="590"/>
      <c r="AS2" s="590"/>
      <c r="AT2" s="590"/>
      <c r="AU2" s="590"/>
      <c r="AV2" s="590"/>
      <c r="AW2" s="590"/>
      <c r="AX2" s="590"/>
      <c r="AY2" s="590"/>
      <c r="AZ2" s="590"/>
      <c r="BA2" s="590"/>
      <c r="BB2" s="590"/>
      <c r="BC2" s="590"/>
      <c r="BD2" s="590"/>
      <c r="BE2" s="590"/>
      <c r="BF2" s="19"/>
      <c r="BG2" s="19" t="str">
        <f>'5-Bridge'!S22</f>
        <v>Bridge: Initiative+2</v>
      </c>
      <c r="BH2" s="19"/>
      <c r="BI2" s="19"/>
      <c r="BJ2" s="19"/>
      <c r="BK2" s="19"/>
      <c r="BL2" s="19"/>
      <c r="BM2" s="19"/>
      <c r="BN2" s="19"/>
      <c r="BO2" s="19"/>
      <c r="BP2" s="19"/>
      <c r="BQ2" s="19"/>
      <c r="BR2" s="19"/>
      <c r="BS2" s="19"/>
      <c r="BT2" s="19"/>
      <c r="BU2" s="19"/>
      <c r="BV2" s="19"/>
      <c r="BW2" s="19"/>
      <c r="BX2" s="19"/>
      <c r="BY2" s="19"/>
      <c r="BZ2" s="591" t="str">
        <f>"TL: "&amp;Tech_Level</f>
        <v>TL: 14</v>
      </c>
      <c r="CA2" s="591"/>
      <c r="CB2" s="591"/>
      <c r="CC2" s="591"/>
      <c r="CD2" s="591"/>
      <c r="CE2" s="591"/>
      <c r="CF2" s="591"/>
      <c r="CG2" s="591"/>
      <c r="CH2" s="591"/>
      <c r="CI2" s="19"/>
      <c r="CJ2" s="19"/>
      <c r="CK2" s="19"/>
      <c r="CL2" s="590" t="str">
        <f>"Thrust: "&amp;'2-Drives'!D11&amp;IF('2-Drives'!B11='2-Drives'!S4,", "&amp;'4-Fuel'!D8&amp;" Thrust Points","")</f>
        <v>Thrust: 2</v>
      </c>
      <c r="CM2" s="590"/>
      <c r="CN2" s="590"/>
      <c r="CO2" s="590"/>
      <c r="CP2" s="590"/>
      <c r="CQ2" s="590"/>
      <c r="CR2" s="590"/>
      <c r="CS2" s="590"/>
      <c r="CT2" s="590"/>
      <c r="CU2" s="590"/>
      <c r="CV2" s="590"/>
      <c r="CW2" s="590"/>
      <c r="CX2" s="590"/>
      <c r="CY2" s="590"/>
      <c r="CZ2" s="590"/>
      <c r="DA2" s="590"/>
      <c r="DB2" s="590"/>
      <c r="DC2" s="590"/>
      <c r="DD2" s="590"/>
      <c r="DE2" s="590"/>
      <c r="DF2" s="590"/>
      <c r="DG2" s="590"/>
      <c r="DH2" s="590"/>
      <c r="DI2" s="590"/>
      <c r="DJ2" s="590"/>
      <c r="DK2" s="19"/>
      <c r="DL2" s="19" t="str">
        <f>"Jump?"&amp;IF('2-Drives'!D25&gt;0," Y"," N")</f>
        <v>Jump? Y</v>
      </c>
      <c r="DM2" s="19"/>
      <c r="DN2" s="19"/>
      <c r="DO2" s="19"/>
      <c r="DP2" s="19"/>
      <c r="DQ2" s="19"/>
      <c r="DR2" s="19"/>
      <c r="DS2" s="19"/>
      <c r="DT2" s="19"/>
      <c r="DU2" s="19"/>
    </row>
    <row r="3" spans="1:125" ht="13.5" customHeight="1" thickBot="1">
      <c r="A3" s="588" t="str">
        <f>"Hull Points: "&amp;'1-Hull'!D7</f>
        <v>Hull Points: 120</v>
      </c>
      <c r="B3" s="588"/>
      <c r="C3" s="588"/>
      <c r="D3" s="588"/>
      <c r="E3" s="588"/>
      <c r="F3" s="588"/>
      <c r="G3" s="588"/>
      <c r="H3" s="588"/>
      <c r="I3" s="588"/>
      <c r="J3" s="588"/>
      <c r="K3" s="588"/>
      <c r="L3" s="588"/>
      <c r="M3" s="588"/>
      <c r="N3" s="588"/>
      <c r="O3" s="588"/>
      <c r="P3" s="588"/>
      <c r="Q3" s="588"/>
      <c r="R3" s="588"/>
      <c r="S3" s="588"/>
      <c r="T3" s="588"/>
      <c r="U3" s="19"/>
      <c r="V3" s="19"/>
      <c r="W3" s="19"/>
      <c r="X3" s="589" t="str">
        <f>"Hull Size: "&amp;'1-Hull'!B4&amp;" tons"</f>
        <v>Hull Size: 300 tons</v>
      </c>
      <c r="Y3" s="589"/>
      <c r="Z3" s="589"/>
      <c r="AA3" s="589"/>
      <c r="AB3" s="589"/>
      <c r="AC3" s="589"/>
      <c r="AD3" s="589"/>
      <c r="AE3" s="589"/>
      <c r="AF3" s="589"/>
      <c r="AG3" s="589"/>
      <c r="AH3" s="589"/>
      <c r="AI3" s="589"/>
      <c r="AJ3" s="589"/>
      <c r="AK3" s="589"/>
      <c r="AL3" s="589"/>
      <c r="AM3" s="589"/>
      <c r="AN3" s="589"/>
      <c r="AO3" s="589"/>
      <c r="AP3" s="589"/>
      <c r="AQ3" s="589"/>
      <c r="AR3" s="589"/>
      <c r="AS3" s="589"/>
      <c r="AT3" s="589"/>
      <c r="AU3" s="589"/>
      <c r="AV3" s="589"/>
      <c r="AW3" s="589"/>
      <c r="AX3" s="589"/>
      <c r="AY3" s="19"/>
      <c r="AZ3" s="589" t="str">
        <f>"Configuration: "&amp;'1-Hull'!B6</f>
        <v>Configuration: Needle</v>
      </c>
      <c r="BA3" s="589"/>
      <c r="BB3" s="589"/>
      <c r="BC3" s="589"/>
      <c r="BD3" s="589"/>
      <c r="BE3" s="589"/>
      <c r="BF3" s="589"/>
      <c r="BG3" s="589"/>
      <c r="BH3" s="589"/>
      <c r="BI3" s="589"/>
      <c r="BJ3" s="589"/>
      <c r="BK3" s="589"/>
      <c r="BL3" s="589"/>
      <c r="BM3" s="589"/>
      <c r="BN3" s="589"/>
      <c r="BO3" s="589"/>
      <c r="BP3" s="589"/>
      <c r="BQ3" s="589"/>
      <c r="BR3" s="589"/>
      <c r="BS3" s="589"/>
      <c r="BT3" s="589"/>
      <c r="BU3" s="589"/>
      <c r="BV3" s="589"/>
      <c r="BW3" s="589"/>
      <c r="BX3" s="19"/>
      <c r="BY3" s="589" t="str">
        <f>"Streamlining: "&amp;'1-Hull'!B7&amp;'1-Hull'!T64</f>
        <v>Streamlining: Streamlined</v>
      </c>
      <c r="BZ3" s="589"/>
      <c r="CA3" s="589"/>
      <c r="CB3" s="589"/>
      <c r="CC3" s="589"/>
      <c r="CD3" s="589"/>
      <c r="CE3" s="589"/>
      <c r="CF3" s="589"/>
      <c r="CG3" s="589"/>
      <c r="CH3" s="589"/>
      <c r="CI3" s="589"/>
      <c r="CJ3" s="589"/>
      <c r="CK3" s="589"/>
      <c r="CL3" s="589"/>
      <c r="CM3" s="589"/>
      <c r="CN3" s="589"/>
      <c r="CO3" s="589"/>
      <c r="CP3" s="589"/>
      <c r="CQ3" s="589"/>
      <c r="CR3" s="589"/>
      <c r="CS3" s="589"/>
      <c r="CT3" s="589"/>
      <c r="CU3" s="589"/>
      <c r="CV3" s="589"/>
      <c r="CW3" s="589"/>
      <c r="CX3" s="589"/>
      <c r="CY3" s="589"/>
      <c r="CZ3" s="589"/>
      <c r="DA3" s="589"/>
      <c r="DB3" s="19"/>
      <c r="DC3" s="592" t="s">
        <v>667</v>
      </c>
      <c r="DD3" s="592"/>
      <c r="DE3" s="592"/>
      <c r="DF3" s="592"/>
      <c r="DG3" s="592"/>
      <c r="DH3" s="592"/>
      <c r="DI3" s="591" t="str">
        <f>'10-Crew'!E5&amp;""&amp;IF('10-Crew'!E7=0,"","/"&amp;'10-Crew'!E7)</f>
        <v>13</v>
      </c>
      <c r="DJ3" s="591"/>
      <c r="DK3" s="591"/>
      <c r="DL3" s="591"/>
      <c r="DM3" s="591"/>
      <c r="DN3" s="591"/>
      <c r="DO3" s="591"/>
      <c r="DP3" s="591"/>
      <c r="DQ3" s="591"/>
      <c r="DR3" s="591"/>
      <c r="DS3" s="591"/>
      <c r="DT3" s="591"/>
      <c r="DU3" s="19"/>
    </row>
    <row r="4" spans="1:125" ht="6.5" customHeight="1">
      <c r="A4" s="31">
        <v>1</v>
      </c>
      <c r="B4" s="32">
        <f>A4+1</f>
        <v>2</v>
      </c>
      <c r="C4" s="32">
        <f t="shared" ref="C4:BN4" si="0">B4+1</f>
        <v>3</v>
      </c>
      <c r="D4" s="32">
        <f t="shared" si="0"/>
        <v>4</v>
      </c>
      <c r="E4" s="32">
        <f t="shared" si="0"/>
        <v>5</v>
      </c>
      <c r="F4" s="32">
        <f t="shared" si="0"/>
        <v>6</v>
      </c>
      <c r="G4" s="32">
        <f t="shared" si="0"/>
        <v>7</v>
      </c>
      <c r="H4" s="32">
        <f t="shared" si="0"/>
        <v>8</v>
      </c>
      <c r="I4" s="32">
        <f t="shared" si="0"/>
        <v>9</v>
      </c>
      <c r="J4" s="33">
        <f t="shared" si="0"/>
        <v>10</v>
      </c>
      <c r="K4" s="31">
        <f t="shared" si="0"/>
        <v>11</v>
      </c>
      <c r="L4" s="32">
        <f t="shared" si="0"/>
        <v>12</v>
      </c>
      <c r="M4" s="32">
        <f t="shared" si="0"/>
        <v>13</v>
      </c>
      <c r="N4" s="32">
        <f t="shared" si="0"/>
        <v>14</v>
      </c>
      <c r="O4" s="32">
        <f t="shared" si="0"/>
        <v>15</v>
      </c>
      <c r="P4" s="32">
        <f t="shared" si="0"/>
        <v>16</v>
      </c>
      <c r="Q4" s="32">
        <f t="shared" si="0"/>
        <v>17</v>
      </c>
      <c r="R4" s="32">
        <f t="shared" si="0"/>
        <v>18</v>
      </c>
      <c r="S4" s="32">
        <f t="shared" si="0"/>
        <v>19</v>
      </c>
      <c r="T4" s="33">
        <f t="shared" si="0"/>
        <v>20</v>
      </c>
      <c r="U4" s="31">
        <f t="shared" si="0"/>
        <v>21</v>
      </c>
      <c r="V4" s="32">
        <f t="shared" si="0"/>
        <v>22</v>
      </c>
      <c r="W4" s="32">
        <f t="shared" si="0"/>
        <v>23</v>
      </c>
      <c r="X4" s="32">
        <f t="shared" si="0"/>
        <v>24</v>
      </c>
      <c r="Y4" s="32">
        <f t="shared" si="0"/>
        <v>25</v>
      </c>
      <c r="Z4" s="32">
        <f t="shared" si="0"/>
        <v>26</v>
      </c>
      <c r="AA4" s="32">
        <f t="shared" si="0"/>
        <v>27</v>
      </c>
      <c r="AB4" s="32">
        <f t="shared" si="0"/>
        <v>28</v>
      </c>
      <c r="AC4" s="32">
        <f t="shared" si="0"/>
        <v>29</v>
      </c>
      <c r="AD4" s="33">
        <f t="shared" si="0"/>
        <v>30</v>
      </c>
      <c r="AE4" s="31">
        <f t="shared" si="0"/>
        <v>31</v>
      </c>
      <c r="AF4" s="32">
        <f t="shared" si="0"/>
        <v>32</v>
      </c>
      <c r="AG4" s="32">
        <f t="shared" si="0"/>
        <v>33</v>
      </c>
      <c r="AH4" s="32">
        <f t="shared" si="0"/>
        <v>34</v>
      </c>
      <c r="AI4" s="32">
        <f t="shared" si="0"/>
        <v>35</v>
      </c>
      <c r="AJ4" s="32">
        <f t="shared" si="0"/>
        <v>36</v>
      </c>
      <c r="AK4" s="32">
        <f t="shared" si="0"/>
        <v>37</v>
      </c>
      <c r="AL4" s="32">
        <f t="shared" si="0"/>
        <v>38</v>
      </c>
      <c r="AM4" s="32">
        <f t="shared" si="0"/>
        <v>39</v>
      </c>
      <c r="AN4" s="33">
        <f t="shared" si="0"/>
        <v>40</v>
      </c>
      <c r="AO4" s="31">
        <f t="shared" si="0"/>
        <v>41</v>
      </c>
      <c r="AP4" s="32">
        <f t="shared" si="0"/>
        <v>42</v>
      </c>
      <c r="AQ4" s="32">
        <f t="shared" si="0"/>
        <v>43</v>
      </c>
      <c r="AR4" s="32">
        <f t="shared" si="0"/>
        <v>44</v>
      </c>
      <c r="AS4" s="32">
        <f t="shared" si="0"/>
        <v>45</v>
      </c>
      <c r="AT4" s="32">
        <f t="shared" si="0"/>
        <v>46</v>
      </c>
      <c r="AU4" s="32">
        <f t="shared" si="0"/>
        <v>47</v>
      </c>
      <c r="AV4" s="32">
        <f t="shared" si="0"/>
        <v>48</v>
      </c>
      <c r="AW4" s="32">
        <f t="shared" si="0"/>
        <v>49</v>
      </c>
      <c r="AX4" s="33">
        <f t="shared" si="0"/>
        <v>50</v>
      </c>
      <c r="AY4" s="31">
        <f t="shared" si="0"/>
        <v>51</v>
      </c>
      <c r="AZ4" s="32">
        <f t="shared" si="0"/>
        <v>52</v>
      </c>
      <c r="BA4" s="32">
        <f t="shared" si="0"/>
        <v>53</v>
      </c>
      <c r="BB4" s="32">
        <f t="shared" si="0"/>
        <v>54</v>
      </c>
      <c r="BC4" s="32">
        <f t="shared" si="0"/>
        <v>55</v>
      </c>
      <c r="BD4" s="32">
        <f t="shared" si="0"/>
        <v>56</v>
      </c>
      <c r="BE4" s="32">
        <f t="shared" si="0"/>
        <v>57</v>
      </c>
      <c r="BF4" s="32">
        <f t="shared" si="0"/>
        <v>58</v>
      </c>
      <c r="BG4" s="32">
        <f t="shared" si="0"/>
        <v>59</v>
      </c>
      <c r="BH4" s="33">
        <f t="shared" si="0"/>
        <v>60</v>
      </c>
      <c r="BI4" s="31">
        <f t="shared" si="0"/>
        <v>61</v>
      </c>
      <c r="BJ4" s="32">
        <f t="shared" si="0"/>
        <v>62</v>
      </c>
      <c r="BK4" s="32">
        <f t="shared" si="0"/>
        <v>63</v>
      </c>
      <c r="BL4" s="32">
        <f t="shared" si="0"/>
        <v>64</v>
      </c>
      <c r="BM4" s="32">
        <f t="shared" si="0"/>
        <v>65</v>
      </c>
      <c r="BN4" s="32">
        <f t="shared" si="0"/>
        <v>66</v>
      </c>
      <c r="BO4" s="32">
        <f t="shared" ref="BO4:DP4" si="1">BN4+1</f>
        <v>67</v>
      </c>
      <c r="BP4" s="32">
        <f t="shared" si="1"/>
        <v>68</v>
      </c>
      <c r="BQ4" s="32">
        <f t="shared" si="1"/>
        <v>69</v>
      </c>
      <c r="BR4" s="34">
        <f t="shared" si="1"/>
        <v>70</v>
      </c>
      <c r="BS4" s="31">
        <f t="shared" si="1"/>
        <v>71</v>
      </c>
      <c r="BT4" s="32">
        <f t="shared" si="1"/>
        <v>72</v>
      </c>
      <c r="BU4" s="32">
        <f t="shared" si="1"/>
        <v>73</v>
      </c>
      <c r="BV4" s="32">
        <f t="shared" si="1"/>
        <v>74</v>
      </c>
      <c r="BW4" s="32">
        <f t="shared" si="1"/>
        <v>75</v>
      </c>
      <c r="BX4" s="32">
        <f t="shared" si="1"/>
        <v>76</v>
      </c>
      <c r="BY4" s="32">
        <f t="shared" si="1"/>
        <v>77</v>
      </c>
      <c r="BZ4" s="32">
        <f t="shared" si="1"/>
        <v>78</v>
      </c>
      <c r="CA4" s="32">
        <f t="shared" si="1"/>
        <v>79</v>
      </c>
      <c r="CB4" s="33">
        <f t="shared" si="1"/>
        <v>80</v>
      </c>
      <c r="CC4" s="35">
        <f t="shared" si="1"/>
        <v>81</v>
      </c>
      <c r="CD4" s="32">
        <f t="shared" si="1"/>
        <v>82</v>
      </c>
      <c r="CE4" s="32">
        <f t="shared" si="1"/>
        <v>83</v>
      </c>
      <c r="CF4" s="32">
        <f t="shared" si="1"/>
        <v>84</v>
      </c>
      <c r="CG4" s="32">
        <f t="shared" si="1"/>
        <v>85</v>
      </c>
      <c r="CH4" s="32">
        <f t="shared" si="1"/>
        <v>86</v>
      </c>
      <c r="CI4" s="32">
        <f t="shared" si="1"/>
        <v>87</v>
      </c>
      <c r="CJ4" s="32">
        <f t="shared" si="1"/>
        <v>88</v>
      </c>
      <c r="CK4" s="32">
        <f t="shared" si="1"/>
        <v>89</v>
      </c>
      <c r="CL4" s="34">
        <f t="shared" si="1"/>
        <v>90</v>
      </c>
      <c r="CM4" s="31">
        <f t="shared" si="1"/>
        <v>91</v>
      </c>
      <c r="CN4" s="32">
        <f t="shared" si="1"/>
        <v>92</v>
      </c>
      <c r="CO4" s="32">
        <f t="shared" si="1"/>
        <v>93</v>
      </c>
      <c r="CP4" s="32">
        <f t="shared" si="1"/>
        <v>94</v>
      </c>
      <c r="CQ4" s="32">
        <f t="shared" si="1"/>
        <v>95</v>
      </c>
      <c r="CR4" s="32">
        <f t="shared" si="1"/>
        <v>96</v>
      </c>
      <c r="CS4" s="32">
        <f t="shared" si="1"/>
        <v>97</v>
      </c>
      <c r="CT4" s="32">
        <f t="shared" si="1"/>
        <v>98</v>
      </c>
      <c r="CU4" s="32">
        <f t="shared" si="1"/>
        <v>99</v>
      </c>
      <c r="CV4" s="33">
        <f t="shared" si="1"/>
        <v>100</v>
      </c>
      <c r="CW4" s="35">
        <f t="shared" si="1"/>
        <v>101</v>
      </c>
      <c r="CX4" s="32">
        <f t="shared" si="1"/>
        <v>102</v>
      </c>
      <c r="CY4" s="32">
        <f t="shared" si="1"/>
        <v>103</v>
      </c>
      <c r="CZ4" s="32">
        <f t="shared" si="1"/>
        <v>104</v>
      </c>
      <c r="DA4" s="32">
        <f t="shared" si="1"/>
        <v>105</v>
      </c>
      <c r="DB4" s="32">
        <f t="shared" si="1"/>
        <v>106</v>
      </c>
      <c r="DC4" s="32">
        <f t="shared" si="1"/>
        <v>107</v>
      </c>
      <c r="DD4" s="32">
        <f t="shared" si="1"/>
        <v>108</v>
      </c>
      <c r="DE4" s="32">
        <f t="shared" si="1"/>
        <v>109</v>
      </c>
      <c r="DF4" s="34">
        <f t="shared" si="1"/>
        <v>110</v>
      </c>
      <c r="DG4" s="31">
        <f t="shared" si="1"/>
        <v>111</v>
      </c>
      <c r="DH4" s="32">
        <f t="shared" si="1"/>
        <v>112</v>
      </c>
      <c r="DI4" s="32">
        <f t="shared" si="1"/>
        <v>113</v>
      </c>
      <c r="DJ4" s="32">
        <f t="shared" si="1"/>
        <v>114</v>
      </c>
      <c r="DK4" s="32">
        <f t="shared" si="1"/>
        <v>115</v>
      </c>
      <c r="DL4" s="32">
        <f t="shared" si="1"/>
        <v>116</v>
      </c>
      <c r="DM4" s="32">
        <f t="shared" si="1"/>
        <v>117</v>
      </c>
      <c r="DN4" s="32">
        <f t="shared" si="1"/>
        <v>118</v>
      </c>
      <c r="DO4" s="32">
        <f t="shared" si="1"/>
        <v>119</v>
      </c>
      <c r="DP4" s="33">
        <f t="shared" si="1"/>
        <v>120</v>
      </c>
      <c r="DQ4" s="30"/>
      <c r="DR4" s="152"/>
      <c r="DS4" s="152"/>
      <c r="DT4" s="30"/>
      <c r="DU4" s="30"/>
    </row>
    <row r="5" spans="1:125" ht="6.5" customHeight="1">
      <c r="A5" s="36">
        <v>121</v>
      </c>
      <c r="B5" s="37">
        <f>A5+1</f>
        <v>122</v>
      </c>
      <c r="C5" s="37">
        <f t="shared" ref="C5:BN5" si="2">B5+1</f>
        <v>123</v>
      </c>
      <c r="D5" s="37">
        <f t="shared" si="2"/>
        <v>124</v>
      </c>
      <c r="E5" s="37">
        <f t="shared" si="2"/>
        <v>125</v>
      </c>
      <c r="F5" s="37">
        <f t="shared" si="2"/>
        <v>126</v>
      </c>
      <c r="G5" s="37">
        <f t="shared" si="2"/>
        <v>127</v>
      </c>
      <c r="H5" s="37">
        <f t="shared" si="2"/>
        <v>128</v>
      </c>
      <c r="I5" s="37">
        <f t="shared" si="2"/>
        <v>129</v>
      </c>
      <c r="J5" s="38">
        <f t="shared" si="2"/>
        <v>130</v>
      </c>
      <c r="K5" s="36">
        <f t="shared" si="2"/>
        <v>131</v>
      </c>
      <c r="L5" s="37">
        <f t="shared" si="2"/>
        <v>132</v>
      </c>
      <c r="M5" s="37">
        <f t="shared" si="2"/>
        <v>133</v>
      </c>
      <c r="N5" s="37">
        <f t="shared" si="2"/>
        <v>134</v>
      </c>
      <c r="O5" s="37">
        <f t="shared" si="2"/>
        <v>135</v>
      </c>
      <c r="P5" s="37">
        <f t="shared" si="2"/>
        <v>136</v>
      </c>
      <c r="Q5" s="37">
        <f t="shared" si="2"/>
        <v>137</v>
      </c>
      <c r="R5" s="37">
        <f t="shared" si="2"/>
        <v>138</v>
      </c>
      <c r="S5" s="37">
        <f t="shared" si="2"/>
        <v>139</v>
      </c>
      <c r="T5" s="38">
        <f t="shared" si="2"/>
        <v>140</v>
      </c>
      <c r="U5" s="36">
        <f t="shared" si="2"/>
        <v>141</v>
      </c>
      <c r="V5" s="37">
        <f t="shared" si="2"/>
        <v>142</v>
      </c>
      <c r="W5" s="37">
        <f t="shared" si="2"/>
        <v>143</v>
      </c>
      <c r="X5" s="37">
        <f t="shared" si="2"/>
        <v>144</v>
      </c>
      <c r="Y5" s="37">
        <f t="shared" si="2"/>
        <v>145</v>
      </c>
      <c r="Z5" s="37">
        <f t="shared" si="2"/>
        <v>146</v>
      </c>
      <c r="AA5" s="37">
        <f t="shared" si="2"/>
        <v>147</v>
      </c>
      <c r="AB5" s="37">
        <f t="shared" si="2"/>
        <v>148</v>
      </c>
      <c r="AC5" s="37">
        <f t="shared" si="2"/>
        <v>149</v>
      </c>
      <c r="AD5" s="38">
        <f t="shared" si="2"/>
        <v>150</v>
      </c>
      <c r="AE5" s="36">
        <f t="shared" si="2"/>
        <v>151</v>
      </c>
      <c r="AF5" s="37">
        <f t="shared" si="2"/>
        <v>152</v>
      </c>
      <c r="AG5" s="37">
        <f t="shared" si="2"/>
        <v>153</v>
      </c>
      <c r="AH5" s="37">
        <f t="shared" si="2"/>
        <v>154</v>
      </c>
      <c r="AI5" s="37">
        <f t="shared" si="2"/>
        <v>155</v>
      </c>
      <c r="AJ5" s="37">
        <f t="shared" si="2"/>
        <v>156</v>
      </c>
      <c r="AK5" s="37">
        <f t="shared" si="2"/>
        <v>157</v>
      </c>
      <c r="AL5" s="37">
        <f t="shared" si="2"/>
        <v>158</v>
      </c>
      <c r="AM5" s="37">
        <f t="shared" si="2"/>
        <v>159</v>
      </c>
      <c r="AN5" s="38">
        <f t="shared" si="2"/>
        <v>160</v>
      </c>
      <c r="AO5" s="36">
        <f t="shared" si="2"/>
        <v>161</v>
      </c>
      <c r="AP5" s="37">
        <f t="shared" si="2"/>
        <v>162</v>
      </c>
      <c r="AQ5" s="37">
        <f t="shared" si="2"/>
        <v>163</v>
      </c>
      <c r="AR5" s="37">
        <f t="shared" si="2"/>
        <v>164</v>
      </c>
      <c r="AS5" s="37">
        <f t="shared" si="2"/>
        <v>165</v>
      </c>
      <c r="AT5" s="37">
        <f t="shared" si="2"/>
        <v>166</v>
      </c>
      <c r="AU5" s="37">
        <f t="shared" si="2"/>
        <v>167</v>
      </c>
      <c r="AV5" s="37">
        <f t="shared" si="2"/>
        <v>168</v>
      </c>
      <c r="AW5" s="37">
        <f t="shared" si="2"/>
        <v>169</v>
      </c>
      <c r="AX5" s="38">
        <f t="shared" si="2"/>
        <v>170</v>
      </c>
      <c r="AY5" s="36">
        <f t="shared" si="2"/>
        <v>171</v>
      </c>
      <c r="AZ5" s="37">
        <f t="shared" si="2"/>
        <v>172</v>
      </c>
      <c r="BA5" s="37">
        <f t="shared" si="2"/>
        <v>173</v>
      </c>
      <c r="BB5" s="37">
        <f t="shared" si="2"/>
        <v>174</v>
      </c>
      <c r="BC5" s="37">
        <f t="shared" si="2"/>
        <v>175</v>
      </c>
      <c r="BD5" s="37">
        <f t="shared" si="2"/>
        <v>176</v>
      </c>
      <c r="BE5" s="37">
        <f t="shared" si="2"/>
        <v>177</v>
      </c>
      <c r="BF5" s="37">
        <f t="shared" si="2"/>
        <v>178</v>
      </c>
      <c r="BG5" s="37">
        <f t="shared" si="2"/>
        <v>179</v>
      </c>
      <c r="BH5" s="38">
        <f t="shared" si="2"/>
        <v>180</v>
      </c>
      <c r="BI5" s="36">
        <f t="shared" si="2"/>
        <v>181</v>
      </c>
      <c r="BJ5" s="37">
        <f t="shared" si="2"/>
        <v>182</v>
      </c>
      <c r="BK5" s="37">
        <f t="shared" si="2"/>
        <v>183</v>
      </c>
      <c r="BL5" s="37">
        <f t="shared" si="2"/>
        <v>184</v>
      </c>
      <c r="BM5" s="37">
        <f t="shared" si="2"/>
        <v>185</v>
      </c>
      <c r="BN5" s="37">
        <f t="shared" si="2"/>
        <v>186</v>
      </c>
      <c r="BO5" s="37">
        <f t="shared" ref="BO5:DP5" si="3">BN5+1</f>
        <v>187</v>
      </c>
      <c r="BP5" s="37">
        <f t="shared" si="3"/>
        <v>188</v>
      </c>
      <c r="BQ5" s="37">
        <f t="shared" si="3"/>
        <v>189</v>
      </c>
      <c r="BR5" s="39">
        <f t="shared" si="3"/>
        <v>190</v>
      </c>
      <c r="BS5" s="36">
        <f t="shared" si="3"/>
        <v>191</v>
      </c>
      <c r="BT5" s="37">
        <f t="shared" si="3"/>
        <v>192</v>
      </c>
      <c r="BU5" s="37">
        <f t="shared" si="3"/>
        <v>193</v>
      </c>
      <c r="BV5" s="37">
        <f t="shared" si="3"/>
        <v>194</v>
      </c>
      <c r="BW5" s="37">
        <f t="shared" si="3"/>
        <v>195</v>
      </c>
      <c r="BX5" s="37">
        <f t="shared" si="3"/>
        <v>196</v>
      </c>
      <c r="BY5" s="37">
        <f t="shared" si="3"/>
        <v>197</v>
      </c>
      <c r="BZ5" s="37">
        <f t="shared" si="3"/>
        <v>198</v>
      </c>
      <c r="CA5" s="37">
        <f t="shared" si="3"/>
        <v>199</v>
      </c>
      <c r="CB5" s="38">
        <f t="shared" si="3"/>
        <v>200</v>
      </c>
      <c r="CC5" s="40">
        <f t="shared" si="3"/>
        <v>201</v>
      </c>
      <c r="CD5" s="37">
        <f t="shared" si="3"/>
        <v>202</v>
      </c>
      <c r="CE5" s="37">
        <f t="shared" si="3"/>
        <v>203</v>
      </c>
      <c r="CF5" s="37">
        <f t="shared" si="3"/>
        <v>204</v>
      </c>
      <c r="CG5" s="37">
        <f t="shared" si="3"/>
        <v>205</v>
      </c>
      <c r="CH5" s="37">
        <f t="shared" si="3"/>
        <v>206</v>
      </c>
      <c r="CI5" s="37">
        <f t="shared" si="3"/>
        <v>207</v>
      </c>
      <c r="CJ5" s="37">
        <f t="shared" si="3"/>
        <v>208</v>
      </c>
      <c r="CK5" s="37">
        <f t="shared" si="3"/>
        <v>209</v>
      </c>
      <c r="CL5" s="39">
        <f t="shared" si="3"/>
        <v>210</v>
      </c>
      <c r="CM5" s="36">
        <f t="shared" si="3"/>
        <v>211</v>
      </c>
      <c r="CN5" s="37">
        <f t="shared" si="3"/>
        <v>212</v>
      </c>
      <c r="CO5" s="37">
        <f t="shared" si="3"/>
        <v>213</v>
      </c>
      <c r="CP5" s="37">
        <f t="shared" si="3"/>
        <v>214</v>
      </c>
      <c r="CQ5" s="37">
        <f t="shared" si="3"/>
        <v>215</v>
      </c>
      <c r="CR5" s="37">
        <f t="shared" si="3"/>
        <v>216</v>
      </c>
      <c r="CS5" s="37">
        <f t="shared" si="3"/>
        <v>217</v>
      </c>
      <c r="CT5" s="37">
        <f t="shared" si="3"/>
        <v>218</v>
      </c>
      <c r="CU5" s="37">
        <f t="shared" si="3"/>
        <v>219</v>
      </c>
      <c r="CV5" s="38">
        <f t="shared" si="3"/>
        <v>220</v>
      </c>
      <c r="CW5" s="40">
        <f t="shared" si="3"/>
        <v>221</v>
      </c>
      <c r="CX5" s="37">
        <f t="shared" si="3"/>
        <v>222</v>
      </c>
      <c r="CY5" s="37">
        <f t="shared" si="3"/>
        <v>223</v>
      </c>
      <c r="CZ5" s="37">
        <f t="shared" si="3"/>
        <v>224</v>
      </c>
      <c r="DA5" s="37">
        <f t="shared" si="3"/>
        <v>225</v>
      </c>
      <c r="DB5" s="37">
        <f t="shared" si="3"/>
        <v>226</v>
      </c>
      <c r="DC5" s="37">
        <f t="shared" si="3"/>
        <v>227</v>
      </c>
      <c r="DD5" s="37">
        <f t="shared" si="3"/>
        <v>228</v>
      </c>
      <c r="DE5" s="37">
        <f t="shared" si="3"/>
        <v>229</v>
      </c>
      <c r="DF5" s="39">
        <f t="shared" si="3"/>
        <v>230</v>
      </c>
      <c r="DG5" s="36">
        <f t="shared" si="3"/>
        <v>231</v>
      </c>
      <c r="DH5" s="37">
        <f t="shared" si="3"/>
        <v>232</v>
      </c>
      <c r="DI5" s="37">
        <f t="shared" si="3"/>
        <v>233</v>
      </c>
      <c r="DJ5" s="37">
        <f t="shared" si="3"/>
        <v>234</v>
      </c>
      <c r="DK5" s="37">
        <f t="shared" si="3"/>
        <v>235</v>
      </c>
      <c r="DL5" s="37">
        <f t="shared" si="3"/>
        <v>236</v>
      </c>
      <c r="DM5" s="37">
        <f t="shared" si="3"/>
        <v>237</v>
      </c>
      <c r="DN5" s="37">
        <f t="shared" si="3"/>
        <v>238</v>
      </c>
      <c r="DO5" s="37">
        <f t="shared" si="3"/>
        <v>239</v>
      </c>
      <c r="DP5" s="38">
        <f t="shared" si="3"/>
        <v>240</v>
      </c>
      <c r="DQ5" s="30"/>
      <c r="DR5" s="153"/>
      <c r="DS5" s="153"/>
      <c r="DT5" s="30"/>
      <c r="DU5" s="30"/>
    </row>
    <row r="6" spans="1:125" ht="6.5" customHeight="1">
      <c r="A6" s="36">
        <v>241</v>
      </c>
      <c r="B6" s="37">
        <f>A6+1</f>
        <v>242</v>
      </c>
      <c r="C6" s="37">
        <f t="shared" ref="C6:BN6" si="4">B6+1</f>
        <v>243</v>
      </c>
      <c r="D6" s="37">
        <f t="shared" si="4"/>
        <v>244</v>
      </c>
      <c r="E6" s="37">
        <f t="shared" si="4"/>
        <v>245</v>
      </c>
      <c r="F6" s="37">
        <f t="shared" si="4"/>
        <v>246</v>
      </c>
      <c r="G6" s="37">
        <f t="shared" si="4"/>
        <v>247</v>
      </c>
      <c r="H6" s="37">
        <f t="shared" si="4"/>
        <v>248</v>
      </c>
      <c r="I6" s="37">
        <f t="shared" si="4"/>
        <v>249</v>
      </c>
      <c r="J6" s="38">
        <f t="shared" si="4"/>
        <v>250</v>
      </c>
      <c r="K6" s="36">
        <f t="shared" si="4"/>
        <v>251</v>
      </c>
      <c r="L6" s="37">
        <f t="shared" si="4"/>
        <v>252</v>
      </c>
      <c r="M6" s="37">
        <f t="shared" si="4"/>
        <v>253</v>
      </c>
      <c r="N6" s="37">
        <f t="shared" si="4"/>
        <v>254</v>
      </c>
      <c r="O6" s="37">
        <f t="shared" si="4"/>
        <v>255</v>
      </c>
      <c r="P6" s="37">
        <f t="shared" si="4"/>
        <v>256</v>
      </c>
      <c r="Q6" s="37">
        <f t="shared" si="4"/>
        <v>257</v>
      </c>
      <c r="R6" s="37">
        <f t="shared" si="4"/>
        <v>258</v>
      </c>
      <c r="S6" s="37">
        <f t="shared" si="4"/>
        <v>259</v>
      </c>
      <c r="T6" s="38">
        <f t="shared" si="4"/>
        <v>260</v>
      </c>
      <c r="U6" s="36">
        <f t="shared" si="4"/>
        <v>261</v>
      </c>
      <c r="V6" s="37">
        <f t="shared" si="4"/>
        <v>262</v>
      </c>
      <c r="W6" s="37">
        <f t="shared" si="4"/>
        <v>263</v>
      </c>
      <c r="X6" s="37">
        <f t="shared" si="4"/>
        <v>264</v>
      </c>
      <c r="Y6" s="37">
        <f t="shared" si="4"/>
        <v>265</v>
      </c>
      <c r="Z6" s="37">
        <f t="shared" si="4"/>
        <v>266</v>
      </c>
      <c r="AA6" s="37">
        <f t="shared" si="4"/>
        <v>267</v>
      </c>
      <c r="AB6" s="37">
        <f t="shared" si="4"/>
        <v>268</v>
      </c>
      <c r="AC6" s="37">
        <f t="shared" si="4"/>
        <v>269</v>
      </c>
      <c r="AD6" s="38">
        <f t="shared" si="4"/>
        <v>270</v>
      </c>
      <c r="AE6" s="36">
        <f t="shared" si="4"/>
        <v>271</v>
      </c>
      <c r="AF6" s="37">
        <f t="shared" si="4"/>
        <v>272</v>
      </c>
      <c r="AG6" s="37">
        <f t="shared" si="4"/>
        <v>273</v>
      </c>
      <c r="AH6" s="37">
        <f t="shared" si="4"/>
        <v>274</v>
      </c>
      <c r="AI6" s="37">
        <f t="shared" si="4"/>
        <v>275</v>
      </c>
      <c r="AJ6" s="37">
        <f t="shared" si="4"/>
        <v>276</v>
      </c>
      <c r="AK6" s="37">
        <f t="shared" si="4"/>
        <v>277</v>
      </c>
      <c r="AL6" s="37">
        <f t="shared" si="4"/>
        <v>278</v>
      </c>
      <c r="AM6" s="37">
        <f t="shared" si="4"/>
        <v>279</v>
      </c>
      <c r="AN6" s="38">
        <f t="shared" si="4"/>
        <v>280</v>
      </c>
      <c r="AO6" s="36">
        <f t="shared" si="4"/>
        <v>281</v>
      </c>
      <c r="AP6" s="37">
        <f t="shared" si="4"/>
        <v>282</v>
      </c>
      <c r="AQ6" s="37">
        <f t="shared" si="4"/>
        <v>283</v>
      </c>
      <c r="AR6" s="37">
        <f t="shared" si="4"/>
        <v>284</v>
      </c>
      <c r="AS6" s="37">
        <f t="shared" si="4"/>
        <v>285</v>
      </c>
      <c r="AT6" s="37">
        <f t="shared" si="4"/>
        <v>286</v>
      </c>
      <c r="AU6" s="37">
        <f t="shared" si="4"/>
        <v>287</v>
      </c>
      <c r="AV6" s="37">
        <f t="shared" si="4"/>
        <v>288</v>
      </c>
      <c r="AW6" s="37">
        <f t="shared" si="4"/>
        <v>289</v>
      </c>
      <c r="AX6" s="38">
        <f t="shared" si="4"/>
        <v>290</v>
      </c>
      <c r="AY6" s="36">
        <f t="shared" si="4"/>
        <v>291</v>
      </c>
      <c r="AZ6" s="37">
        <f t="shared" si="4"/>
        <v>292</v>
      </c>
      <c r="BA6" s="37">
        <f t="shared" si="4"/>
        <v>293</v>
      </c>
      <c r="BB6" s="37">
        <f t="shared" si="4"/>
        <v>294</v>
      </c>
      <c r="BC6" s="37">
        <f t="shared" si="4"/>
        <v>295</v>
      </c>
      <c r="BD6" s="37">
        <f t="shared" si="4"/>
        <v>296</v>
      </c>
      <c r="BE6" s="37">
        <f t="shared" si="4"/>
        <v>297</v>
      </c>
      <c r="BF6" s="37">
        <f t="shared" si="4"/>
        <v>298</v>
      </c>
      <c r="BG6" s="37">
        <f t="shared" si="4"/>
        <v>299</v>
      </c>
      <c r="BH6" s="38">
        <f t="shared" si="4"/>
        <v>300</v>
      </c>
      <c r="BI6" s="36">
        <f t="shared" si="4"/>
        <v>301</v>
      </c>
      <c r="BJ6" s="37">
        <f t="shared" si="4"/>
        <v>302</v>
      </c>
      <c r="BK6" s="37">
        <f t="shared" si="4"/>
        <v>303</v>
      </c>
      <c r="BL6" s="37">
        <f t="shared" si="4"/>
        <v>304</v>
      </c>
      <c r="BM6" s="37">
        <f t="shared" si="4"/>
        <v>305</v>
      </c>
      <c r="BN6" s="37">
        <f t="shared" si="4"/>
        <v>306</v>
      </c>
      <c r="BO6" s="37">
        <f t="shared" ref="BO6:DP6" si="5">BN6+1</f>
        <v>307</v>
      </c>
      <c r="BP6" s="37">
        <f t="shared" si="5"/>
        <v>308</v>
      </c>
      <c r="BQ6" s="37">
        <f t="shared" si="5"/>
        <v>309</v>
      </c>
      <c r="BR6" s="39">
        <f t="shared" si="5"/>
        <v>310</v>
      </c>
      <c r="BS6" s="36">
        <f t="shared" si="5"/>
        <v>311</v>
      </c>
      <c r="BT6" s="37">
        <f t="shared" si="5"/>
        <v>312</v>
      </c>
      <c r="BU6" s="37">
        <f t="shared" si="5"/>
        <v>313</v>
      </c>
      <c r="BV6" s="37">
        <f t="shared" si="5"/>
        <v>314</v>
      </c>
      <c r="BW6" s="37">
        <f t="shared" si="5"/>
        <v>315</v>
      </c>
      <c r="BX6" s="37">
        <f t="shared" si="5"/>
        <v>316</v>
      </c>
      <c r="BY6" s="37">
        <f t="shared" si="5"/>
        <v>317</v>
      </c>
      <c r="BZ6" s="37">
        <f t="shared" si="5"/>
        <v>318</v>
      </c>
      <c r="CA6" s="37">
        <f t="shared" si="5"/>
        <v>319</v>
      </c>
      <c r="CB6" s="38">
        <f t="shared" si="5"/>
        <v>320</v>
      </c>
      <c r="CC6" s="40">
        <f t="shared" si="5"/>
        <v>321</v>
      </c>
      <c r="CD6" s="37">
        <f t="shared" si="5"/>
        <v>322</v>
      </c>
      <c r="CE6" s="37">
        <f t="shared" si="5"/>
        <v>323</v>
      </c>
      <c r="CF6" s="37">
        <f t="shared" si="5"/>
        <v>324</v>
      </c>
      <c r="CG6" s="37">
        <f t="shared" si="5"/>
        <v>325</v>
      </c>
      <c r="CH6" s="37">
        <f t="shared" si="5"/>
        <v>326</v>
      </c>
      <c r="CI6" s="37">
        <f t="shared" si="5"/>
        <v>327</v>
      </c>
      <c r="CJ6" s="37">
        <f t="shared" si="5"/>
        <v>328</v>
      </c>
      <c r="CK6" s="37">
        <f t="shared" si="5"/>
        <v>329</v>
      </c>
      <c r="CL6" s="39">
        <f t="shared" si="5"/>
        <v>330</v>
      </c>
      <c r="CM6" s="36">
        <f t="shared" si="5"/>
        <v>331</v>
      </c>
      <c r="CN6" s="37">
        <f t="shared" si="5"/>
        <v>332</v>
      </c>
      <c r="CO6" s="37">
        <f t="shared" si="5"/>
        <v>333</v>
      </c>
      <c r="CP6" s="37">
        <f t="shared" si="5"/>
        <v>334</v>
      </c>
      <c r="CQ6" s="37">
        <f t="shared" si="5"/>
        <v>335</v>
      </c>
      <c r="CR6" s="37">
        <f t="shared" si="5"/>
        <v>336</v>
      </c>
      <c r="CS6" s="37">
        <f t="shared" si="5"/>
        <v>337</v>
      </c>
      <c r="CT6" s="37">
        <f t="shared" si="5"/>
        <v>338</v>
      </c>
      <c r="CU6" s="37">
        <f t="shared" si="5"/>
        <v>339</v>
      </c>
      <c r="CV6" s="38">
        <f t="shared" si="5"/>
        <v>340</v>
      </c>
      <c r="CW6" s="40">
        <f t="shared" si="5"/>
        <v>341</v>
      </c>
      <c r="CX6" s="37">
        <f t="shared" si="5"/>
        <v>342</v>
      </c>
      <c r="CY6" s="37">
        <f t="shared" si="5"/>
        <v>343</v>
      </c>
      <c r="CZ6" s="37">
        <f t="shared" si="5"/>
        <v>344</v>
      </c>
      <c r="DA6" s="37">
        <f t="shared" si="5"/>
        <v>345</v>
      </c>
      <c r="DB6" s="37">
        <f t="shared" si="5"/>
        <v>346</v>
      </c>
      <c r="DC6" s="37">
        <f t="shared" si="5"/>
        <v>347</v>
      </c>
      <c r="DD6" s="37">
        <f t="shared" si="5"/>
        <v>348</v>
      </c>
      <c r="DE6" s="37">
        <f t="shared" si="5"/>
        <v>349</v>
      </c>
      <c r="DF6" s="39">
        <f t="shared" si="5"/>
        <v>350</v>
      </c>
      <c r="DG6" s="36">
        <f t="shared" si="5"/>
        <v>351</v>
      </c>
      <c r="DH6" s="37">
        <f t="shared" si="5"/>
        <v>352</v>
      </c>
      <c r="DI6" s="37">
        <f t="shared" si="5"/>
        <v>353</v>
      </c>
      <c r="DJ6" s="37">
        <f t="shared" si="5"/>
        <v>354</v>
      </c>
      <c r="DK6" s="37">
        <f t="shared" si="5"/>
        <v>355</v>
      </c>
      <c r="DL6" s="37">
        <f t="shared" si="5"/>
        <v>356</v>
      </c>
      <c r="DM6" s="37">
        <f t="shared" si="5"/>
        <v>357</v>
      </c>
      <c r="DN6" s="37">
        <f t="shared" si="5"/>
        <v>358</v>
      </c>
      <c r="DO6" s="37">
        <f t="shared" si="5"/>
        <v>359</v>
      </c>
      <c r="DP6" s="38">
        <f t="shared" si="5"/>
        <v>360</v>
      </c>
      <c r="DQ6" s="30"/>
      <c r="DR6" s="537">
        <v>0</v>
      </c>
      <c r="DS6" s="538"/>
      <c r="DT6" s="537">
        <v>0</v>
      </c>
      <c r="DU6" s="538"/>
    </row>
    <row r="7" spans="1:125" ht="6.5" customHeight="1">
      <c r="A7" s="36">
        <v>361</v>
      </c>
      <c r="B7" s="37">
        <f t="shared" ref="B7:BM7" si="6">A7+1</f>
        <v>362</v>
      </c>
      <c r="C7" s="37">
        <f t="shared" si="6"/>
        <v>363</v>
      </c>
      <c r="D7" s="37">
        <f t="shared" si="6"/>
        <v>364</v>
      </c>
      <c r="E7" s="37">
        <f t="shared" si="6"/>
        <v>365</v>
      </c>
      <c r="F7" s="37">
        <f t="shared" si="6"/>
        <v>366</v>
      </c>
      <c r="G7" s="37">
        <f t="shared" si="6"/>
        <v>367</v>
      </c>
      <c r="H7" s="37">
        <f t="shared" si="6"/>
        <v>368</v>
      </c>
      <c r="I7" s="37">
        <f t="shared" si="6"/>
        <v>369</v>
      </c>
      <c r="J7" s="38">
        <f t="shared" si="6"/>
        <v>370</v>
      </c>
      <c r="K7" s="36">
        <f t="shared" si="6"/>
        <v>371</v>
      </c>
      <c r="L7" s="37">
        <f t="shared" si="6"/>
        <v>372</v>
      </c>
      <c r="M7" s="37">
        <f t="shared" si="6"/>
        <v>373</v>
      </c>
      <c r="N7" s="37">
        <f t="shared" si="6"/>
        <v>374</v>
      </c>
      <c r="O7" s="37">
        <f t="shared" si="6"/>
        <v>375</v>
      </c>
      <c r="P7" s="37">
        <f t="shared" si="6"/>
        <v>376</v>
      </c>
      <c r="Q7" s="37">
        <f t="shared" si="6"/>
        <v>377</v>
      </c>
      <c r="R7" s="37">
        <f t="shared" si="6"/>
        <v>378</v>
      </c>
      <c r="S7" s="37">
        <f t="shared" si="6"/>
        <v>379</v>
      </c>
      <c r="T7" s="38">
        <f t="shared" si="6"/>
        <v>380</v>
      </c>
      <c r="U7" s="36">
        <f t="shared" si="6"/>
        <v>381</v>
      </c>
      <c r="V7" s="37">
        <f t="shared" si="6"/>
        <v>382</v>
      </c>
      <c r="W7" s="37">
        <f t="shared" si="6"/>
        <v>383</v>
      </c>
      <c r="X7" s="37">
        <f t="shared" si="6"/>
        <v>384</v>
      </c>
      <c r="Y7" s="37">
        <f t="shared" si="6"/>
        <v>385</v>
      </c>
      <c r="Z7" s="37">
        <f t="shared" si="6"/>
        <v>386</v>
      </c>
      <c r="AA7" s="37">
        <f t="shared" si="6"/>
        <v>387</v>
      </c>
      <c r="AB7" s="37">
        <f t="shared" si="6"/>
        <v>388</v>
      </c>
      <c r="AC7" s="37">
        <f t="shared" si="6"/>
        <v>389</v>
      </c>
      <c r="AD7" s="38">
        <f t="shared" si="6"/>
        <v>390</v>
      </c>
      <c r="AE7" s="36">
        <f t="shared" si="6"/>
        <v>391</v>
      </c>
      <c r="AF7" s="37">
        <f t="shared" si="6"/>
        <v>392</v>
      </c>
      <c r="AG7" s="37">
        <f t="shared" si="6"/>
        <v>393</v>
      </c>
      <c r="AH7" s="37">
        <f t="shared" si="6"/>
        <v>394</v>
      </c>
      <c r="AI7" s="37">
        <f t="shared" si="6"/>
        <v>395</v>
      </c>
      <c r="AJ7" s="37">
        <f t="shared" si="6"/>
        <v>396</v>
      </c>
      <c r="AK7" s="37">
        <f t="shared" si="6"/>
        <v>397</v>
      </c>
      <c r="AL7" s="37">
        <f t="shared" si="6"/>
        <v>398</v>
      </c>
      <c r="AM7" s="37">
        <f t="shared" si="6"/>
        <v>399</v>
      </c>
      <c r="AN7" s="38">
        <f t="shared" si="6"/>
        <v>400</v>
      </c>
      <c r="AO7" s="36">
        <f t="shared" si="6"/>
        <v>401</v>
      </c>
      <c r="AP7" s="37">
        <f t="shared" si="6"/>
        <v>402</v>
      </c>
      <c r="AQ7" s="37">
        <f t="shared" si="6"/>
        <v>403</v>
      </c>
      <c r="AR7" s="37">
        <f t="shared" si="6"/>
        <v>404</v>
      </c>
      <c r="AS7" s="37">
        <f t="shared" si="6"/>
        <v>405</v>
      </c>
      <c r="AT7" s="37">
        <f t="shared" si="6"/>
        <v>406</v>
      </c>
      <c r="AU7" s="37">
        <f t="shared" si="6"/>
        <v>407</v>
      </c>
      <c r="AV7" s="37">
        <f t="shared" si="6"/>
        <v>408</v>
      </c>
      <c r="AW7" s="37">
        <f t="shared" si="6"/>
        <v>409</v>
      </c>
      <c r="AX7" s="38">
        <f t="shared" si="6"/>
        <v>410</v>
      </c>
      <c r="AY7" s="36">
        <f t="shared" si="6"/>
        <v>411</v>
      </c>
      <c r="AZ7" s="37">
        <f t="shared" si="6"/>
        <v>412</v>
      </c>
      <c r="BA7" s="37">
        <f t="shared" si="6"/>
        <v>413</v>
      </c>
      <c r="BB7" s="37">
        <f t="shared" si="6"/>
        <v>414</v>
      </c>
      <c r="BC7" s="37">
        <f t="shared" si="6"/>
        <v>415</v>
      </c>
      <c r="BD7" s="37">
        <f t="shared" si="6"/>
        <v>416</v>
      </c>
      <c r="BE7" s="37">
        <f t="shared" si="6"/>
        <v>417</v>
      </c>
      <c r="BF7" s="37">
        <f t="shared" si="6"/>
        <v>418</v>
      </c>
      <c r="BG7" s="37">
        <f t="shared" si="6"/>
        <v>419</v>
      </c>
      <c r="BH7" s="38">
        <f t="shared" si="6"/>
        <v>420</v>
      </c>
      <c r="BI7" s="36">
        <f t="shared" si="6"/>
        <v>421</v>
      </c>
      <c r="BJ7" s="37">
        <f t="shared" si="6"/>
        <v>422</v>
      </c>
      <c r="BK7" s="37">
        <f t="shared" si="6"/>
        <v>423</v>
      </c>
      <c r="BL7" s="37">
        <f t="shared" si="6"/>
        <v>424</v>
      </c>
      <c r="BM7" s="37">
        <f t="shared" si="6"/>
        <v>425</v>
      </c>
      <c r="BN7" s="37">
        <f t="shared" ref="BN7:DP7" si="7">BM7+1</f>
        <v>426</v>
      </c>
      <c r="BO7" s="37">
        <f t="shared" si="7"/>
        <v>427</v>
      </c>
      <c r="BP7" s="37">
        <f t="shared" si="7"/>
        <v>428</v>
      </c>
      <c r="BQ7" s="37">
        <f t="shared" si="7"/>
        <v>429</v>
      </c>
      <c r="BR7" s="39">
        <f t="shared" si="7"/>
        <v>430</v>
      </c>
      <c r="BS7" s="36">
        <f t="shared" si="7"/>
        <v>431</v>
      </c>
      <c r="BT7" s="37">
        <f t="shared" si="7"/>
        <v>432</v>
      </c>
      <c r="BU7" s="37">
        <f t="shared" si="7"/>
        <v>433</v>
      </c>
      <c r="BV7" s="37">
        <f t="shared" si="7"/>
        <v>434</v>
      </c>
      <c r="BW7" s="37">
        <f t="shared" si="7"/>
        <v>435</v>
      </c>
      <c r="BX7" s="37">
        <f t="shared" si="7"/>
        <v>436</v>
      </c>
      <c r="BY7" s="37">
        <f t="shared" si="7"/>
        <v>437</v>
      </c>
      <c r="BZ7" s="37">
        <f t="shared" si="7"/>
        <v>438</v>
      </c>
      <c r="CA7" s="37">
        <f t="shared" si="7"/>
        <v>439</v>
      </c>
      <c r="CB7" s="38">
        <f t="shared" si="7"/>
        <v>440</v>
      </c>
      <c r="CC7" s="40">
        <f t="shared" si="7"/>
        <v>441</v>
      </c>
      <c r="CD7" s="37">
        <f t="shared" si="7"/>
        <v>442</v>
      </c>
      <c r="CE7" s="37">
        <f t="shared" si="7"/>
        <v>443</v>
      </c>
      <c r="CF7" s="37">
        <f t="shared" si="7"/>
        <v>444</v>
      </c>
      <c r="CG7" s="37">
        <f t="shared" si="7"/>
        <v>445</v>
      </c>
      <c r="CH7" s="37">
        <f t="shared" si="7"/>
        <v>446</v>
      </c>
      <c r="CI7" s="37">
        <f t="shared" si="7"/>
        <v>447</v>
      </c>
      <c r="CJ7" s="37">
        <f t="shared" si="7"/>
        <v>448</v>
      </c>
      <c r="CK7" s="37">
        <f t="shared" si="7"/>
        <v>449</v>
      </c>
      <c r="CL7" s="39">
        <f t="shared" si="7"/>
        <v>450</v>
      </c>
      <c r="CM7" s="36">
        <f t="shared" si="7"/>
        <v>451</v>
      </c>
      <c r="CN7" s="37">
        <f t="shared" si="7"/>
        <v>452</v>
      </c>
      <c r="CO7" s="37">
        <f t="shared" si="7"/>
        <v>453</v>
      </c>
      <c r="CP7" s="37">
        <f t="shared" si="7"/>
        <v>454</v>
      </c>
      <c r="CQ7" s="37">
        <f t="shared" si="7"/>
        <v>455</v>
      </c>
      <c r="CR7" s="37">
        <f t="shared" si="7"/>
        <v>456</v>
      </c>
      <c r="CS7" s="37">
        <f t="shared" si="7"/>
        <v>457</v>
      </c>
      <c r="CT7" s="37">
        <f t="shared" si="7"/>
        <v>458</v>
      </c>
      <c r="CU7" s="37">
        <f t="shared" si="7"/>
        <v>459</v>
      </c>
      <c r="CV7" s="38">
        <f t="shared" si="7"/>
        <v>460</v>
      </c>
      <c r="CW7" s="40">
        <f t="shared" si="7"/>
        <v>461</v>
      </c>
      <c r="CX7" s="37">
        <f t="shared" si="7"/>
        <v>462</v>
      </c>
      <c r="CY7" s="37">
        <f t="shared" si="7"/>
        <v>463</v>
      </c>
      <c r="CZ7" s="37">
        <f t="shared" si="7"/>
        <v>464</v>
      </c>
      <c r="DA7" s="37">
        <f t="shared" si="7"/>
        <v>465</v>
      </c>
      <c r="DB7" s="37">
        <f t="shared" si="7"/>
        <v>466</v>
      </c>
      <c r="DC7" s="37">
        <f t="shared" si="7"/>
        <v>467</v>
      </c>
      <c r="DD7" s="37">
        <f t="shared" si="7"/>
        <v>468</v>
      </c>
      <c r="DE7" s="37">
        <f t="shared" si="7"/>
        <v>469</v>
      </c>
      <c r="DF7" s="39">
        <f t="shared" si="7"/>
        <v>470</v>
      </c>
      <c r="DG7" s="36">
        <f t="shared" si="7"/>
        <v>471</v>
      </c>
      <c r="DH7" s="37">
        <f t="shared" si="7"/>
        <v>472</v>
      </c>
      <c r="DI7" s="37">
        <f t="shared" si="7"/>
        <v>473</v>
      </c>
      <c r="DJ7" s="37">
        <f t="shared" si="7"/>
        <v>474</v>
      </c>
      <c r="DK7" s="37">
        <f t="shared" si="7"/>
        <v>475</v>
      </c>
      <c r="DL7" s="37">
        <f t="shared" si="7"/>
        <v>476</v>
      </c>
      <c r="DM7" s="37">
        <f t="shared" si="7"/>
        <v>477</v>
      </c>
      <c r="DN7" s="37">
        <f t="shared" si="7"/>
        <v>478</v>
      </c>
      <c r="DO7" s="37">
        <f t="shared" si="7"/>
        <v>479</v>
      </c>
      <c r="DP7" s="38">
        <f t="shared" si="7"/>
        <v>480</v>
      </c>
      <c r="DQ7" s="30"/>
      <c r="DR7" s="539"/>
      <c r="DS7" s="540"/>
      <c r="DT7" s="539"/>
      <c r="DU7" s="540"/>
    </row>
    <row r="8" spans="1:125" ht="6.5" customHeight="1">
      <c r="A8" s="36">
        <v>481</v>
      </c>
      <c r="B8" s="37">
        <f t="shared" ref="B8:BM8" si="8">A8+1</f>
        <v>482</v>
      </c>
      <c r="C8" s="37">
        <f t="shared" si="8"/>
        <v>483</v>
      </c>
      <c r="D8" s="37">
        <f t="shared" si="8"/>
        <v>484</v>
      </c>
      <c r="E8" s="37">
        <f t="shared" si="8"/>
        <v>485</v>
      </c>
      <c r="F8" s="37">
        <f t="shared" si="8"/>
        <v>486</v>
      </c>
      <c r="G8" s="37">
        <f t="shared" si="8"/>
        <v>487</v>
      </c>
      <c r="H8" s="37">
        <f t="shared" si="8"/>
        <v>488</v>
      </c>
      <c r="I8" s="37">
        <f t="shared" si="8"/>
        <v>489</v>
      </c>
      <c r="J8" s="38">
        <f t="shared" si="8"/>
        <v>490</v>
      </c>
      <c r="K8" s="36">
        <f t="shared" si="8"/>
        <v>491</v>
      </c>
      <c r="L8" s="37">
        <f t="shared" si="8"/>
        <v>492</v>
      </c>
      <c r="M8" s="37">
        <f t="shared" si="8"/>
        <v>493</v>
      </c>
      <c r="N8" s="37">
        <f t="shared" si="8"/>
        <v>494</v>
      </c>
      <c r="O8" s="37">
        <f t="shared" si="8"/>
        <v>495</v>
      </c>
      <c r="P8" s="37">
        <f t="shared" si="8"/>
        <v>496</v>
      </c>
      <c r="Q8" s="37">
        <f t="shared" si="8"/>
        <v>497</v>
      </c>
      <c r="R8" s="37">
        <f t="shared" si="8"/>
        <v>498</v>
      </c>
      <c r="S8" s="37">
        <f t="shared" si="8"/>
        <v>499</v>
      </c>
      <c r="T8" s="38">
        <f t="shared" si="8"/>
        <v>500</v>
      </c>
      <c r="U8" s="36">
        <f t="shared" si="8"/>
        <v>501</v>
      </c>
      <c r="V8" s="37">
        <f t="shared" si="8"/>
        <v>502</v>
      </c>
      <c r="W8" s="37">
        <f t="shared" si="8"/>
        <v>503</v>
      </c>
      <c r="X8" s="37">
        <f t="shared" si="8"/>
        <v>504</v>
      </c>
      <c r="Y8" s="37">
        <f t="shared" si="8"/>
        <v>505</v>
      </c>
      <c r="Z8" s="37">
        <f t="shared" si="8"/>
        <v>506</v>
      </c>
      <c r="AA8" s="37">
        <f t="shared" si="8"/>
        <v>507</v>
      </c>
      <c r="AB8" s="37">
        <f t="shared" si="8"/>
        <v>508</v>
      </c>
      <c r="AC8" s="37">
        <f t="shared" si="8"/>
        <v>509</v>
      </c>
      <c r="AD8" s="38">
        <f t="shared" si="8"/>
        <v>510</v>
      </c>
      <c r="AE8" s="36">
        <f t="shared" si="8"/>
        <v>511</v>
      </c>
      <c r="AF8" s="37">
        <f t="shared" si="8"/>
        <v>512</v>
      </c>
      <c r="AG8" s="37">
        <f t="shared" si="8"/>
        <v>513</v>
      </c>
      <c r="AH8" s="37">
        <f t="shared" si="8"/>
        <v>514</v>
      </c>
      <c r="AI8" s="37">
        <f t="shared" si="8"/>
        <v>515</v>
      </c>
      <c r="AJ8" s="37">
        <f t="shared" si="8"/>
        <v>516</v>
      </c>
      <c r="AK8" s="37">
        <f t="shared" si="8"/>
        <v>517</v>
      </c>
      <c r="AL8" s="37">
        <f t="shared" si="8"/>
        <v>518</v>
      </c>
      <c r="AM8" s="37">
        <f t="shared" si="8"/>
        <v>519</v>
      </c>
      <c r="AN8" s="38">
        <f t="shared" si="8"/>
        <v>520</v>
      </c>
      <c r="AO8" s="36">
        <f t="shared" si="8"/>
        <v>521</v>
      </c>
      <c r="AP8" s="37">
        <f t="shared" si="8"/>
        <v>522</v>
      </c>
      <c r="AQ8" s="37">
        <f t="shared" si="8"/>
        <v>523</v>
      </c>
      <c r="AR8" s="37">
        <f t="shared" si="8"/>
        <v>524</v>
      </c>
      <c r="AS8" s="37">
        <f t="shared" si="8"/>
        <v>525</v>
      </c>
      <c r="AT8" s="37">
        <f t="shared" si="8"/>
        <v>526</v>
      </c>
      <c r="AU8" s="37">
        <f t="shared" si="8"/>
        <v>527</v>
      </c>
      <c r="AV8" s="37">
        <f t="shared" si="8"/>
        <v>528</v>
      </c>
      <c r="AW8" s="37">
        <f t="shared" si="8"/>
        <v>529</v>
      </c>
      <c r="AX8" s="38">
        <f t="shared" si="8"/>
        <v>530</v>
      </c>
      <c r="AY8" s="36">
        <f t="shared" si="8"/>
        <v>531</v>
      </c>
      <c r="AZ8" s="37">
        <f t="shared" si="8"/>
        <v>532</v>
      </c>
      <c r="BA8" s="37">
        <f t="shared" si="8"/>
        <v>533</v>
      </c>
      <c r="BB8" s="37">
        <f t="shared" si="8"/>
        <v>534</v>
      </c>
      <c r="BC8" s="37">
        <f t="shared" si="8"/>
        <v>535</v>
      </c>
      <c r="BD8" s="37">
        <f t="shared" si="8"/>
        <v>536</v>
      </c>
      <c r="BE8" s="37">
        <f t="shared" si="8"/>
        <v>537</v>
      </c>
      <c r="BF8" s="37">
        <f t="shared" si="8"/>
        <v>538</v>
      </c>
      <c r="BG8" s="37">
        <f t="shared" si="8"/>
        <v>539</v>
      </c>
      <c r="BH8" s="38">
        <f t="shared" si="8"/>
        <v>540</v>
      </c>
      <c r="BI8" s="36">
        <f t="shared" si="8"/>
        <v>541</v>
      </c>
      <c r="BJ8" s="37">
        <f t="shared" si="8"/>
        <v>542</v>
      </c>
      <c r="BK8" s="37">
        <f t="shared" si="8"/>
        <v>543</v>
      </c>
      <c r="BL8" s="37">
        <f t="shared" si="8"/>
        <v>544</v>
      </c>
      <c r="BM8" s="37">
        <f t="shared" si="8"/>
        <v>545</v>
      </c>
      <c r="BN8" s="37">
        <f t="shared" ref="BN8:DP8" si="9">BM8+1</f>
        <v>546</v>
      </c>
      <c r="BO8" s="37">
        <f t="shared" si="9"/>
        <v>547</v>
      </c>
      <c r="BP8" s="37">
        <f t="shared" si="9"/>
        <v>548</v>
      </c>
      <c r="BQ8" s="37">
        <f t="shared" si="9"/>
        <v>549</v>
      </c>
      <c r="BR8" s="39">
        <f t="shared" si="9"/>
        <v>550</v>
      </c>
      <c r="BS8" s="36">
        <f t="shared" si="9"/>
        <v>551</v>
      </c>
      <c r="BT8" s="37">
        <f t="shared" si="9"/>
        <v>552</v>
      </c>
      <c r="BU8" s="37">
        <f t="shared" si="9"/>
        <v>553</v>
      </c>
      <c r="BV8" s="37">
        <f t="shared" si="9"/>
        <v>554</v>
      </c>
      <c r="BW8" s="37">
        <f t="shared" si="9"/>
        <v>555</v>
      </c>
      <c r="BX8" s="37">
        <f t="shared" si="9"/>
        <v>556</v>
      </c>
      <c r="BY8" s="37">
        <f t="shared" si="9"/>
        <v>557</v>
      </c>
      <c r="BZ8" s="37">
        <f t="shared" si="9"/>
        <v>558</v>
      </c>
      <c r="CA8" s="37">
        <f t="shared" si="9"/>
        <v>559</v>
      </c>
      <c r="CB8" s="38">
        <f t="shared" si="9"/>
        <v>560</v>
      </c>
      <c r="CC8" s="40">
        <f t="shared" si="9"/>
        <v>561</v>
      </c>
      <c r="CD8" s="37">
        <f t="shared" si="9"/>
        <v>562</v>
      </c>
      <c r="CE8" s="37">
        <f t="shared" si="9"/>
        <v>563</v>
      </c>
      <c r="CF8" s="37">
        <f t="shared" si="9"/>
        <v>564</v>
      </c>
      <c r="CG8" s="37">
        <f t="shared" si="9"/>
        <v>565</v>
      </c>
      <c r="CH8" s="37">
        <f t="shared" si="9"/>
        <v>566</v>
      </c>
      <c r="CI8" s="37">
        <f t="shared" si="9"/>
        <v>567</v>
      </c>
      <c r="CJ8" s="37">
        <f t="shared" si="9"/>
        <v>568</v>
      </c>
      <c r="CK8" s="37">
        <f t="shared" si="9"/>
        <v>569</v>
      </c>
      <c r="CL8" s="39">
        <f t="shared" si="9"/>
        <v>570</v>
      </c>
      <c r="CM8" s="36">
        <f t="shared" si="9"/>
        <v>571</v>
      </c>
      <c r="CN8" s="37">
        <f t="shared" si="9"/>
        <v>572</v>
      </c>
      <c r="CO8" s="37">
        <f t="shared" si="9"/>
        <v>573</v>
      </c>
      <c r="CP8" s="37">
        <f t="shared" si="9"/>
        <v>574</v>
      </c>
      <c r="CQ8" s="37">
        <f t="shared" si="9"/>
        <v>575</v>
      </c>
      <c r="CR8" s="37">
        <f t="shared" si="9"/>
        <v>576</v>
      </c>
      <c r="CS8" s="37">
        <f t="shared" si="9"/>
        <v>577</v>
      </c>
      <c r="CT8" s="37">
        <f t="shared" si="9"/>
        <v>578</v>
      </c>
      <c r="CU8" s="37">
        <f t="shared" si="9"/>
        <v>579</v>
      </c>
      <c r="CV8" s="38">
        <f t="shared" si="9"/>
        <v>580</v>
      </c>
      <c r="CW8" s="40">
        <f t="shared" si="9"/>
        <v>581</v>
      </c>
      <c r="CX8" s="37">
        <f t="shared" si="9"/>
        <v>582</v>
      </c>
      <c r="CY8" s="37">
        <f t="shared" si="9"/>
        <v>583</v>
      </c>
      <c r="CZ8" s="37">
        <f t="shared" si="9"/>
        <v>584</v>
      </c>
      <c r="DA8" s="37">
        <f t="shared" si="9"/>
        <v>585</v>
      </c>
      <c r="DB8" s="37">
        <f t="shared" si="9"/>
        <v>586</v>
      </c>
      <c r="DC8" s="37">
        <f t="shared" si="9"/>
        <v>587</v>
      </c>
      <c r="DD8" s="37">
        <f t="shared" si="9"/>
        <v>588</v>
      </c>
      <c r="DE8" s="37">
        <f t="shared" si="9"/>
        <v>589</v>
      </c>
      <c r="DF8" s="39">
        <f t="shared" si="9"/>
        <v>590</v>
      </c>
      <c r="DG8" s="36">
        <f t="shared" si="9"/>
        <v>591</v>
      </c>
      <c r="DH8" s="37">
        <f t="shared" si="9"/>
        <v>592</v>
      </c>
      <c r="DI8" s="37">
        <f t="shared" si="9"/>
        <v>593</v>
      </c>
      <c r="DJ8" s="37">
        <f t="shared" si="9"/>
        <v>594</v>
      </c>
      <c r="DK8" s="37">
        <f t="shared" si="9"/>
        <v>595</v>
      </c>
      <c r="DL8" s="37">
        <f t="shared" si="9"/>
        <v>596</v>
      </c>
      <c r="DM8" s="37">
        <f t="shared" si="9"/>
        <v>597</v>
      </c>
      <c r="DN8" s="37">
        <f t="shared" si="9"/>
        <v>598</v>
      </c>
      <c r="DO8" s="37">
        <f t="shared" si="9"/>
        <v>599</v>
      </c>
      <c r="DP8" s="38">
        <f t="shared" si="9"/>
        <v>600</v>
      </c>
      <c r="DQ8" s="30"/>
      <c r="DR8" s="537">
        <v>10</v>
      </c>
      <c r="DS8" s="538"/>
      <c r="DT8" s="537">
        <v>1</v>
      </c>
      <c r="DU8" s="538"/>
    </row>
    <row r="9" spans="1:125" ht="6.5" customHeight="1">
      <c r="A9" s="36">
        <v>601</v>
      </c>
      <c r="B9" s="37">
        <f t="shared" ref="B9:BM9" si="10">A9+1</f>
        <v>602</v>
      </c>
      <c r="C9" s="37">
        <f t="shared" si="10"/>
        <v>603</v>
      </c>
      <c r="D9" s="37">
        <f t="shared" si="10"/>
        <v>604</v>
      </c>
      <c r="E9" s="37">
        <f t="shared" si="10"/>
        <v>605</v>
      </c>
      <c r="F9" s="37">
        <f t="shared" si="10"/>
        <v>606</v>
      </c>
      <c r="G9" s="37">
        <f t="shared" si="10"/>
        <v>607</v>
      </c>
      <c r="H9" s="37">
        <f t="shared" si="10"/>
        <v>608</v>
      </c>
      <c r="I9" s="37">
        <f t="shared" si="10"/>
        <v>609</v>
      </c>
      <c r="J9" s="38">
        <f t="shared" si="10"/>
        <v>610</v>
      </c>
      <c r="K9" s="36">
        <f t="shared" si="10"/>
        <v>611</v>
      </c>
      <c r="L9" s="37">
        <f t="shared" si="10"/>
        <v>612</v>
      </c>
      <c r="M9" s="37">
        <f t="shared" si="10"/>
        <v>613</v>
      </c>
      <c r="N9" s="37">
        <f t="shared" si="10"/>
        <v>614</v>
      </c>
      <c r="O9" s="37">
        <f t="shared" si="10"/>
        <v>615</v>
      </c>
      <c r="P9" s="37">
        <f t="shared" si="10"/>
        <v>616</v>
      </c>
      <c r="Q9" s="37">
        <f t="shared" si="10"/>
        <v>617</v>
      </c>
      <c r="R9" s="37">
        <f t="shared" si="10"/>
        <v>618</v>
      </c>
      <c r="S9" s="37">
        <f t="shared" si="10"/>
        <v>619</v>
      </c>
      <c r="T9" s="38">
        <f t="shared" si="10"/>
        <v>620</v>
      </c>
      <c r="U9" s="36">
        <f t="shared" si="10"/>
        <v>621</v>
      </c>
      <c r="V9" s="37">
        <f t="shared" si="10"/>
        <v>622</v>
      </c>
      <c r="W9" s="37">
        <f t="shared" si="10"/>
        <v>623</v>
      </c>
      <c r="X9" s="37">
        <f t="shared" si="10"/>
        <v>624</v>
      </c>
      <c r="Y9" s="37">
        <f t="shared" si="10"/>
        <v>625</v>
      </c>
      <c r="Z9" s="37">
        <f t="shared" si="10"/>
        <v>626</v>
      </c>
      <c r="AA9" s="37">
        <f t="shared" si="10"/>
        <v>627</v>
      </c>
      <c r="AB9" s="37">
        <f t="shared" si="10"/>
        <v>628</v>
      </c>
      <c r="AC9" s="37">
        <f t="shared" si="10"/>
        <v>629</v>
      </c>
      <c r="AD9" s="38">
        <f t="shared" si="10"/>
        <v>630</v>
      </c>
      <c r="AE9" s="36">
        <f t="shared" si="10"/>
        <v>631</v>
      </c>
      <c r="AF9" s="37">
        <f t="shared" si="10"/>
        <v>632</v>
      </c>
      <c r="AG9" s="37">
        <f t="shared" si="10"/>
        <v>633</v>
      </c>
      <c r="AH9" s="37">
        <f t="shared" si="10"/>
        <v>634</v>
      </c>
      <c r="AI9" s="37">
        <f t="shared" si="10"/>
        <v>635</v>
      </c>
      <c r="AJ9" s="37">
        <f t="shared" si="10"/>
        <v>636</v>
      </c>
      <c r="AK9" s="37">
        <f t="shared" si="10"/>
        <v>637</v>
      </c>
      <c r="AL9" s="37">
        <f t="shared" si="10"/>
        <v>638</v>
      </c>
      <c r="AM9" s="37">
        <f t="shared" si="10"/>
        <v>639</v>
      </c>
      <c r="AN9" s="38">
        <f t="shared" si="10"/>
        <v>640</v>
      </c>
      <c r="AO9" s="36">
        <f t="shared" si="10"/>
        <v>641</v>
      </c>
      <c r="AP9" s="37">
        <f t="shared" si="10"/>
        <v>642</v>
      </c>
      <c r="AQ9" s="37">
        <f t="shared" si="10"/>
        <v>643</v>
      </c>
      <c r="AR9" s="37">
        <f t="shared" si="10"/>
        <v>644</v>
      </c>
      <c r="AS9" s="37">
        <f t="shared" si="10"/>
        <v>645</v>
      </c>
      <c r="AT9" s="37">
        <f t="shared" si="10"/>
        <v>646</v>
      </c>
      <c r="AU9" s="37">
        <f t="shared" si="10"/>
        <v>647</v>
      </c>
      <c r="AV9" s="37">
        <f t="shared" si="10"/>
        <v>648</v>
      </c>
      <c r="AW9" s="37">
        <f t="shared" si="10"/>
        <v>649</v>
      </c>
      <c r="AX9" s="38">
        <f t="shared" si="10"/>
        <v>650</v>
      </c>
      <c r="AY9" s="36">
        <f t="shared" si="10"/>
        <v>651</v>
      </c>
      <c r="AZ9" s="37">
        <f t="shared" si="10"/>
        <v>652</v>
      </c>
      <c r="BA9" s="37">
        <f t="shared" si="10"/>
        <v>653</v>
      </c>
      <c r="BB9" s="37">
        <f t="shared" si="10"/>
        <v>654</v>
      </c>
      <c r="BC9" s="37">
        <f t="shared" si="10"/>
        <v>655</v>
      </c>
      <c r="BD9" s="37">
        <f t="shared" si="10"/>
        <v>656</v>
      </c>
      <c r="BE9" s="37">
        <f t="shared" si="10"/>
        <v>657</v>
      </c>
      <c r="BF9" s="37">
        <f t="shared" si="10"/>
        <v>658</v>
      </c>
      <c r="BG9" s="37">
        <f t="shared" si="10"/>
        <v>659</v>
      </c>
      <c r="BH9" s="38">
        <f t="shared" si="10"/>
        <v>660</v>
      </c>
      <c r="BI9" s="36">
        <f t="shared" si="10"/>
        <v>661</v>
      </c>
      <c r="BJ9" s="37">
        <f t="shared" si="10"/>
        <v>662</v>
      </c>
      <c r="BK9" s="37">
        <f t="shared" si="10"/>
        <v>663</v>
      </c>
      <c r="BL9" s="37">
        <f t="shared" si="10"/>
        <v>664</v>
      </c>
      <c r="BM9" s="37">
        <f t="shared" si="10"/>
        <v>665</v>
      </c>
      <c r="BN9" s="37">
        <f t="shared" ref="BN9:DP9" si="11">BM9+1</f>
        <v>666</v>
      </c>
      <c r="BO9" s="37">
        <f t="shared" si="11"/>
        <v>667</v>
      </c>
      <c r="BP9" s="37">
        <f t="shared" si="11"/>
        <v>668</v>
      </c>
      <c r="BQ9" s="37">
        <f t="shared" si="11"/>
        <v>669</v>
      </c>
      <c r="BR9" s="39">
        <f t="shared" si="11"/>
        <v>670</v>
      </c>
      <c r="BS9" s="36">
        <f t="shared" si="11"/>
        <v>671</v>
      </c>
      <c r="BT9" s="37">
        <f t="shared" si="11"/>
        <v>672</v>
      </c>
      <c r="BU9" s="37">
        <f t="shared" si="11"/>
        <v>673</v>
      </c>
      <c r="BV9" s="37">
        <f t="shared" si="11"/>
        <v>674</v>
      </c>
      <c r="BW9" s="37">
        <f t="shared" si="11"/>
        <v>675</v>
      </c>
      <c r="BX9" s="37">
        <f t="shared" si="11"/>
        <v>676</v>
      </c>
      <c r="BY9" s="37">
        <f t="shared" si="11"/>
        <v>677</v>
      </c>
      <c r="BZ9" s="37">
        <f t="shared" si="11"/>
        <v>678</v>
      </c>
      <c r="CA9" s="37">
        <f t="shared" si="11"/>
        <v>679</v>
      </c>
      <c r="CB9" s="38">
        <f t="shared" si="11"/>
        <v>680</v>
      </c>
      <c r="CC9" s="40">
        <f t="shared" si="11"/>
        <v>681</v>
      </c>
      <c r="CD9" s="37">
        <f t="shared" si="11"/>
        <v>682</v>
      </c>
      <c r="CE9" s="37">
        <f t="shared" si="11"/>
        <v>683</v>
      </c>
      <c r="CF9" s="37">
        <f t="shared" si="11"/>
        <v>684</v>
      </c>
      <c r="CG9" s="37">
        <f t="shared" si="11"/>
        <v>685</v>
      </c>
      <c r="CH9" s="37">
        <f t="shared" si="11"/>
        <v>686</v>
      </c>
      <c r="CI9" s="37">
        <f t="shared" si="11"/>
        <v>687</v>
      </c>
      <c r="CJ9" s="37">
        <f t="shared" si="11"/>
        <v>688</v>
      </c>
      <c r="CK9" s="37">
        <f t="shared" si="11"/>
        <v>689</v>
      </c>
      <c r="CL9" s="39">
        <f t="shared" si="11"/>
        <v>690</v>
      </c>
      <c r="CM9" s="36">
        <f t="shared" si="11"/>
        <v>691</v>
      </c>
      <c r="CN9" s="37">
        <f t="shared" si="11"/>
        <v>692</v>
      </c>
      <c r="CO9" s="37">
        <f t="shared" si="11"/>
        <v>693</v>
      </c>
      <c r="CP9" s="37">
        <f t="shared" si="11"/>
        <v>694</v>
      </c>
      <c r="CQ9" s="37">
        <f t="shared" si="11"/>
        <v>695</v>
      </c>
      <c r="CR9" s="37">
        <f t="shared" si="11"/>
        <v>696</v>
      </c>
      <c r="CS9" s="37">
        <f t="shared" si="11"/>
        <v>697</v>
      </c>
      <c r="CT9" s="37">
        <f t="shared" si="11"/>
        <v>698</v>
      </c>
      <c r="CU9" s="37">
        <f t="shared" si="11"/>
        <v>699</v>
      </c>
      <c r="CV9" s="38">
        <f t="shared" si="11"/>
        <v>700</v>
      </c>
      <c r="CW9" s="40">
        <f t="shared" si="11"/>
        <v>701</v>
      </c>
      <c r="CX9" s="37">
        <f t="shared" si="11"/>
        <v>702</v>
      </c>
      <c r="CY9" s="37">
        <f t="shared" si="11"/>
        <v>703</v>
      </c>
      <c r="CZ9" s="37">
        <f t="shared" si="11"/>
        <v>704</v>
      </c>
      <c r="DA9" s="37">
        <f t="shared" si="11"/>
        <v>705</v>
      </c>
      <c r="DB9" s="37">
        <f t="shared" si="11"/>
        <v>706</v>
      </c>
      <c r="DC9" s="37">
        <f t="shared" si="11"/>
        <v>707</v>
      </c>
      <c r="DD9" s="37">
        <f t="shared" si="11"/>
        <v>708</v>
      </c>
      <c r="DE9" s="37">
        <f t="shared" si="11"/>
        <v>709</v>
      </c>
      <c r="DF9" s="39">
        <f t="shared" si="11"/>
        <v>710</v>
      </c>
      <c r="DG9" s="36">
        <f t="shared" si="11"/>
        <v>711</v>
      </c>
      <c r="DH9" s="37">
        <f t="shared" si="11"/>
        <v>712</v>
      </c>
      <c r="DI9" s="37">
        <f t="shared" si="11"/>
        <v>713</v>
      </c>
      <c r="DJ9" s="37">
        <f t="shared" si="11"/>
        <v>714</v>
      </c>
      <c r="DK9" s="37">
        <f t="shared" si="11"/>
        <v>715</v>
      </c>
      <c r="DL9" s="37">
        <f t="shared" si="11"/>
        <v>716</v>
      </c>
      <c r="DM9" s="37">
        <f t="shared" si="11"/>
        <v>717</v>
      </c>
      <c r="DN9" s="37">
        <f t="shared" si="11"/>
        <v>718</v>
      </c>
      <c r="DO9" s="37">
        <f t="shared" si="11"/>
        <v>719</v>
      </c>
      <c r="DP9" s="38">
        <f t="shared" si="11"/>
        <v>720</v>
      </c>
      <c r="DQ9" s="30"/>
      <c r="DR9" s="539"/>
      <c r="DS9" s="540"/>
      <c r="DT9" s="539"/>
      <c r="DU9" s="540"/>
    </row>
    <row r="10" spans="1:125" ht="6.5" customHeight="1">
      <c r="A10" s="36">
        <v>721</v>
      </c>
      <c r="B10" s="37">
        <f t="shared" ref="B10:BM10" si="12">A10+1</f>
        <v>722</v>
      </c>
      <c r="C10" s="37">
        <f t="shared" si="12"/>
        <v>723</v>
      </c>
      <c r="D10" s="37">
        <f t="shared" si="12"/>
        <v>724</v>
      </c>
      <c r="E10" s="37">
        <f t="shared" si="12"/>
        <v>725</v>
      </c>
      <c r="F10" s="37">
        <f t="shared" si="12"/>
        <v>726</v>
      </c>
      <c r="G10" s="37">
        <f t="shared" si="12"/>
        <v>727</v>
      </c>
      <c r="H10" s="37">
        <f t="shared" si="12"/>
        <v>728</v>
      </c>
      <c r="I10" s="37">
        <f t="shared" si="12"/>
        <v>729</v>
      </c>
      <c r="J10" s="38">
        <f t="shared" si="12"/>
        <v>730</v>
      </c>
      <c r="K10" s="36">
        <f t="shared" si="12"/>
        <v>731</v>
      </c>
      <c r="L10" s="37">
        <f t="shared" si="12"/>
        <v>732</v>
      </c>
      <c r="M10" s="37">
        <f t="shared" si="12"/>
        <v>733</v>
      </c>
      <c r="N10" s="37">
        <f t="shared" si="12"/>
        <v>734</v>
      </c>
      <c r="O10" s="37">
        <f t="shared" si="12"/>
        <v>735</v>
      </c>
      <c r="P10" s="37">
        <f t="shared" si="12"/>
        <v>736</v>
      </c>
      <c r="Q10" s="37">
        <f t="shared" si="12"/>
        <v>737</v>
      </c>
      <c r="R10" s="37">
        <f t="shared" si="12"/>
        <v>738</v>
      </c>
      <c r="S10" s="37">
        <f t="shared" si="12"/>
        <v>739</v>
      </c>
      <c r="T10" s="38">
        <f t="shared" si="12"/>
        <v>740</v>
      </c>
      <c r="U10" s="36">
        <f t="shared" si="12"/>
        <v>741</v>
      </c>
      <c r="V10" s="37">
        <f t="shared" si="12"/>
        <v>742</v>
      </c>
      <c r="W10" s="37">
        <f t="shared" si="12"/>
        <v>743</v>
      </c>
      <c r="X10" s="37">
        <f t="shared" si="12"/>
        <v>744</v>
      </c>
      <c r="Y10" s="37">
        <f t="shared" si="12"/>
        <v>745</v>
      </c>
      <c r="Z10" s="37">
        <f t="shared" si="12"/>
        <v>746</v>
      </c>
      <c r="AA10" s="37">
        <f t="shared" si="12"/>
        <v>747</v>
      </c>
      <c r="AB10" s="37">
        <f t="shared" si="12"/>
        <v>748</v>
      </c>
      <c r="AC10" s="37">
        <f t="shared" si="12"/>
        <v>749</v>
      </c>
      <c r="AD10" s="38">
        <f t="shared" si="12"/>
        <v>750</v>
      </c>
      <c r="AE10" s="36">
        <f t="shared" si="12"/>
        <v>751</v>
      </c>
      <c r="AF10" s="37">
        <f t="shared" si="12"/>
        <v>752</v>
      </c>
      <c r="AG10" s="37">
        <f t="shared" si="12"/>
        <v>753</v>
      </c>
      <c r="AH10" s="37">
        <f t="shared" si="12"/>
        <v>754</v>
      </c>
      <c r="AI10" s="37">
        <f t="shared" si="12"/>
        <v>755</v>
      </c>
      <c r="AJ10" s="37">
        <f t="shared" si="12"/>
        <v>756</v>
      </c>
      <c r="AK10" s="37">
        <f t="shared" si="12"/>
        <v>757</v>
      </c>
      <c r="AL10" s="37">
        <f t="shared" si="12"/>
        <v>758</v>
      </c>
      <c r="AM10" s="37">
        <f t="shared" si="12"/>
        <v>759</v>
      </c>
      <c r="AN10" s="38">
        <f t="shared" si="12"/>
        <v>760</v>
      </c>
      <c r="AO10" s="36">
        <f t="shared" si="12"/>
        <v>761</v>
      </c>
      <c r="AP10" s="37">
        <f t="shared" si="12"/>
        <v>762</v>
      </c>
      <c r="AQ10" s="37">
        <f t="shared" si="12"/>
        <v>763</v>
      </c>
      <c r="AR10" s="37">
        <f t="shared" si="12"/>
        <v>764</v>
      </c>
      <c r="AS10" s="37">
        <f t="shared" si="12"/>
        <v>765</v>
      </c>
      <c r="AT10" s="37">
        <f t="shared" si="12"/>
        <v>766</v>
      </c>
      <c r="AU10" s="37">
        <f t="shared" si="12"/>
        <v>767</v>
      </c>
      <c r="AV10" s="37">
        <f t="shared" si="12"/>
        <v>768</v>
      </c>
      <c r="AW10" s="37">
        <f t="shared" si="12"/>
        <v>769</v>
      </c>
      <c r="AX10" s="38">
        <f t="shared" si="12"/>
        <v>770</v>
      </c>
      <c r="AY10" s="36">
        <f t="shared" si="12"/>
        <v>771</v>
      </c>
      <c r="AZ10" s="37">
        <f t="shared" si="12"/>
        <v>772</v>
      </c>
      <c r="BA10" s="37">
        <f t="shared" si="12"/>
        <v>773</v>
      </c>
      <c r="BB10" s="37">
        <f t="shared" si="12"/>
        <v>774</v>
      </c>
      <c r="BC10" s="37">
        <f t="shared" si="12"/>
        <v>775</v>
      </c>
      <c r="BD10" s="37">
        <f t="shared" si="12"/>
        <v>776</v>
      </c>
      <c r="BE10" s="37">
        <f t="shared" si="12"/>
        <v>777</v>
      </c>
      <c r="BF10" s="37">
        <f t="shared" si="12"/>
        <v>778</v>
      </c>
      <c r="BG10" s="37">
        <f t="shared" si="12"/>
        <v>779</v>
      </c>
      <c r="BH10" s="38">
        <f t="shared" si="12"/>
        <v>780</v>
      </c>
      <c r="BI10" s="36">
        <f t="shared" si="12"/>
        <v>781</v>
      </c>
      <c r="BJ10" s="37">
        <f t="shared" si="12"/>
        <v>782</v>
      </c>
      <c r="BK10" s="37">
        <f t="shared" si="12"/>
        <v>783</v>
      </c>
      <c r="BL10" s="37">
        <f t="shared" si="12"/>
        <v>784</v>
      </c>
      <c r="BM10" s="37">
        <f t="shared" si="12"/>
        <v>785</v>
      </c>
      <c r="BN10" s="37">
        <f t="shared" ref="BN10:DP10" si="13">BM10+1</f>
        <v>786</v>
      </c>
      <c r="BO10" s="37">
        <f t="shared" si="13"/>
        <v>787</v>
      </c>
      <c r="BP10" s="37">
        <f t="shared" si="13"/>
        <v>788</v>
      </c>
      <c r="BQ10" s="37">
        <f t="shared" si="13"/>
        <v>789</v>
      </c>
      <c r="BR10" s="39">
        <f t="shared" si="13"/>
        <v>790</v>
      </c>
      <c r="BS10" s="36">
        <f t="shared" si="13"/>
        <v>791</v>
      </c>
      <c r="BT10" s="37">
        <f t="shared" si="13"/>
        <v>792</v>
      </c>
      <c r="BU10" s="37">
        <f t="shared" si="13"/>
        <v>793</v>
      </c>
      <c r="BV10" s="37">
        <f t="shared" si="13"/>
        <v>794</v>
      </c>
      <c r="BW10" s="37">
        <f t="shared" si="13"/>
        <v>795</v>
      </c>
      <c r="BX10" s="37">
        <f t="shared" si="13"/>
        <v>796</v>
      </c>
      <c r="BY10" s="37">
        <f t="shared" si="13"/>
        <v>797</v>
      </c>
      <c r="BZ10" s="37">
        <f t="shared" si="13"/>
        <v>798</v>
      </c>
      <c r="CA10" s="37">
        <f t="shared" si="13"/>
        <v>799</v>
      </c>
      <c r="CB10" s="38">
        <f t="shared" si="13"/>
        <v>800</v>
      </c>
      <c r="CC10" s="40">
        <f t="shared" si="13"/>
        <v>801</v>
      </c>
      <c r="CD10" s="37">
        <f t="shared" si="13"/>
        <v>802</v>
      </c>
      <c r="CE10" s="37">
        <f t="shared" si="13"/>
        <v>803</v>
      </c>
      <c r="CF10" s="37">
        <f t="shared" si="13"/>
        <v>804</v>
      </c>
      <c r="CG10" s="37">
        <f t="shared" si="13"/>
        <v>805</v>
      </c>
      <c r="CH10" s="37">
        <f t="shared" si="13"/>
        <v>806</v>
      </c>
      <c r="CI10" s="37">
        <f t="shared" si="13"/>
        <v>807</v>
      </c>
      <c r="CJ10" s="37">
        <f t="shared" si="13"/>
        <v>808</v>
      </c>
      <c r="CK10" s="37">
        <f t="shared" si="13"/>
        <v>809</v>
      </c>
      <c r="CL10" s="39">
        <f t="shared" si="13"/>
        <v>810</v>
      </c>
      <c r="CM10" s="36">
        <f t="shared" si="13"/>
        <v>811</v>
      </c>
      <c r="CN10" s="37">
        <f t="shared" si="13"/>
        <v>812</v>
      </c>
      <c r="CO10" s="37">
        <f t="shared" si="13"/>
        <v>813</v>
      </c>
      <c r="CP10" s="37">
        <f t="shared" si="13"/>
        <v>814</v>
      </c>
      <c r="CQ10" s="37">
        <f t="shared" si="13"/>
        <v>815</v>
      </c>
      <c r="CR10" s="37">
        <f t="shared" si="13"/>
        <v>816</v>
      </c>
      <c r="CS10" s="37">
        <f t="shared" si="13"/>
        <v>817</v>
      </c>
      <c r="CT10" s="37">
        <f t="shared" si="13"/>
        <v>818</v>
      </c>
      <c r="CU10" s="37">
        <f t="shared" si="13"/>
        <v>819</v>
      </c>
      <c r="CV10" s="38">
        <f t="shared" si="13"/>
        <v>820</v>
      </c>
      <c r="CW10" s="40">
        <f t="shared" si="13"/>
        <v>821</v>
      </c>
      <c r="CX10" s="37">
        <f t="shared" si="13"/>
        <v>822</v>
      </c>
      <c r="CY10" s="37">
        <f t="shared" si="13"/>
        <v>823</v>
      </c>
      <c r="CZ10" s="37">
        <f t="shared" si="13"/>
        <v>824</v>
      </c>
      <c r="DA10" s="37">
        <f t="shared" si="13"/>
        <v>825</v>
      </c>
      <c r="DB10" s="37">
        <f t="shared" si="13"/>
        <v>826</v>
      </c>
      <c r="DC10" s="37">
        <f t="shared" si="13"/>
        <v>827</v>
      </c>
      <c r="DD10" s="37">
        <f t="shared" si="13"/>
        <v>828</v>
      </c>
      <c r="DE10" s="37">
        <f t="shared" si="13"/>
        <v>829</v>
      </c>
      <c r="DF10" s="39">
        <f t="shared" si="13"/>
        <v>830</v>
      </c>
      <c r="DG10" s="36">
        <f t="shared" si="13"/>
        <v>831</v>
      </c>
      <c r="DH10" s="37">
        <f t="shared" si="13"/>
        <v>832</v>
      </c>
      <c r="DI10" s="37">
        <f t="shared" si="13"/>
        <v>833</v>
      </c>
      <c r="DJ10" s="37">
        <f t="shared" si="13"/>
        <v>834</v>
      </c>
      <c r="DK10" s="37">
        <f t="shared" si="13"/>
        <v>835</v>
      </c>
      <c r="DL10" s="37">
        <f t="shared" si="13"/>
        <v>836</v>
      </c>
      <c r="DM10" s="37">
        <f t="shared" si="13"/>
        <v>837</v>
      </c>
      <c r="DN10" s="37">
        <f t="shared" si="13"/>
        <v>838</v>
      </c>
      <c r="DO10" s="37">
        <f t="shared" si="13"/>
        <v>839</v>
      </c>
      <c r="DP10" s="38">
        <f t="shared" si="13"/>
        <v>840</v>
      </c>
      <c r="DQ10" s="30"/>
      <c r="DR10" s="537">
        <v>20</v>
      </c>
      <c r="DS10" s="538"/>
      <c r="DT10" s="537">
        <v>2</v>
      </c>
      <c r="DU10" s="538"/>
    </row>
    <row r="11" spans="1:125" ht="6.5" customHeight="1">
      <c r="A11" s="36">
        <v>841</v>
      </c>
      <c r="B11" s="37">
        <f t="shared" ref="B11:BM11" si="14">A11+1</f>
        <v>842</v>
      </c>
      <c r="C11" s="37">
        <f t="shared" si="14"/>
        <v>843</v>
      </c>
      <c r="D11" s="37">
        <f t="shared" si="14"/>
        <v>844</v>
      </c>
      <c r="E11" s="37">
        <f t="shared" si="14"/>
        <v>845</v>
      </c>
      <c r="F11" s="37">
        <f t="shared" si="14"/>
        <v>846</v>
      </c>
      <c r="G11" s="37">
        <f t="shared" si="14"/>
        <v>847</v>
      </c>
      <c r="H11" s="37">
        <f t="shared" si="14"/>
        <v>848</v>
      </c>
      <c r="I11" s="37">
        <f t="shared" si="14"/>
        <v>849</v>
      </c>
      <c r="J11" s="38">
        <f t="shared" si="14"/>
        <v>850</v>
      </c>
      <c r="K11" s="36">
        <f t="shared" si="14"/>
        <v>851</v>
      </c>
      <c r="L11" s="37">
        <f t="shared" si="14"/>
        <v>852</v>
      </c>
      <c r="M11" s="37">
        <f t="shared" si="14"/>
        <v>853</v>
      </c>
      <c r="N11" s="37">
        <f t="shared" si="14"/>
        <v>854</v>
      </c>
      <c r="O11" s="37">
        <f t="shared" si="14"/>
        <v>855</v>
      </c>
      <c r="P11" s="37">
        <f t="shared" si="14"/>
        <v>856</v>
      </c>
      <c r="Q11" s="37">
        <f t="shared" si="14"/>
        <v>857</v>
      </c>
      <c r="R11" s="37">
        <f t="shared" si="14"/>
        <v>858</v>
      </c>
      <c r="S11" s="37">
        <f t="shared" si="14"/>
        <v>859</v>
      </c>
      <c r="T11" s="38">
        <f t="shared" si="14"/>
        <v>860</v>
      </c>
      <c r="U11" s="36">
        <f t="shared" si="14"/>
        <v>861</v>
      </c>
      <c r="V11" s="37">
        <f t="shared" si="14"/>
        <v>862</v>
      </c>
      <c r="W11" s="37">
        <f t="shared" si="14"/>
        <v>863</v>
      </c>
      <c r="X11" s="37">
        <f t="shared" si="14"/>
        <v>864</v>
      </c>
      <c r="Y11" s="37">
        <f t="shared" si="14"/>
        <v>865</v>
      </c>
      <c r="Z11" s="37">
        <f t="shared" si="14"/>
        <v>866</v>
      </c>
      <c r="AA11" s="37">
        <f t="shared" si="14"/>
        <v>867</v>
      </c>
      <c r="AB11" s="37">
        <f t="shared" si="14"/>
        <v>868</v>
      </c>
      <c r="AC11" s="37">
        <f t="shared" si="14"/>
        <v>869</v>
      </c>
      <c r="AD11" s="38">
        <f t="shared" si="14"/>
        <v>870</v>
      </c>
      <c r="AE11" s="36">
        <f t="shared" si="14"/>
        <v>871</v>
      </c>
      <c r="AF11" s="37">
        <f t="shared" si="14"/>
        <v>872</v>
      </c>
      <c r="AG11" s="37">
        <f t="shared" si="14"/>
        <v>873</v>
      </c>
      <c r="AH11" s="37">
        <f t="shared" si="14"/>
        <v>874</v>
      </c>
      <c r="AI11" s="37">
        <f t="shared" si="14"/>
        <v>875</v>
      </c>
      <c r="AJ11" s="37">
        <f t="shared" si="14"/>
        <v>876</v>
      </c>
      <c r="AK11" s="37">
        <f t="shared" si="14"/>
        <v>877</v>
      </c>
      <c r="AL11" s="37">
        <f t="shared" si="14"/>
        <v>878</v>
      </c>
      <c r="AM11" s="37">
        <f t="shared" si="14"/>
        <v>879</v>
      </c>
      <c r="AN11" s="38">
        <f t="shared" si="14"/>
        <v>880</v>
      </c>
      <c r="AO11" s="36">
        <f t="shared" si="14"/>
        <v>881</v>
      </c>
      <c r="AP11" s="37">
        <f t="shared" si="14"/>
        <v>882</v>
      </c>
      <c r="AQ11" s="37">
        <f t="shared" si="14"/>
        <v>883</v>
      </c>
      <c r="AR11" s="37">
        <f t="shared" si="14"/>
        <v>884</v>
      </c>
      <c r="AS11" s="37">
        <f t="shared" si="14"/>
        <v>885</v>
      </c>
      <c r="AT11" s="37">
        <f t="shared" si="14"/>
        <v>886</v>
      </c>
      <c r="AU11" s="37">
        <f t="shared" si="14"/>
        <v>887</v>
      </c>
      <c r="AV11" s="37">
        <f t="shared" si="14"/>
        <v>888</v>
      </c>
      <c r="AW11" s="37">
        <f t="shared" si="14"/>
        <v>889</v>
      </c>
      <c r="AX11" s="38">
        <f t="shared" si="14"/>
        <v>890</v>
      </c>
      <c r="AY11" s="36">
        <f t="shared" si="14"/>
        <v>891</v>
      </c>
      <c r="AZ11" s="37">
        <f t="shared" si="14"/>
        <v>892</v>
      </c>
      <c r="BA11" s="37">
        <f t="shared" si="14"/>
        <v>893</v>
      </c>
      <c r="BB11" s="37">
        <f t="shared" si="14"/>
        <v>894</v>
      </c>
      <c r="BC11" s="37">
        <f t="shared" si="14"/>
        <v>895</v>
      </c>
      <c r="BD11" s="37">
        <f t="shared" si="14"/>
        <v>896</v>
      </c>
      <c r="BE11" s="37">
        <f t="shared" si="14"/>
        <v>897</v>
      </c>
      <c r="BF11" s="37">
        <f t="shared" si="14"/>
        <v>898</v>
      </c>
      <c r="BG11" s="37">
        <f t="shared" si="14"/>
        <v>899</v>
      </c>
      <c r="BH11" s="38">
        <f t="shared" si="14"/>
        <v>900</v>
      </c>
      <c r="BI11" s="36">
        <f t="shared" si="14"/>
        <v>901</v>
      </c>
      <c r="BJ11" s="37">
        <f t="shared" si="14"/>
        <v>902</v>
      </c>
      <c r="BK11" s="37">
        <f t="shared" si="14"/>
        <v>903</v>
      </c>
      <c r="BL11" s="37">
        <f t="shared" si="14"/>
        <v>904</v>
      </c>
      <c r="BM11" s="37">
        <f t="shared" si="14"/>
        <v>905</v>
      </c>
      <c r="BN11" s="37">
        <f t="shared" ref="BN11:DP11" si="15">BM11+1</f>
        <v>906</v>
      </c>
      <c r="BO11" s="37">
        <f t="shared" si="15"/>
        <v>907</v>
      </c>
      <c r="BP11" s="37">
        <f t="shared" si="15"/>
        <v>908</v>
      </c>
      <c r="BQ11" s="37">
        <f t="shared" si="15"/>
        <v>909</v>
      </c>
      <c r="BR11" s="39">
        <f t="shared" si="15"/>
        <v>910</v>
      </c>
      <c r="BS11" s="36">
        <f t="shared" si="15"/>
        <v>911</v>
      </c>
      <c r="BT11" s="37">
        <f t="shared" si="15"/>
        <v>912</v>
      </c>
      <c r="BU11" s="37">
        <f t="shared" si="15"/>
        <v>913</v>
      </c>
      <c r="BV11" s="37">
        <f t="shared" si="15"/>
        <v>914</v>
      </c>
      <c r="BW11" s="37">
        <f t="shared" si="15"/>
        <v>915</v>
      </c>
      <c r="BX11" s="37">
        <f t="shared" si="15"/>
        <v>916</v>
      </c>
      <c r="BY11" s="37">
        <f t="shared" si="15"/>
        <v>917</v>
      </c>
      <c r="BZ11" s="37">
        <f t="shared" si="15"/>
        <v>918</v>
      </c>
      <c r="CA11" s="37">
        <f t="shared" si="15"/>
        <v>919</v>
      </c>
      <c r="CB11" s="38">
        <f t="shared" si="15"/>
        <v>920</v>
      </c>
      <c r="CC11" s="40">
        <f t="shared" si="15"/>
        <v>921</v>
      </c>
      <c r="CD11" s="37">
        <f t="shared" si="15"/>
        <v>922</v>
      </c>
      <c r="CE11" s="37">
        <f t="shared" si="15"/>
        <v>923</v>
      </c>
      <c r="CF11" s="37">
        <f t="shared" si="15"/>
        <v>924</v>
      </c>
      <c r="CG11" s="37">
        <f t="shared" si="15"/>
        <v>925</v>
      </c>
      <c r="CH11" s="37">
        <f t="shared" si="15"/>
        <v>926</v>
      </c>
      <c r="CI11" s="37">
        <f t="shared" si="15"/>
        <v>927</v>
      </c>
      <c r="CJ11" s="37">
        <f t="shared" si="15"/>
        <v>928</v>
      </c>
      <c r="CK11" s="37">
        <f t="shared" si="15"/>
        <v>929</v>
      </c>
      <c r="CL11" s="39">
        <f t="shared" si="15"/>
        <v>930</v>
      </c>
      <c r="CM11" s="36">
        <f t="shared" si="15"/>
        <v>931</v>
      </c>
      <c r="CN11" s="37">
        <f t="shared" si="15"/>
        <v>932</v>
      </c>
      <c r="CO11" s="37">
        <f t="shared" si="15"/>
        <v>933</v>
      </c>
      <c r="CP11" s="37">
        <f t="shared" si="15"/>
        <v>934</v>
      </c>
      <c r="CQ11" s="37">
        <f t="shared" si="15"/>
        <v>935</v>
      </c>
      <c r="CR11" s="37">
        <f t="shared" si="15"/>
        <v>936</v>
      </c>
      <c r="CS11" s="37">
        <f t="shared" si="15"/>
        <v>937</v>
      </c>
      <c r="CT11" s="37">
        <f t="shared" si="15"/>
        <v>938</v>
      </c>
      <c r="CU11" s="37">
        <f t="shared" si="15"/>
        <v>939</v>
      </c>
      <c r="CV11" s="38">
        <f t="shared" si="15"/>
        <v>940</v>
      </c>
      <c r="CW11" s="40">
        <f t="shared" si="15"/>
        <v>941</v>
      </c>
      <c r="CX11" s="37">
        <f t="shared" si="15"/>
        <v>942</v>
      </c>
      <c r="CY11" s="37">
        <f t="shared" si="15"/>
        <v>943</v>
      </c>
      <c r="CZ11" s="37">
        <f t="shared" si="15"/>
        <v>944</v>
      </c>
      <c r="DA11" s="37">
        <f t="shared" si="15"/>
        <v>945</v>
      </c>
      <c r="DB11" s="37">
        <f t="shared" si="15"/>
        <v>946</v>
      </c>
      <c r="DC11" s="37">
        <f t="shared" si="15"/>
        <v>947</v>
      </c>
      <c r="DD11" s="37">
        <f t="shared" si="15"/>
        <v>948</v>
      </c>
      <c r="DE11" s="37">
        <f t="shared" si="15"/>
        <v>949</v>
      </c>
      <c r="DF11" s="39">
        <f t="shared" si="15"/>
        <v>950</v>
      </c>
      <c r="DG11" s="36">
        <f t="shared" si="15"/>
        <v>951</v>
      </c>
      <c r="DH11" s="37">
        <f t="shared" si="15"/>
        <v>952</v>
      </c>
      <c r="DI11" s="37">
        <f t="shared" si="15"/>
        <v>953</v>
      </c>
      <c r="DJ11" s="37">
        <f t="shared" si="15"/>
        <v>954</v>
      </c>
      <c r="DK11" s="37">
        <f t="shared" si="15"/>
        <v>955</v>
      </c>
      <c r="DL11" s="37">
        <f t="shared" si="15"/>
        <v>956</v>
      </c>
      <c r="DM11" s="37">
        <f t="shared" si="15"/>
        <v>957</v>
      </c>
      <c r="DN11" s="37">
        <f t="shared" si="15"/>
        <v>958</v>
      </c>
      <c r="DO11" s="37">
        <f t="shared" si="15"/>
        <v>959</v>
      </c>
      <c r="DP11" s="38">
        <f t="shared" si="15"/>
        <v>960</v>
      </c>
      <c r="DQ11" s="30"/>
      <c r="DR11" s="539"/>
      <c r="DS11" s="540"/>
      <c r="DT11" s="539"/>
      <c r="DU11" s="540"/>
    </row>
    <row r="12" spans="1:125" ht="6.5" customHeight="1">
      <c r="A12" s="36">
        <v>961</v>
      </c>
      <c r="B12" s="37">
        <f t="shared" ref="B12:BM12" si="16">A12+1</f>
        <v>962</v>
      </c>
      <c r="C12" s="37">
        <f t="shared" si="16"/>
        <v>963</v>
      </c>
      <c r="D12" s="37">
        <f t="shared" si="16"/>
        <v>964</v>
      </c>
      <c r="E12" s="37">
        <f t="shared" si="16"/>
        <v>965</v>
      </c>
      <c r="F12" s="37">
        <f t="shared" si="16"/>
        <v>966</v>
      </c>
      <c r="G12" s="37">
        <f t="shared" si="16"/>
        <v>967</v>
      </c>
      <c r="H12" s="37">
        <f t="shared" si="16"/>
        <v>968</v>
      </c>
      <c r="I12" s="37">
        <f t="shared" si="16"/>
        <v>969</v>
      </c>
      <c r="J12" s="38">
        <f t="shared" si="16"/>
        <v>970</v>
      </c>
      <c r="K12" s="36">
        <f t="shared" si="16"/>
        <v>971</v>
      </c>
      <c r="L12" s="37">
        <f t="shared" si="16"/>
        <v>972</v>
      </c>
      <c r="M12" s="37">
        <f t="shared" si="16"/>
        <v>973</v>
      </c>
      <c r="N12" s="37">
        <f t="shared" si="16"/>
        <v>974</v>
      </c>
      <c r="O12" s="37">
        <f t="shared" si="16"/>
        <v>975</v>
      </c>
      <c r="P12" s="37">
        <f t="shared" si="16"/>
        <v>976</v>
      </c>
      <c r="Q12" s="37">
        <f t="shared" si="16"/>
        <v>977</v>
      </c>
      <c r="R12" s="37">
        <f t="shared" si="16"/>
        <v>978</v>
      </c>
      <c r="S12" s="37">
        <f t="shared" si="16"/>
        <v>979</v>
      </c>
      <c r="T12" s="38">
        <f t="shared" si="16"/>
        <v>980</v>
      </c>
      <c r="U12" s="36">
        <f t="shared" si="16"/>
        <v>981</v>
      </c>
      <c r="V12" s="37">
        <f t="shared" si="16"/>
        <v>982</v>
      </c>
      <c r="W12" s="37">
        <f t="shared" si="16"/>
        <v>983</v>
      </c>
      <c r="X12" s="37">
        <f t="shared" si="16"/>
        <v>984</v>
      </c>
      <c r="Y12" s="37">
        <f t="shared" si="16"/>
        <v>985</v>
      </c>
      <c r="Z12" s="37">
        <f t="shared" si="16"/>
        <v>986</v>
      </c>
      <c r="AA12" s="37">
        <f t="shared" si="16"/>
        <v>987</v>
      </c>
      <c r="AB12" s="37">
        <f t="shared" si="16"/>
        <v>988</v>
      </c>
      <c r="AC12" s="37">
        <f t="shared" si="16"/>
        <v>989</v>
      </c>
      <c r="AD12" s="38">
        <f t="shared" si="16"/>
        <v>990</v>
      </c>
      <c r="AE12" s="36">
        <f t="shared" si="16"/>
        <v>991</v>
      </c>
      <c r="AF12" s="37">
        <f t="shared" si="16"/>
        <v>992</v>
      </c>
      <c r="AG12" s="37">
        <f t="shared" si="16"/>
        <v>993</v>
      </c>
      <c r="AH12" s="37">
        <f t="shared" si="16"/>
        <v>994</v>
      </c>
      <c r="AI12" s="37">
        <f t="shared" si="16"/>
        <v>995</v>
      </c>
      <c r="AJ12" s="37">
        <f t="shared" si="16"/>
        <v>996</v>
      </c>
      <c r="AK12" s="37">
        <f t="shared" si="16"/>
        <v>997</v>
      </c>
      <c r="AL12" s="37">
        <f t="shared" si="16"/>
        <v>998</v>
      </c>
      <c r="AM12" s="37">
        <f t="shared" si="16"/>
        <v>999</v>
      </c>
      <c r="AN12" s="38">
        <f t="shared" si="16"/>
        <v>1000</v>
      </c>
      <c r="AO12" s="36">
        <f t="shared" si="16"/>
        <v>1001</v>
      </c>
      <c r="AP12" s="37">
        <f t="shared" si="16"/>
        <v>1002</v>
      </c>
      <c r="AQ12" s="37">
        <f t="shared" si="16"/>
        <v>1003</v>
      </c>
      <c r="AR12" s="37">
        <f t="shared" si="16"/>
        <v>1004</v>
      </c>
      <c r="AS12" s="37">
        <f t="shared" si="16"/>
        <v>1005</v>
      </c>
      <c r="AT12" s="37">
        <f t="shared" si="16"/>
        <v>1006</v>
      </c>
      <c r="AU12" s="37">
        <f t="shared" si="16"/>
        <v>1007</v>
      </c>
      <c r="AV12" s="37">
        <f t="shared" si="16"/>
        <v>1008</v>
      </c>
      <c r="AW12" s="37">
        <f t="shared" si="16"/>
        <v>1009</v>
      </c>
      <c r="AX12" s="38">
        <f t="shared" si="16"/>
        <v>1010</v>
      </c>
      <c r="AY12" s="36">
        <f t="shared" si="16"/>
        <v>1011</v>
      </c>
      <c r="AZ12" s="37">
        <f t="shared" si="16"/>
        <v>1012</v>
      </c>
      <c r="BA12" s="37">
        <f t="shared" si="16"/>
        <v>1013</v>
      </c>
      <c r="BB12" s="37">
        <f t="shared" si="16"/>
        <v>1014</v>
      </c>
      <c r="BC12" s="37">
        <f t="shared" si="16"/>
        <v>1015</v>
      </c>
      <c r="BD12" s="37">
        <f t="shared" si="16"/>
        <v>1016</v>
      </c>
      <c r="BE12" s="37">
        <f t="shared" si="16"/>
        <v>1017</v>
      </c>
      <c r="BF12" s="37">
        <f t="shared" si="16"/>
        <v>1018</v>
      </c>
      <c r="BG12" s="37">
        <f t="shared" si="16"/>
        <v>1019</v>
      </c>
      <c r="BH12" s="38">
        <f t="shared" si="16"/>
        <v>1020</v>
      </c>
      <c r="BI12" s="36">
        <f t="shared" si="16"/>
        <v>1021</v>
      </c>
      <c r="BJ12" s="37">
        <f t="shared" si="16"/>
        <v>1022</v>
      </c>
      <c r="BK12" s="37">
        <f t="shared" si="16"/>
        <v>1023</v>
      </c>
      <c r="BL12" s="37">
        <f t="shared" si="16"/>
        <v>1024</v>
      </c>
      <c r="BM12" s="37">
        <f t="shared" si="16"/>
        <v>1025</v>
      </c>
      <c r="BN12" s="37">
        <f t="shared" ref="BN12:DP12" si="17">BM12+1</f>
        <v>1026</v>
      </c>
      <c r="BO12" s="37">
        <f t="shared" si="17"/>
        <v>1027</v>
      </c>
      <c r="BP12" s="37">
        <f t="shared" si="17"/>
        <v>1028</v>
      </c>
      <c r="BQ12" s="37">
        <f t="shared" si="17"/>
        <v>1029</v>
      </c>
      <c r="BR12" s="39">
        <f t="shared" si="17"/>
        <v>1030</v>
      </c>
      <c r="BS12" s="36">
        <f t="shared" si="17"/>
        <v>1031</v>
      </c>
      <c r="BT12" s="37">
        <f t="shared" si="17"/>
        <v>1032</v>
      </c>
      <c r="BU12" s="37">
        <f t="shared" si="17"/>
        <v>1033</v>
      </c>
      <c r="BV12" s="37">
        <f t="shared" si="17"/>
        <v>1034</v>
      </c>
      <c r="BW12" s="37">
        <f t="shared" si="17"/>
        <v>1035</v>
      </c>
      <c r="BX12" s="37">
        <f t="shared" si="17"/>
        <v>1036</v>
      </c>
      <c r="BY12" s="37">
        <f t="shared" si="17"/>
        <v>1037</v>
      </c>
      <c r="BZ12" s="37">
        <f t="shared" si="17"/>
        <v>1038</v>
      </c>
      <c r="CA12" s="37">
        <f t="shared" si="17"/>
        <v>1039</v>
      </c>
      <c r="CB12" s="38">
        <f t="shared" si="17"/>
        <v>1040</v>
      </c>
      <c r="CC12" s="40">
        <f t="shared" si="17"/>
        <v>1041</v>
      </c>
      <c r="CD12" s="37">
        <f t="shared" si="17"/>
        <v>1042</v>
      </c>
      <c r="CE12" s="37">
        <f t="shared" si="17"/>
        <v>1043</v>
      </c>
      <c r="CF12" s="37">
        <f t="shared" si="17"/>
        <v>1044</v>
      </c>
      <c r="CG12" s="37">
        <f t="shared" si="17"/>
        <v>1045</v>
      </c>
      <c r="CH12" s="37">
        <f t="shared" si="17"/>
        <v>1046</v>
      </c>
      <c r="CI12" s="37">
        <f t="shared" si="17"/>
        <v>1047</v>
      </c>
      <c r="CJ12" s="37">
        <f t="shared" si="17"/>
        <v>1048</v>
      </c>
      <c r="CK12" s="37">
        <f t="shared" si="17"/>
        <v>1049</v>
      </c>
      <c r="CL12" s="39">
        <f t="shared" si="17"/>
        <v>1050</v>
      </c>
      <c r="CM12" s="36">
        <f t="shared" si="17"/>
        <v>1051</v>
      </c>
      <c r="CN12" s="37">
        <f t="shared" si="17"/>
        <v>1052</v>
      </c>
      <c r="CO12" s="37">
        <f t="shared" si="17"/>
        <v>1053</v>
      </c>
      <c r="CP12" s="37">
        <f t="shared" si="17"/>
        <v>1054</v>
      </c>
      <c r="CQ12" s="37">
        <f t="shared" si="17"/>
        <v>1055</v>
      </c>
      <c r="CR12" s="37">
        <f t="shared" si="17"/>
        <v>1056</v>
      </c>
      <c r="CS12" s="37">
        <f t="shared" si="17"/>
        <v>1057</v>
      </c>
      <c r="CT12" s="37">
        <f t="shared" si="17"/>
        <v>1058</v>
      </c>
      <c r="CU12" s="37">
        <f t="shared" si="17"/>
        <v>1059</v>
      </c>
      <c r="CV12" s="38">
        <f t="shared" si="17"/>
        <v>1060</v>
      </c>
      <c r="CW12" s="40">
        <f t="shared" si="17"/>
        <v>1061</v>
      </c>
      <c r="CX12" s="37">
        <f t="shared" si="17"/>
        <v>1062</v>
      </c>
      <c r="CY12" s="37">
        <f t="shared" si="17"/>
        <v>1063</v>
      </c>
      <c r="CZ12" s="37">
        <f t="shared" si="17"/>
        <v>1064</v>
      </c>
      <c r="DA12" s="37">
        <f t="shared" si="17"/>
        <v>1065</v>
      </c>
      <c r="DB12" s="37">
        <f t="shared" si="17"/>
        <v>1066</v>
      </c>
      <c r="DC12" s="37">
        <f t="shared" si="17"/>
        <v>1067</v>
      </c>
      <c r="DD12" s="37">
        <f t="shared" si="17"/>
        <v>1068</v>
      </c>
      <c r="DE12" s="37">
        <f t="shared" si="17"/>
        <v>1069</v>
      </c>
      <c r="DF12" s="39">
        <f t="shared" si="17"/>
        <v>1070</v>
      </c>
      <c r="DG12" s="36">
        <f t="shared" si="17"/>
        <v>1071</v>
      </c>
      <c r="DH12" s="37">
        <f t="shared" si="17"/>
        <v>1072</v>
      </c>
      <c r="DI12" s="37">
        <f t="shared" si="17"/>
        <v>1073</v>
      </c>
      <c r="DJ12" s="37">
        <f t="shared" si="17"/>
        <v>1074</v>
      </c>
      <c r="DK12" s="37">
        <f t="shared" si="17"/>
        <v>1075</v>
      </c>
      <c r="DL12" s="37">
        <f t="shared" si="17"/>
        <v>1076</v>
      </c>
      <c r="DM12" s="37">
        <f t="shared" si="17"/>
        <v>1077</v>
      </c>
      <c r="DN12" s="37">
        <f t="shared" si="17"/>
        <v>1078</v>
      </c>
      <c r="DO12" s="37">
        <f t="shared" si="17"/>
        <v>1079</v>
      </c>
      <c r="DP12" s="38">
        <f t="shared" si="17"/>
        <v>1080</v>
      </c>
      <c r="DQ12" s="30"/>
      <c r="DR12" s="537">
        <v>30</v>
      </c>
      <c r="DS12" s="538"/>
      <c r="DT12" s="537">
        <v>3</v>
      </c>
      <c r="DU12" s="538"/>
    </row>
    <row r="13" spans="1:125" ht="6.5" customHeight="1">
      <c r="A13" s="36">
        <v>1081</v>
      </c>
      <c r="B13" s="37">
        <f t="shared" ref="B13:BM16" si="18">A13+1</f>
        <v>1082</v>
      </c>
      <c r="C13" s="37">
        <f t="shared" si="18"/>
        <v>1083</v>
      </c>
      <c r="D13" s="37">
        <f t="shared" si="18"/>
        <v>1084</v>
      </c>
      <c r="E13" s="37">
        <f t="shared" si="18"/>
        <v>1085</v>
      </c>
      <c r="F13" s="37">
        <f t="shared" si="18"/>
        <v>1086</v>
      </c>
      <c r="G13" s="37">
        <f t="shared" si="18"/>
        <v>1087</v>
      </c>
      <c r="H13" s="37">
        <f t="shared" si="18"/>
        <v>1088</v>
      </c>
      <c r="I13" s="37">
        <f t="shared" si="18"/>
        <v>1089</v>
      </c>
      <c r="J13" s="38">
        <f t="shared" si="18"/>
        <v>1090</v>
      </c>
      <c r="K13" s="36">
        <f t="shared" si="18"/>
        <v>1091</v>
      </c>
      <c r="L13" s="37">
        <f t="shared" si="18"/>
        <v>1092</v>
      </c>
      <c r="M13" s="37">
        <f t="shared" si="18"/>
        <v>1093</v>
      </c>
      <c r="N13" s="37">
        <f t="shared" si="18"/>
        <v>1094</v>
      </c>
      <c r="O13" s="37">
        <f t="shared" si="18"/>
        <v>1095</v>
      </c>
      <c r="P13" s="37">
        <f t="shared" si="18"/>
        <v>1096</v>
      </c>
      <c r="Q13" s="37">
        <f t="shared" si="18"/>
        <v>1097</v>
      </c>
      <c r="R13" s="37">
        <f t="shared" si="18"/>
        <v>1098</v>
      </c>
      <c r="S13" s="37">
        <f t="shared" si="18"/>
        <v>1099</v>
      </c>
      <c r="T13" s="38">
        <f t="shared" si="18"/>
        <v>1100</v>
      </c>
      <c r="U13" s="36">
        <f t="shared" si="18"/>
        <v>1101</v>
      </c>
      <c r="V13" s="37">
        <f t="shared" si="18"/>
        <v>1102</v>
      </c>
      <c r="W13" s="37">
        <f t="shared" si="18"/>
        <v>1103</v>
      </c>
      <c r="X13" s="37">
        <f t="shared" si="18"/>
        <v>1104</v>
      </c>
      <c r="Y13" s="37">
        <f t="shared" si="18"/>
        <v>1105</v>
      </c>
      <c r="Z13" s="37">
        <f t="shared" si="18"/>
        <v>1106</v>
      </c>
      <c r="AA13" s="37">
        <f t="shared" si="18"/>
        <v>1107</v>
      </c>
      <c r="AB13" s="37">
        <f t="shared" si="18"/>
        <v>1108</v>
      </c>
      <c r="AC13" s="37">
        <f t="shared" si="18"/>
        <v>1109</v>
      </c>
      <c r="AD13" s="38">
        <f t="shared" si="18"/>
        <v>1110</v>
      </c>
      <c r="AE13" s="36">
        <f t="shared" si="18"/>
        <v>1111</v>
      </c>
      <c r="AF13" s="37">
        <f t="shared" si="18"/>
        <v>1112</v>
      </c>
      <c r="AG13" s="37">
        <f t="shared" si="18"/>
        <v>1113</v>
      </c>
      <c r="AH13" s="37">
        <f t="shared" si="18"/>
        <v>1114</v>
      </c>
      <c r="AI13" s="37">
        <f t="shared" si="18"/>
        <v>1115</v>
      </c>
      <c r="AJ13" s="37">
        <f t="shared" si="18"/>
        <v>1116</v>
      </c>
      <c r="AK13" s="37">
        <f t="shared" si="18"/>
        <v>1117</v>
      </c>
      <c r="AL13" s="37">
        <f t="shared" si="18"/>
        <v>1118</v>
      </c>
      <c r="AM13" s="37">
        <f t="shared" si="18"/>
        <v>1119</v>
      </c>
      <c r="AN13" s="38">
        <f t="shared" si="18"/>
        <v>1120</v>
      </c>
      <c r="AO13" s="36">
        <f t="shared" si="18"/>
        <v>1121</v>
      </c>
      <c r="AP13" s="37">
        <f t="shared" si="18"/>
        <v>1122</v>
      </c>
      <c r="AQ13" s="37">
        <f t="shared" si="18"/>
        <v>1123</v>
      </c>
      <c r="AR13" s="37">
        <f t="shared" si="18"/>
        <v>1124</v>
      </c>
      <c r="AS13" s="37">
        <f t="shared" si="18"/>
        <v>1125</v>
      </c>
      <c r="AT13" s="37">
        <f t="shared" si="18"/>
        <v>1126</v>
      </c>
      <c r="AU13" s="37">
        <f t="shared" si="18"/>
        <v>1127</v>
      </c>
      <c r="AV13" s="37">
        <f t="shared" si="18"/>
        <v>1128</v>
      </c>
      <c r="AW13" s="37">
        <f t="shared" si="18"/>
        <v>1129</v>
      </c>
      <c r="AX13" s="38">
        <f t="shared" si="18"/>
        <v>1130</v>
      </c>
      <c r="AY13" s="36">
        <f t="shared" si="18"/>
        <v>1131</v>
      </c>
      <c r="AZ13" s="37">
        <f t="shared" si="18"/>
        <v>1132</v>
      </c>
      <c r="BA13" s="37">
        <f t="shared" si="18"/>
        <v>1133</v>
      </c>
      <c r="BB13" s="37">
        <f t="shared" si="18"/>
        <v>1134</v>
      </c>
      <c r="BC13" s="37">
        <f t="shared" si="18"/>
        <v>1135</v>
      </c>
      <c r="BD13" s="37">
        <f t="shared" si="18"/>
        <v>1136</v>
      </c>
      <c r="BE13" s="37">
        <f t="shared" si="18"/>
        <v>1137</v>
      </c>
      <c r="BF13" s="37">
        <f t="shared" si="18"/>
        <v>1138</v>
      </c>
      <c r="BG13" s="37">
        <f t="shared" si="18"/>
        <v>1139</v>
      </c>
      <c r="BH13" s="38">
        <f t="shared" si="18"/>
        <v>1140</v>
      </c>
      <c r="BI13" s="36">
        <f t="shared" si="18"/>
        <v>1141</v>
      </c>
      <c r="BJ13" s="37">
        <f t="shared" si="18"/>
        <v>1142</v>
      </c>
      <c r="BK13" s="37">
        <f t="shared" si="18"/>
        <v>1143</v>
      </c>
      <c r="BL13" s="37">
        <f t="shared" si="18"/>
        <v>1144</v>
      </c>
      <c r="BM13" s="37">
        <f t="shared" si="18"/>
        <v>1145</v>
      </c>
      <c r="BN13" s="37">
        <f t="shared" ref="BN13:DP16" si="19">BM13+1</f>
        <v>1146</v>
      </c>
      <c r="BO13" s="37">
        <f t="shared" si="19"/>
        <v>1147</v>
      </c>
      <c r="BP13" s="37">
        <f t="shared" si="19"/>
        <v>1148</v>
      </c>
      <c r="BQ13" s="37">
        <f t="shared" si="19"/>
        <v>1149</v>
      </c>
      <c r="BR13" s="39">
        <f t="shared" si="19"/>
        <v>1150</v>
      </c>
      <c r="BS13" s="36">
        <f t="shared" si="19"/>
        <v>1151</v>
      </c>
      <c r="BT13" s="37">
        <f t="shared" si="19"/>
        <v>1152</v>
      </c>
      <c r="BU13" s="37">
        <f t="shared" si="19"/>
        <v>1153</v>
      </c>
      <c r="BV13" s="37">
        <f t="shared" si="19"/>
        <v>1154</v>
      </c>
      <c r="BW13" s="37">
        <f t="shared" si="19"/>
        <v>1155</v>
      </c>
      <c r="BX13" s="37">
        <f t="shared" si="19"/>
        <v>1156</v>
      </c>
      <c r="BY13" s="37">
        <f t="shared" si="19"/>
        <v>1157</v>
      </c>
      <c r="BZ13" s="37">
        <f t="shared" si="19"/>
        <v>1158</v>
      </c>
      <c r="CA13" s="37">
        <f t="shared" si="19"/>
        <v>1159</v>
      </c>
      <c r="CB13" s="38">
        <f t="shared" si="19"/>
        <v>1160</v>
      </c>
      <c r="CC13" s="40">
        <f t="shared" si="19"/>
        <v>1161</v>
      </c>
      <c r="CD13" s="37">
        <f t="shared" si="19"/>
        <v>1162</v>
      </c>
      <c r="CE13" s="37">
        <f t="shared" si="19"/>
        <v>1163</v>
      </c>
      <c r="CF13" s="37">
        <f t="shared" si="19"/>
        <v>1164</v>
      </c>
      <c r="CG13" s="37">
        <f t="shared" si="19"/>
        <v>1165</v>
      </c>
      <c r="CH13" s="37">
        <f t="shared" si="19"/>
        <v>1166</v>
      </c>
      <c r="CI13" s="37">
        <f t="shared" si="19"/>
        <v>1167</v>
      </c>
      <c r="CJ13" s="37">
        <f t="shared" si="19"/>
        <v>1168</v>
      </c>
      <c r="CK13" s="37">
        <f t="shared" si="19"/>
        <v>1169</v>
      </c>
      <c r="CL13" s="39">
        <f t="shared" si="19"/>
        <v>1170</v>
      </c>
      <c r="CM13" s="36">
        <f t="shared" si="19"/>
        <v>1171</v>
      </c>
      <c r="CN13" s="37">
        <f t="shared" si="19"/>
        <v>1172</v>
      </c>
      <c r="CO13" s="37">
        <f t="shared" si="19"/>
        <v>1173</v>
      </c>
      <c r="CP13" s="37">
        <f t="shared" si="19"/>
        <v>1174</v>
      </c>
      <c r="CQ13" s="37">
        <f t="shared" si="19"/>
        <v>1175</v>
      </c>
      <c r="CR13" s="37">
        <f t="shared" si="19"/>
        <v>1176</v>
      </c>
      <c r="CS13" s="37">
        <f t="shared" si="19"/>
        <v>1177</v>
      </c>
      <c r="CT13" s="37">
        <f t="shared" si="19"/>
        <v>1178</v>
      </c>
      <c r="CU13" s="37">
        <f t="shared" si="19"/>
        <v>1179</v>
      </c>
      <c r="CV13" s="38">
        <f t="shared" si="19"/>
        <v>1180</v>
      </c>
      <c r="CW13" s="40">
        <f t="shared" si="19"/>
        <v>1181</v>
      </c>
      <c r="CX13" s="37">
        <f t="shared" si="19"/>
        <v>1182</v>
      </c>
      <c r="CY13" s="37">
        <f t="shared" si="19"/>
        <v>1183</v>
      </c>
      <c r="CZ13" s="37">
        <f t="shared" si="19"/>
        <v>1184</v>
      </c>
      <c r="DA13" s="37">
        <f t="shared" si="19"/>
        <v>1185</v>
      </c>
      <c r="DB13" s="37">
        <f t="shared" si="19"/>
        <v>1186</v>
      </c>
      <c r="DC13" s="37">
        <f t="shared" si="19"/>
        <v>1187</v>
      </c>
      <c r="DD13" s="37">
        <f t="shared" si="19"/>
        <v>1188</v>
      </c>
      <c r="DE13" s="37">
        <f t="shared" si="19"/>
        <v>1189</v>
      </c>
      <c r="DF13" s="39">
        <f t="shared" si="19"/>
        <v>1190</v>
      </c>
      <c r="DG13" s="36">
        <f t="shared" si="19"/>
        <v>1191</v>
      </c>
      <c r="DH13" s="37">
        <f t="shared" si="19"/>
        <v>1192</v>
      </c>
      <c r="DI13" s="37">
        <f t="shared" si="19"/>
        <v>1193</v>
      </c>
      <c r="DJ13" s="37">
        <f t="shared" si="19"/>
        <v>1194</v>
      </c>
      <c r="DK13" s="37">
        <f t="shared" si="19"/>
        <v>1195</v>
      </c>
      <c r="DL13" s="37">
        <f t="shared" si="19"/>
        <v>1196</v>
      </c>
      <c r="DM13" s="37">
        <f t="shared" si="19"/>
        <v>1197</v>
      </c>
      <c r="DN13" s="37">
        <f t="shared" si="19"/>
        <v>1198</v>
      </c>
      <c r="DO13" s="37">
        <f t="shared" si="19"/>
        <v>1199</v>
      </c>
      <c r="DP13" s="38">
        <f t="shared" si="19"/>
        <v>1200</v>
      </c>
      <c r="DQ13" s="30"/>
      <c r="DR13" s="539"/>
      <c r="DS13" s="540"/>
      <c r="DT13" s="539"/>
      <c r="DU13" s="540"/>
    </row>
    <row r="14" spans="1:125" ht="6.5" customHeight="1">
      <c r="A14" s="36">
        <v>1201</v>
      </c>
      <c r="B14" s="37">
        <f t="shared" si="18"/>
        <v>1202</v>
      </c>
      <c r="C14" s="37">
        <f t="shared" si="18"/>
        <v>1203</v>
      </c>
      <c r="D14" s="37">
        <f t="shared" si="18"/>
        <v>1204</v>
      </c>
      <c r="E14" s="37">
        <f t="shared" si="18"/>
        <v>1205</v>
      </c>
      <c r="F14" s="37">
        <f t="shared" si="18"/>
        <v>1206</v>
      </c>
      <c r="G14" s="37">
        <f t="shared" si="18"/>
        <v>1207</v>
      </c>
      <c r="H14" s="37">
        <f t="shared" si="18"/>
        <v>1208</v>
      </c>
      <c r="I14" s="37">
        <f t="shared" si="18"/>
        <v>1209</v>
      </c>
      <c r="J14" s="38">
        <f t="shared" si="18"/>
        <v>1210</v>
      </c>
      <c r="K14" s="36">
        <f t="shared" si="18"/>
        <v>1211</v>
      </c>
      <c r="L14" s="37">
        <f t="shared" si="18"/>
        <v>1212</v>
      </c>
      <c r="M14" s="37">
        <f t="shared" si="18"/>
        <v>1213</v>
      </c>
      <c r="N14" s="37">
        <f t="shared" si="18"/>
        <v>1214</v>
      </c>
      <c r="O14" s="37">
        <f t="shared" si="18"/>
        <v>1215</v>
      </c>
      <c r="P14" s="37">
        <f t="shared" si="18"/>
        <v>1216</v>
      </c>
      <c r="Q14" s="37">
        <f t="shared" si="18"/>
        <v>1217</v>
      </c>
      <c r="R14" s="37">
        <f t="shared" si="18"/>
        <v>1218</v>
      </c>
      <c r="S14" s="37">
        <f t="shared" si="18"/>
        <v>1219</v>
      </c>
      <c r="T14" s="38">
        <f t="shared" si="18"/>
        <v>1220</v>
      </c>
      <c r="U14" s="36">
        <f t="shared" si="18"/>
        <v>1221</v>
      </c>
      <c r="V14" s="37">
        <f t="shared" si="18"/>
        <v>1222</v>
      </c>
      <c r="W14" s="37">
        <f t="shared" si="18"/>
        <v>1223</v>
      </c>
      <c r="X14" s="37">
        <f t="shared" si="18"/>
        <v>1224</v>
      </c>
      <c r="Y14" s="37">
        <f t="shared" si="18"/>
        <v>1225</v>
      </c>
      <c r="Z14" s="37">
        <f t="shared" si="18"/>
        <v>1226</v>
      </c>
      <c r="AA14" s="37">
        <f t="shared" si="18"/>
        <v>1227</v>
      </c>
      <c r="AB14" s="37">
        <f t="shared" si="18"/>
        <v>1228</v>
      </c>
      <c r="AC14" s="37">
        <f t="shared" si="18"/>
        <v>1229</v>
      </c>
      <c r="AD14" s="38">
        <f t="shared" si="18"/>
        <v>1230</v>
      </c>
      <c r="AE14" s="36">
        <f t="shared" si="18"/>
        <v>1231</v>
      </c>
      <c r="AF14" s="37">
        <f t="shared" si="18"/>
        <v>1232</v>
      </c>
      <c r="AG14" s="37">
        <f t="shared" si="18"/>
        <v>1233</v>
      </c>
      <c r="AH14" s="37">
        <f t="shared" si="18"/>
        <v>1234</v>
      </c>
      <c r="AI14" s="37">
        <f t="shared" si="18"/>
        <v>1235</v>
      </c>
      <c r="AJ14" s="37">
        <f t="shared" si="18"/>
        <v>1236</v>
      </c>
      <c r="AK14" s="37">
        <f t="shared" si="18"/>
        <v>1237</v>
      </c>
      <c r="AL14" s="37">
        <f t="shared" si="18"/>
        <v>1238</v>
      </c>
      <c r="AM14" s="37">
        <f t="shared" si="18"/>
        <v>1239</v>
      </c>
      <c r="AN14" s="38">
        <f t="shared" si="18"/>
        <v>1240</v>
      </c>
      <c r="AO14" s="36">
        <f t="shared" si="18"/>
        <v>1241</v>
      </c>
      <c r="AP14" s="37">
        <f t="shared" si="18"/>
        <v>1242</v>
      </c>
      <c r="AQ14" s="37">
        <f t="shared" si="18"/>
        <v>1243</v>
      </c>
      <c r="AR14" s="37">
        <f t="shared" si="18"/>
        <v>1244</v>
      </c>
      <c r="AS14" s="37">
        <f t="shared" si="18"/>
        <v>1245</v>
      </c>
      <c r="AT14" s="37">
        <f t="shared" si="18"/>
        <v>1246</v>
      </c>
      <c r="AU14" s="37">
        <f t="shared" si="18"/>
        <v>1247</v>
      </c>
      <c r="AV14" s="37">
        <f t="shared" si="18"/>
        <v>1248</v>
      </c>
      <c r="AW14" s="37">
        <f t="shared" si="18"/>
        <v>1249</v>
      </c>
      <c r="AX14" s="38">
        <f t="shared" si="18"/>
        <v>1250</v>
      </c>
      <c r="AY14" s="36">
        <f t="shared" si="18"/>
        <v>1251</v>
      </c>
      <c r="AZ14" s="37">
        <f t="shared" si="18"/>
        <v>1252</v>
      </c>
      <c r="BA14" s="37">
        <f t="shared" si="18"/>
        <v>1253</v>
      </c>
      <c r="BB14" s="37">
        <f t="shared" si="18"/>
        <v>1254</v>
      </c>
      <c r="BC14" s="37">
        <f t="shared" si="18"/>
        <v>1255</v>
      </c>
      <c r="BD14" s="37">
        <f t="shared" si="18"/>
        <v>1256</v>
      </c>
      <c r="BE14" s="37">
        <f t="shared" si="18"/>
        <v>1257</v>
      </c>
      <c r="BF14" s="37">
        <f t="shared" si="18"/>
        <v>1258</v>
      </c>
      <c r="BG14" s="37">
        <f t="shared" si="18"/>
        <v>1259</v>
      </c>
      <c r="BH14" s="38">
        <f t="shared" si="18"/>
        <v>1260</v>
      </c>
      <c r="BI14" s="36">
        <f t="shared" si="18"/>
        <v>1261</v>
      </c>
      <c r="BJ14" s="37">
        <f t="shared" si="18"/>
        <v>1262</v>
      </c>
      <c r="BK14" s="37">
        <f t="shared" si="18"/>
        <v>1263</v>
      </c>
      <c r="BL14" s="37">
        <f t="shared" si="18"/>
        <v>1264</v>
      </c>
      <c r="BM14" s="37">
        <f t="shared" si="18"/>
        <v>1265</v>
      </c>
      <c r="BN14" s="37">
        <f t="shared" si="19"/>
        <v>1266</v>
      </c>
      <c r="BO14" s="37">
        <f t="shared" si="19"/>
        <v>1267</v>
      </c>
      <c r="BP14" s="37">
        <f t="shared" si="19"/>
        <v>1268</v>
      </c>
      <c r="BQ14" s="37">
        <f t="shared" si="19"/>
        <v>1269</v>
      </c>
      <c r="BR14" s="39">
        <f t="shared" si="19"/>
        <v>1270</v>
      </c>
      <c r="BS14" s="36">
        <f t="shared" si="19"/>
        <v>1271</v>
      </c>
      <c r="BT14" s="37">
        <f t="shared" si="19"/>
        <v>1272</v>
      </c>
      <c r="BU14" s="37">
        <f t="shared" si="19"/>
        <v>1273</v>
      </c>
      <c r="BV14" s="37">
        <f t="shared" si="19"/>
        <v>1274</v>
      </c>
      <c r="BW14" s="37">
        <f t="shared" si="19"/>
        <v>1275</v>
      </c>
      <c r="BX14" s="37">
        <f t="shared" si="19"/>
        <v>1276</v>
      </c>
      <c r="BY14" s="37">
        <f t="shared" si="19"/>
        <v>1277</v>
      </c>
      <c r="BZ14" s="37">
        <f t="shared" si="19"/>
        <v>1278</v>
      </c>
      <c r="CA14" s="37">
        <f t="shared" si="19"/>
        <v>1279</v>
      </c>
      <c r="CB14" s="38">
        <f t="shared" si="19"/>
        <v>1280</v>
      </c>
      <c r="CC14" s="40">
        <f t="shared" si="19"/>
        <v>1281</v>
      </c>
      <c r="CD14" s="37">
        <f t="shared" si="19"/>
        <v>1282</v>
      </c>
      <c r="CE14" s="37">
        <f t="shared" si="19"/>
        <v>1283</v>
      </c>
      <c r="CF14" s="37">
        <f t="shared" si="19"/>
        <v>1284</v>
      </c>
      <c r="CG14" s="37">
        <f t="shared" si="19"/>
        <v>1285</v>
      </c>
      <c r="CH14" s="37">
        <f t="shared" si="19"/>
        <v>1286</v>
      </c>
      <c r="CI14" s="37">
        <f t="shared" si="19"/>
        <v>1287</v>
      </c>
      <c r="CJ14" s="37">
        <f t="shared" si="19"/>
        <v>1288</v>
      </c>
      <c r="CK14" s="37">
        <f t="shared" si="19"/>
        <v>1289</v>
      </c>
      <c r="CL14" s="39">
        <f t="shared" si="19"/>
        <v>1290</v>
      </c>
      <c r="CM14" s="36">
        <f t="shared" si="19"/>
        <v>1291</v>
      </c>
      <c r="CN14" s="37">
        <f t="shared" si="19"/>
        <v>1292</v>
      </c>
      <c r="CO14" s="37">
        <f t="shared" si="19"/>
        <v>1293</v>
      </c>
      <c r="CP14" s="37">
        <f t="shared" si="19"/>
        <v>1294</v>
      </c>
      <c r="CQ14" s="37">
        <f t="shared" si="19"/>
        <v>1295</v>
      </c>
      <c r="CR14" s="37">
        <f t="shared" si="19"/>
        <v>1296</v>
      </c>
      <c r="CS14" s="37">
        <f t="shared" si="19"/>
        <v>1297</v>
      </c>
      <c r="CT14" s="37">
        <f t="shared" si="19"/>
        <v>1298</v>
      </c>
      <c r="CU14" s="37">
        <f t="shared" si="19"/>
        <v>1299</v>
      </c>
      <c r="CV14" s="38">
        <f t="shared" si="19"/>
        <v>1300</v>
      </c>
      <c r="CW14" s="40">
        <f t="shared" si="19"/>
        <v>1301</v>
      </c>
      <c r="CX14" s="37">
        <f t="shared" si="19"/>
        <v>1302</v>
      </c>
      <c r="CY14" s="37">
        <f t="shared" si="19"/>
        <v>1303</v>
      </c>
      <c r="CZ14" s="37">
        <f t="shared" si="19"/>
        <v>1304</v>
      </c>
      <c r="DA14" s="37">
        <f t="shared" si="19"/>
        <v>1305</v>
      </c>
      <c r="DB14" s="37">
        <f t="shared" si="19"/>
        <v>1306</v>
      </c>
      <c r="DC14" s="37">
        <f t="shared" si="19"/>
        <v>1307</v>
      </c>
      <c r="DD14" s="37">
        <f t="shared" si="19"/>
        <v>1308</v>
      </c>
      <c r="DE14" s="37">
        <f t="shared" si="19"/>
        <v>1309</v>
      </c>
      <c r="DF14" s="39">
        <f t="shared" si="19"/>
        <v>1310</v>
      </c>
      <c r="DG14" s="36">
        <f t="shared" si="19"/>
        <v>1311</v>
      </c>
      <c r="DH14" s="37">
        <f t="shared" si="19"/>
        <v>1312</v>
      </c>
      <c r="DI14" s="37">
        <f t="shared" si="19"/>
        <v>1313</v>
      </c>
      <c r="DJ14" s="37">
        <f t="shared" si="19"/>
        <v>1314</v>
      </c>
      <c r="DK14" s="37">
        <f t="shared" si="19"/>
        <v>1315</v>
      </c>
      <c r="DL14" s="37">
        <f t="shared" si="19"/>
        <v>1316</v>
      </c>
      <c r="DM14" s="37">
        <f t="shared" si="19"/>
        <v>1317</v>
      </c>
      <c r="DN14" s="37">
        <f t="shared" si="19"/>
        <v>1318</v>
      </c>
      <c r="DO14" s="37">
        <f t="shared" si="19"/>
        <v>1319</v>
      </c>
      <c r="DP14" s="38">
        <f t="shared" si="19"/>
        <v>1320</v>
      </c>
      <c r="DR14" s="537">
        <v>40</v>
      </c>
      <c r="DS14" s="538"/>
      <c r="DT14" s="537">
        <v>4</v>
      </c>
      <c r="DU14" s="538"/>
    </row>
    <row r="15" spans="1:125" ht="6.5" customHeight="1">
      <c r="A15" s="36">
        <v>1321</v>
      </c>
      <c r="B15" s="37">
        <f t="shared" si="18"/>
        <v>1322</v>
      </c>
      <c r="C15" s="37">
        <f t="shared" si="18"/>
        <v>1323</v>
      </c>
      <c r="D15" s="37">
        <f t="shared" si="18"/>
        <v>1324</v>
      </c>
      <c r="E15" s="37">
        <f t="shared" si="18"/>
        <v>1325</v>
      </c>
      <c r="F15" s="37">
        <f t="shared" si="18"/>
        <v>1326</v>
      </c>
      <c r="G15" s="37">
        <f t="shared" si="18"/>
        <v>1327</v>
      </c>
      <c r="H15" s="37">
        <f t="shared" si="18"/>
        <v>1328</v>
      </c>
      <c r="I15" s="37">
        <f t="shared" si="18"/>
        <v>1329</v>
      </c>
      <c r="J15" s="38">
        <f t="shared" si="18"/>
        <v>1330</v>
      </c>
      <c r="K15" s="36">
        <f t="shared" si="18"/>
        <v>1331</v>
      </c>
      <c r="L15" s="37">
        <f t="shared" si="18"/>
        <v>1332</v>
      </c>
      <c r="M15" s="37">
        <f t="shared" si="18"/>
        <v>1333</v>
      </c>
      <c r="N15" s="37">
        <f t="shared" si="18"/>
        <v>1334</v>
      </c>
      <c r="O15" s="37">
        <f t="shared" si="18"/>
        <v>1335</v>
      </c>
      <c r="P15" s="37">
        <f t="shared" si="18"/>
        <v>1336</v>
      </c>
      <c r="Q15" s="37">
        <f t="shared" si="18"/>
        <v>1337</v>
      </c>
      <c r="R15" s="37">
        <f t="shared" si="18"/>
        <v>1338</v>
      </c>
      <c r="S15" s="37">
        <f t="shared" si="18"/>
        <v>1339</v>
      </c>
      <c r="T15" s="38">
        <f t="shared" si="18"/>
        <v>1340</v>
      </c>
      <c r="U15" s="36">
        <f t="shared" si="18"/>
        <v>1341</v>
      </c>
      <c r="V15" s="37">
        <f t="shared" si="18"/>
        <v>1342</v>
      </c>
      <c r="W15" s="37">
        <f t="shared" si="18"/>
        <v>1343</v>
      </c>
      <c r="X15" s="37">
        <f t="shared" si="18"/>
        <v>1344</v>
      </c>
      <c r="Y15" s="37">
        <f t="shared" si="18"/>
        <v>1345</v>
      </c>
      <c r="Z15" s="37">
        <f t="shared" si="18"/>
        <v>1346</v>
      </c>
      <c r="AA15" s="37">
        <f t="shared" si="18"/>
        <v>1347</v>
      </c>
      <c r="AB15" s="37">
        <f t="shared" si="18"/>
        <v>1348</v>
      </c>
      <c r="AC15" s="37">
        <f t="shared" si="18"/>
        <v>1349</v>
      </c>
      <c r="AD15" s="38">
        <f t="shared" si="18"/>
        <v>1350</v>
      </c>
      <c r="AE15" s="36">
        <f t="shared" si="18"/>
        <v>1351</v>
      </c>
      <c r="AF15" s="37">
        <f t="shared" si="18"/>
        <v>1352</v>
      </c>
      <c r="AG15" s="37">
        <f t="shared" si="18"/>
        <v>1353</v>
      </c>
      <c r="AH15" s="37">
        <f t="shared" si="18"/>
        <v>1354</v>
      </c>
      <c r="AI15" s="37">
        <f t="shared" si="18"/>
        <v>1355</v>
      </c>
      <c r="AJ15" s="37">
        <f t="shared" si="18"/>
        <v>1356</v>
      </c>
      <c r="AK15" s="37">
        <f t="shared" si="18"/>
        <v>1357</v>
      </c>
      <c r="AL15" s="37">
        <f t="shared" si="18"/>
        <v>1358</v>
      </c>
      <c r="AM15" s="37">
        <f t="shared" si="18"/>
        <v>1359</v>
      </c>
      <c r="AN15" s="38">
        <f t="shared" si="18"/>
        <v>1360</v>
      </c>
      <c r="AO15" s="36">
        <f t="shared" si="18"/>
        <v>1361</v>
      </c>
      <c r="AP15" s="37">
        <f t="shared" si="18"/>
        <v>1362</v>
      </c>
      <c r="AQ15" s="37">
        <f t="shared" si="18"/>
        <v>1363</v>
      </c>
      <c r="AR15" s="37">
        <f t="shared" si="18"/>
        <v>1364</v>
      </c>
      <c r="AS15" s="37">
        <f t="shared" si="18"/>
        <v>1365</v>
      </c>
      <c r="AT15" s="37">
        <f t="shared" si="18"/>
        <v>1366</v>
      </c>
      <c r="AU15" s="37">
        <f t="shared" si="18"/>
        <v>1367</v>
      </c>
      <c r="AV15" s="37">
        <f t="shared" si="18"/>
        <v>1368</v>
      </c>
      <c r="AW15" s="37">
        <f t="shared" si="18"/>
        <v>1369</v>
      </c>
      <c r="AX15" s="38">
        <f t="shared" si="18"/>
        <v>1370</v>
      </c>
      <c r="AY15" s="36">
        <f t="shared" si="18"/>
        <v>1371</v>
      </c>
      <c r="AZ15" s="37">
        <f t="shared" si="18"/>
        <v>1372</v>
      </c>
      <c r="BA15" s="37">
        <f t="shared" si="18"/>
        <v>1373</v>
      </c>
      <c r="BB15" s="37">
        <f t="shared" si="18"/>
        <v>1374</v>
      </c>
      <c r="BC15" s="37">
        <f t="shared" si="18"/>
        <v>1375</v>
      </c>
      <c r="BD15" s="37">
        <f t="shared" si="18"/>
        <v>1376</v>
      </c>
      <c r="BE15" s="37">
        <f t="shared" si="18"/>
        <v>1377</v>
      </c>
      <c r="BF15" s="37">
        <f t="shared" si="18"/>
        <v>1378</v>
      </c>
      <c r="BG15" s="37">
        <f t="shared" si="18"/>
        <v>1379</v>
      </c>
      <c r="BH15" s="38">
        <f t="shared" si="18"/>
        <v>1380</v>
      </c>
      <c r="BI15" s="36">
        <f t="shared" si="18"/>
        <v>1381</v>
      </c>
      <c r="BJ15" s="37">
        <f t="shared" si="18"/>
        <v>1382</v>
      </c>
      <c r="BK15" s="37">
        <f t="shared" si="18"/>
        <v>1383</v>
      </c>
      <c r="BL15" s="37">
        <f t="shared" si="18"/>
        <v>1384</v>
      </c>
      <c r="BM15" s="37">
        <f t="shared" si="18"/>
        <v>1385</v>
      </c>
      <c r="BN15" s="37">
        <f t="shared" si="19"/>
        <v>1386</v>
      </c>
      <c r="BO15" s="37">
        <f t="shared" si="19"/>
        <v>1387</v>
      </c>
      <c r="BP15" s="37">
        <f t="shared" si="19"/>
        <v>1388</v>
      </c>
      <c r="BQ15" s="37">
        <f t="shared" si="19"/>
        <v>1389</v>
      </c>
      <c r="BR15" s="39">
        <f t="shared" si="19"/>
        <v>1390</v>
      </c>
      <c r="BS15" s="36">
        <f t="shared" si="19"/>
        <v>1391</v>
      </c>
      <c r="BT15" s="37">
        <f t="shared" si="19"/>
        <v>1392</v>
      </c>
      <c r="BU15" s="37">
        <f t="shared" si="19"/>
        <v>1393</v>
      </c>
      <c r="BV15" s="37">
        <f t="shared" si="19"/>
        <v>1394</v>
      </c>
      <c r="BW15" s="37">
        <f t="shared" si="19"/>
        <v>1395</v>
      </c>
      <c r="BX15" s="37">
        <f t="shared" si="19"/>
        <v>1396</v>
      </c>
      <c r="BY15" s="37">
        <f t="shared" si="19"/>
        <v>1397</v>
      </c>
      <c r="BZ15" s="37">
        <f t="shared" si="19"/>
        <v>1398</v>
      </c>
      <c r="CA15" s="37">
        <f t="shared" si="19"/>
        <v>1399</v>
      </c>
      <c r="CB15" s="38">
        <f t="shared" si="19"/>
        <v>1400</v>
      </c>
      <c r="CC15" s="40">
        <f t="shared" si="19"/>
        <v>1401</v>
      </c>
      <c r="CD15" s="37">
        <f t="shared" si="19"/>
        <v>1402</v>
      </c>
      <c r="CE15" s="37">
        <f t="shared" si="19"/>
        <v>1403</v>
      </c>
      <c r="CF15" s="37">
        <f t="shared" si="19"/>
        <v>1404</v>
      </c>
      <c r="CG15" s="37">
        <f t="shared" si="19"/>
        <v>1405</v>
      </c>
      <c r="CH15" s="37">
        <f t="shared" si="19"/>
        <v>1406</v>
      </c>
      <c r="CI15" s="37">
        <f t="shared" si="19"/>
        <v>1407</v>
      </c>
      <c r="CJ15" s="37">
        <f t="shared" si="19"/>
        <v>1408</v>
      </c>
      <c r="CK15" s="37">
        <f t="shared" si="19"/>
        <v>1409</v>
      </c>
      <c r="CL15" s="39">
        <f t="shared" si="19"/>
        <v>1410</v>
      </c>
      <c r="CM15" s="36">
        <f t="shared" si="19"/>
        <v>1411</v>
      </c>
      <c r="CN15" s="37">
        <f t="shared" si="19"/>
        <v>1412</v>
      </c>
      <c r="CO15" s="37">
        <f t="shared" si="19"/>
        <v>1413</v>
      </c>
      <c r="CP15" s="37">
        <f t="shared" si="19"/>
        <v>1414</v>
      </c>
      <c r="CQ15" s="37">
        <f t="shared" si="19"/>
        <v>1415</v>
      </c>
      <c r="CR15" s="37">
        <f t="shared" si="19"/>
        <v>1416</v>
      </c>
      <c r="CS15" s="37">
        <f t="shared" si="19"/>
        <v>1417</v>
      </c>
      <c r="CT15" s="37">
        <f t="shared" si="19"/>
        <v>1418</v>
      </c>
      <c r="CU15" s="37">
        <f t="shared" si="19"/>
        <v>1419</v>
      </c>
      <c r="CV15" s="38">
        <f t="shared" si="19"/>
        <v>1420</v>
      </c>
      <c r="CW15" s="40">
        <f t="shared" si="19"/>
        <v>1421</v>
      </c>
      <c r="CX15" s="37">
        <f t="shared" si="19"/>
        <v>1422</v>
      </c>
      <c r="CY15" s="37">
        <f t="shared" si="19"/>
        <v>1423</v>
      </c>
      <c r="CZ15" s="37">
        <f t="shared" si="19"/>
        <v>1424</v>
      </c>
      <c r="DA15" s="37">
        <f t="shared" si="19"/>
        <v>1425</v>
      </c>
      <c r="DB15" s="37">
        <f t="shared" si="19"/>
        <v>1426</v>
      </c>
      <c r="DC15" s="37">
        <f t="shared" si="19"/>
        <v>1427</v>
      </c>
      <c r="DD15" s="37">
        <f t="shared" si="19"/>
        <v>1428</v>
      </c>
      <c r="DE15" s="37">
        <f t="shared" si="19"/>
        <v>1429</v>
      </c>
      <c r="DF15" s="39">
        <f t="shared" si="19"/>
        <v>1430</v>
      </c>
      <c r="DG15" s="36">
        <f t="shared" si="19"/>
        <v>1431</v>
      </c>
      <c r="DH15" s="37">
        <f t="shared" si="19"/>
        <v>1432</v>
      </c>
      <c r="DI15" s="37">
        <f t="shared" si="19"/>
        <v>1433</v>
      </c>
      <c r="DJ15" s="37">
        <f t="shared" si="19"/>
        <v>1434</v>
      </c>
      <c r="DK15" s="37">
        <f t="shared" si="19"/>
        <v>1435</v>
      </c>
      <c r="DL15" s="37">
        <f t="shared" si="19"/>
        <v>1436</v>
      </c>
      <c r="DM15" s="37">
        <f t="shared" si="19"/>
        <v>1437</v>
      </c>
      <c r="DN15" s="37">
        <f t="shared" si="19"/>
        <v>1438</v>
      </c>
      <c r="DO15" s="37">
        <f t="shared" si="19"/>
        <v>1439</v>
      </c>
      <c r="DP15" s="38">
        <f t="shared" si="19"/>
        <v>1440</v>
      </c>
      <c r="DR15" s="539"/>
      <c r="DS15" s="540"/>
      <c r="DT15" s="539"/>
      <c r="DU15" s="540"/>
    </row>
    <row r="16" spans="1:125" ht="6.5" customHeight="1">
      <c r="A16" s="36">
        <v>1441</v>
      </c>
      <c r="B16" s="37">
        <f t="shared" si="18"/>
        <v>1442</v>
      </c>
      <c r="C16" s="37">
        <f t="shared" si="18"/>
        <v>1443</v>
      </c>
      <c r="D16" s="37">
        <f t="shared" si="18"/>
        <v>1444</v>
      </c>
      <c r="E16" s="37">
        <f t="shared" si="18"/>
        <v>1445</v>
      </c>
      <c r="F16" s="37">
        <f t="shared" si="18"/>
        <v>1446</v>
      </c>
      <c r="G16" s="37">
        <f t="shared" si="18"/>
        <v>1447</v>
      </c>
      <c r="H16" s="37">
        <f t="shared" si="18"/>
        <v>1448</v>
      </c>
      <c r="I16" s="37">
        <f t="shared" si="18"/>
        <v>1449</v>
      </c>
      <c r="J16" s="38">
        <f t="shared" si="18"/>
        <v>1450</v>
      </c>
      <c r="K16" s="36">
        <f t="shared" si="18"/>
        <v>1451</v>
      </c>
      <c r="L16" s="37">
        <f t="shared" si="18"/>
        <v>1452</v>
      </c>
      <c r="M16" s="37">
        <f t="shared" si="18"/>
        <v>1453</v>
      </c>
      <c r="N16" s="37">
        <f t="shared" si="18"/>
        <v>1454</v>
      </c>
      <c r="O16" s="37">
        <f t="shared" si="18"/>
        <v>1455</v>
      </c>
      <c r="P16" s="37">
        <f t="shared" si="18"/>
        <v>1456</v>
      </c>
      <c r="Q16" s="37">
        <f t="shared" si="18"/>
        <v>1457</v>
      </c>
      <c r="R16" s="37">
        <f t="shared" si="18"/>
        <v>1458</v>
      </c>
      <c r="S16" s="37">
        <f t="shared" si="18"/>
        <v>1459</v>
      </c>
      <c r="T16" s="38">
        <f t="shared" si="18"/>
        <v>1460</v>
      </c>
      <c r="U16" s="36">
        <f t="shared" si="18"/>
        <v>1461</v>
      </c>
      <c r="V16" s="37">
        <f t="shared" si="18"/>
        <v>1462</v>
      </c>
      <c r="W16" s="37">
        <f t="shared" si="18"/>
        <v>1463</v>
      </c>
      <c r="X16" s="37">
        <f t="shared" si="18"/>
        <v>1464</v>
      </c>
      <c r="Y16" s="37">
        <f t="shared" si="18"/>
        <v>1465</v>
      </c>
      <c r="Z16" s="37">
        <f t="shared" si="18"/>
        <v>1466</v>
      </c>
      <c r="AA16" s="37">
        <f t="shared" si="18"/>
        <v>1467</v>
      </c>
      <c r="AB16" s="37">
        <f t="shared" si="18"/>
        <v>1468</v>
      </c>
      <c r="AC16" s="37">
        <f t="shared" si="18"/>
        <v>1469</v>
      </c>
      <c r="AD16" s="38">
        <f t="shared" si="18"/>
        <v>1470</v>
      </c>
      <c r="AE16" s="36">
        <f t="shared" si="18"/>
        <v>1471</v>
      </c>
      <c r="AF16" s="37">
        <f t="shared" si="18"/>
        <v>1472</v>
      </c>
      <c r="AG16" s="37">
        <f t="shared" si="18"/>
        <v>1473</v>
      </c>
      <c r="AH16" s="37">
        <f t="shared" si="18"/>
        <v>1474</v>
      </c>
      <c r="AI16" s="37">
        <f t="shared" si="18"/>
        <v>1475</v>
      </c>
      <c r="AJ16" s="37">
        <f t="shared" si="18"/>
        <v>1476</v>
      </c>
      <c r="AK16" s="37">
        <f t="shared" si="18"/>
        <v>1477</v>
      </c>
      <c r="AL16" s="37">
        <f t="shared" si="18"/>
        <v>1478</v>
      </c>
      <c r="AM16" s="37">
        <f t="shared" si="18"/>
        <v>1479</v>
      </c>
      <c r="AN16" s="38">
        <f t="shared" si="18"/>
        <v>1480</v>
      </c>
      <c r="AO16" s="36">
        <f t="shared" si="18"/>
        <v>1481</v>
      </c>
      <c r="AP16" s="37">
        <f t="shared" si="18"/>
        <v>1482</v>
      </c>
      <c r="AQ16" s="37">
        <f t="shared" si="18"/>
        <v>1483</v>
      </c>
      <c r="AR16" s="37">
        <f t="shared" si="18"/>
        <v>1484</v>
      </c>
      <c r="AS16" s="37">
        <f t="shared" si="18"/>
        <v>1485</v>
      </c>
      <c r="AT16" s="37">
        <f t="shared" si="18"/>
        <v>1486</v>
      </c>
      <c r="AU16" s="37">
        <f t="shared" si="18"/>
        <v>1487</v>
      </c>
      <c r="AV16" s="37">
        <f t="shared" si="18"/>
        <v>1488</v>
      </c>
      <c r="AW16" s="37">
        <f t="shared" si="18"/>
        <v>1489</v>
      </c>
      <c r="AX16" s="38">
        <f t="shared" si="18"/>
        <v>1490</v>
      </c>
      <c r="AY16" s="36">
        <f t="shared" si="18"/>
        <v>1491</v>
      </c>
      <c r="AZ16" s="37">
        <f t="shared" si="18"/>
        <v>1492</v>
      </c>
      <c r="BA16" s="37">
        <f t="shared" si="18"/>
        <v>1493</v>
      </c>
      <c r="BB16" s="37">
        <f t="shared" si="18"/>
        <v>1494</v>
      </c>
      <c r="BC16" s="37">
        <f t="shared" si="18"/>
        <v>1495</v>
      </c>
      <c r="BD16" s="37">
        <f t="shared" si="18"/>
        <v>1496</v>
      </c>
      <c r="BE16" s="37">
        <f t="shared" si="18"/>
        <v>1497</v>
      </c>
      <c r="BF16" s="37">
        <f t="shared" si="18"/>
        <v>1498</v>
      </c>
      <c r="BG16" s="37">
        <f t="shared" si="18"/>
        <v>1499</v>
      </c>
      <c r="BH16" s="38">
        <f t="shared" si="18"/>
        <v>1500</v>
      </c>
      <c r="BI16" s="36">
        <f t="shared" si="18"/>
        <v>1501</v>
      </c>
      <c r="BJ16" s="37">
        <f t="shared" si="18"/>
        <v>1502</v>
      </c>
      <c r="BK16" s="37">
        <f t="shared" si="18"/>
        <v>1503</v>
      </c>
      <c r="BL16" s="37">
        <f t="shared" si="18"/>
        <v>1504</v>
      </c>
      <c r="BM16" s="37">
        <f t="shared" ref="BM16" si="20">BL16+1</f>
        <v>1505</v>
      </c>
      <c r="BN16" s="37">
        <f t="shared" si="19"/>
        <v>1506</v>
      </c>
      <c r="BO16" s="37">
        <f t="shared" si="19"/>
        <v>1507</v>
      </c>
      <c r="BP16" s="37">
        <f t="shared" si="19"/>
        <v>1508</v>
      </c>
      <c r="BQ16" s="37">
        <f t="shared" si="19"/>
        <v>1509</v>
      </c>
      <c r="BR16" s="39">
        <f t="shared" si="19"/>
        <v>1510</v>
      </c>
      <c r="BS16" s="36">
        <f t="shared" si="19"/>
        <v>1511</v>
      </c>
      <c r="BT16" s="37">
        <f t="shared" si="19"/>
        <v>1512</v>
      </c>
      <c r="BU16" s="37">
        <f t="shared" si="19"/>
        <v>1513</v>
      </c>
      <c r="BV16" s="37">
        <f t="shared" si="19"/>
        <v>1514</v>
      </c>
      <c r="BW16" s="37">
        <f t="shared" si="19"/>
        <v>1515</v>
      </c>
      <c r="BX16" s="37">
        <f t="shared" si="19"/>
        <v>1516</v>
      </c>
      <c r="BY16" s="37">
        <f t="shared" si="19"/>
        <v>1517</v>
      </c>
      <c r="BZ16" s="37">
        <f t="shared" si="19"/>
        <v>1518</v>
      </c>
      <c r="CA16" s="37">
        <f t="shared" si="19"/>
        <v>1519</v>
      </c>
      <c r="CB16" s="38">
        <f t="shared" si="19"/>
        <v>1520</v>
      </c>
      <c r="CC16" s="40">
        <f t="shared" si="19"/>
        <v>1521</v>
      </c>
      <c r="CD16" s="37">
        <f t="shared" si="19"/>
        <v>1522</v>
      </c>
      <c r="CE16" s="37">
        <f t="shared" si="19"/>
        <v>1523</v>
      </c>
      <c r="CF16" s="37">
        <f t="shared" si="19"/>
        <v>1524</v>
      </c>
      <c r="CG16" s="37">
        <f t="shared" si="19"/>
        <v>1525</v>
      </c>
      <c r="CH16" s="37">
        <f t="shared" si="19"/>
        <v>1526</v>
      </c>
      <c r="CI16" s="37">
        <f t="shared" si="19"/>
        <v>1527</v>
      </c>
      <c r="CJ16" s="37">
        <f t="shared" si="19"/>
        <v>1528</v>
      </c>
      <c r="CK16" s="37">
        <f t="shared" si="19"/>
        <v>1529</v>
      </c>
      <c r="CL16" s="39">
        <f t="shared" si="19"/>
        <v>1530</v>
      </c>
      <c r="CM16" s="36">
        <f t="shared" si="19"/>
        <v>1531</v>
      </c>
      <c r="CN16" s="37">
        <f t="shared" si="19"/>
        <v>1532</v>
      </c>
      <c r="CO16" s="37">
        <f t="shared" si="19"/>
        <v>1533</v>
      </c>
      <c r="CP16" s="37">
        <f t="shared" si="19"/>
        <v>1534</v>
      </c>
      <c r="CQ16" s="37">
        <f t="shared" si="19"/>
        <v>1535</v>
      </c>
      <c r="CR16" s="37">
        <f t="shared" si="19"/>
        <v>1536</v>
      </c>
      <c r="CS16" s="37">
        <f t="shared" si="19"/>
        <v>1537</v>
      </c>
      <c r="CT16" s="37">
        <f t="shared" si="19"/>
        <v>1538</v>
      </c>
      <c r="CU16" s="37">
        <f t="shared" si="19"/>
        <v>1539</v>
      </c>
      <c r="CV16" s="38">
        <f t="shared" si="19"/>
        <v>1540</v>
      </c>
      <c r="CW16" s="40">
        <f t="shared" si="19"/>
        <v>1541</v>
      </c>
      <c r="CX16" s="37">
        <f t="shared" si="19"/>
        <v>1542</v>
      </c>
      <c r="CY16" s="37">
        <f t="shared" si="19"/>
        <v>1543</v>
      </c>
      <c r="CZ16" s="37">
        <f t="shared" si="19"/>
        <v>1544</v>
      </c>
      <c r="DA16" s="37">
        <f t="shared" si="19"/>
        <v>1545</v>
      </c>
      <c r="DB16" s="37">
        <f t="shared" si="19"/>
        <v>1546</v>
      </c>
      <c r="DC16" s="37">
        <f t="shared" si="19"/>
        <v>1547</v>
      </c>
      <c r="DD16" s="37">
        <f t="shared" si="19"/>
        <v>1548</v>
      </c>
      <c r="DE16" s="37">
        <f t="shared" si="19"/>
        <v>1549</v>
      </c>
      <c r="DF16" s="39">
        <f t="shared" si="19"/>
        <v>1550</v>
      </c>
      <c r="DG16" s="36">
        <f t="shared" si="19"/>
        <v>1551</v>
      </c>
      <c r="DH16" s="37">
        <f t="shared" si="19"/>
        <v>1552</v>
      </c>
      <c r="DI16" s="37">
        <f t="shared" si="19"/>
        <v>1553</v>
      </c>
      <c r="DJ16" s="37">
        <f t="shared" si="19"/>
        <v>1554</v>
      </c>
      <c r="DK16" s="37">
        <f t="shared" si="19"/>
        <v>1555</v>
      </c>
      <c r="DL16" s="37">
        <f t="shared" si="19"/>
        <v>1556</v>
      </c>
      <c r="DM16" s="37">
        <f t="shared" si="19"/>
        <v>1557</v>
      </c>
      <c r="DN16" s="37">
        <f t="shared" si="19"/>
        <v>1558</v>
      </c>
      <c r="DO16" s="37">
        <f t="shared" si="19"/>
        <v>1559</v>
      </c>
      <c r="DP16" s="38">
        <f t="shared" si="19"/>
        <v>1560</v>
      </c>
      <c r="DR16" s="537">
        <v>50</v>
      </c>
      <c r="DS16" s="538"/>
      <c r="DT16" s="537">
        <v>5</v>
      </c>
      <c r="DU16" s="538"/>
    </row>
    <row r="17" spans="1:126" ht="6.5" customHeight="1">
      <c r="A17" s="36">
        <v>1561</v>
      </c>
      <c r="B17" s="37">
        <f t="shared" ref="B17:Q28" si="21">A17+1</f>
        <v>1562</v>
      </c>
      <c r="C17" s="37">
        <f t="shared" si="21"/>
        <v>1563</v>
      </c>
      <c r="D17" s="37">
        <f t="shared" si="21"/>
        <v>1564</v>
      </c>
      <c r="E17" s="37">
        <f t="shared" si="21"/>
        <v>1565</v>
      </c>
      <c r="F17" s="37">
        <f t="shared" si="21"/>
        <v>1566</v>
      </c>
      <c r="G17" s="37">
        <f t="shared" si="21"/>
        <v>1567</v>
      </c>
      <c r="H17" s="37">
        <f t="shared" si="21"/>
        <v>1568</v>
      </c>
      <c r="I17" s="37">
        <f t="shared" si="21"/>
        <v>1569</v>
      </c>
      <c r="J17" s="38">
        <f t="shared" si="21"/>
        <v>1570</v>
      </c>
      <c r="K17" s="36">
        <f t="shared" si="21"/>
        <v>1571</v>
      </c>
      <c r="L17" s="37">
        <f t="shared" si="21"/>
        <v>1572</v>
      </c>
      <c r="M17" s="37">
        <f t="shared" si="21"/>
        <v>1573</v>
      </c>
      <c r="N17" s="37">
        <f t="shared" si="21"/>
        <v>1574</v>
      </c>
      <c r="O17" s="37">
        <f t="shared" si="21"/>
        <v>1575</v>
      </c>
      <c r="P17" s="37">
        <f t="shared" si="21"/>
        <v>1576</v>
      </c>
      <c r="Q17" s="37">
        <f t="shared" si="21"/>
        <v>1577</v>
      </c>
      <c r="R17" s="37">
        <f t="shared" ref="R17:AG28" si="22">Q17+1</f>
        <v>1578</v>
      </c>
      <c r="S17" s="37">
        <f t="shared" si="22"/>
        <v>1579</v>
      </c>
      <c r="T17" s="38">
        <f t="shared" si="22"/>
        <v>1580</v>
      </c>
      <c r="U17" s="36">
        <f t="shared" si="22"/>
        <v>1581</v>
      </c>
      <c r="V17" s="37">
        <f t="shared" si="22"/>
        <v>1582</v>
      </c>
      <c r="W17" s="37">
        <f t="shared" si="22"/>
        <v>1583</v>
      </c>
      <c r="X17" s="37">
        <f t="shared" si="22"/>
        <v>1584</v>
      </c>
      <c r="Y17" s="37">
        <f t="shared" si="22"/>
        <v>1585</v>
      </c>
      <c r="Z17" s="37">
        <f t="shared" si="22"/>
        <v>1586</v>
      </c>
      <c r="AA17" s="37">
        <f t="shared" si="22"/>
        <v>1587</v>
      </c>
      <c r="AB17" s="37">
        <f t="shared" si="22"/>
        <v>1588</v>
      </c>
      <c r="AC17" s="37">
        <f t="shared" si="22"/>
        <v>1589</v>
      </c>
      <c r="AD17" s="38">
        <f t="shared" si="22"/>
        <v>1590</v>
      </c>
      <c r="AE17" s="36">
        <f t="shared" si="22"/>
        <v>1591</v>
      </c>
      <c r="AF17" s="37">
        <f t="shared" si="22"/>
        <v>1592</v>
      </c>
      <c r="AG17" s="37">
        <f t="shared" si="22"/>
        <v>1593</v>
      </c>
      <c r="AH17" s="37">
        <f t="shared" ref="AH17:AW28" si="23">AG17+1</f>
        <v>1594</v>
      </c>
      <c r="AI17" s="37">
        <f t="shared" si="23"/>
        <v>1595</v>
      </c>
      <c r="AJ17" s="37">
        <f t="shared" si="23"/>
        <v>1596</v>
      </c>
      <c r="AK17" s="37">
        <f t="shared" si="23"/>
        <v>1597</v>
      </c>
      <c r="AL17" s="37">
        <f t="shared" si="23"/>
        <v>1598</v>
      </c>
      <c r="AM17" s="37">
        <f t="shared" si="23"/>
        <v>1599</v>
      </c>
      <c r="AN17" s="38">
        <f t="shared" si="23"/>
        <v>1600</v>
      </c>
      <c r="AO17" s="36">
        <f t="shared" si="23"/>
        <v>1601</v>
      </c>
      <c r="AP17" s="37">
        <f t="shared" si="23"/>
        <v>1602</v>
      </c>
      <c r="AQ17" s="37">
        <f t="shared" si="23"/>
        <v>1603</v>
      </c>
      <c r="AR17" s="37">
        <f t="shared" si="23"/>
        <v>1604</v>
      </c>
      <c r="AS17" s="37">
        <f t="shared" si="23"/>
        <v>1605</v>
      </c>
      <c r="AT17" s="37">
        <f t="shared" si="23"/>
        <v>1606</v>
      </c>
      <c r="AU17" s="37">
        <f t="shared" si="23"/>
        <v>1607</v>
      </c>
      <c r="AV17" s="37">
        <f t="shared" si="23"/>
        <v>1608</v>
      </c>
      <c r="AW17" s="37">
        <f t="shared" si="23"/>
        <v>1609</v>
      </c>
      <c r="AX17" s="38">
        <f t="shared" ref="AX17:BL28" si="24">AW17+1</f>
        <v>1610</v>
      </c>
      <c r="AY17" s="36">
        <f t="shared" si="24"/>
        <v>1611</v>
      </c>
      <c r="AZ17" s="37">
        <f t="shared" si="24"/>
        <v>1612</v>
      </c>
      <c r="BA17" s="37">
        <f t="shared" si="24"/>
        <v>1613</v>
      </c>
      <c r="BB17" s="37">
        <f t="shared" si="24"/>
        <v>1614</v>
      </c>
      <c r="BC17" s="37">
        <f t="shared" si="24"/>
        <v>1615</v>
      </c>
      <c r="BD17" s="37">
        <f t="shared" si="24"/>
        <v>1616</v>
      </c>
      <c r="BE17" s="37">
        <f t="shared" si="24"/>
        <v>1617</v>
      </c>
      <c r="BF17" s="37">
        <f t="shared" si="24"/>
        <v>1618</v>
      </c>
      <c r="BG17" s="37">
        <f t="shared" si="24"/>
        <v>1619</v>
      </c>
      <c r="BH17" s="38">
        <f t="shared" si="24"/>
        <v>1620</v>
      </c>
      <c r="BI17" s="36">
        <f t="shared" si="24"/>
        <v>1621</v>
      </c>
      <c r="BJ17" s="37">
        <f t="shared" si="24"/>
        <v>1622</v>
      </c>
      <c r="BK17" s="37">
        <f t="shared" si="24"/>
        <v>1623</v>
      </c>
      <c r="BL17" s="37">
        <f t="shared" si="24"/>
        <v>1624</v>
      </c>
      <c r="BM17" s="37">
        <f t="shared" ref="BM17:BM28" si="25">BL17+1</f>
        <v>1625</v>
      </c>
      <c r="BN17" s="37">
        <f t="shared" ref="BN17:BN28" si="26">BM17+1</f>
        <v>1626</v>
      </c>
      <c r="BO17" s="37">
        <f t="shared" ref="BO17:BO28" si="27">BN17+1</f>
        <v>1627</v>
      </c>
      <c r="BP17" s="37">
        <f t="shared" ref="BP17:BP28" si="28">BO17+1</f>
        <v>1628</v>
      </c>
      <c r="BQ17" s="37">
        <f t="shared" ref="BQ17:BQ28" si="29">BP17+1</f>
        <v>1629</v>
      </c>
      <c r="BR17" s="39">
        <f t="shared" ref="BR17:BR28" si="30">BQ17+1</f>
        <v>1630</v>
      </c>
      <c r="BS17" s="36">
        <f t="shared" ref="BS17:BS28" si="31">BR17+1</f>
        <v>1631</v>
      </c>
      <c r="BT17" s="37">
        <f t="shared" ref="BT17:BT28" si="32">BS17+1</f>
        <v>1632</v>
      </c>
      <c r="BU17" s="37">
        <f t="shared" ref="BU17:BU28" si="33">BT17+1</f>
        <v>1633</v>
      </c>
      <c r="BV17" s="37">
        <f t="shared" ref="BV17:BV28" si="34">BU17+1</f>
        <v>1634</v>
      </c>
      <c r="BW17" s="37">
        <f t="shared" ref="BW17:BW28" si="35">BV17+1</f>
        <v>1635</v>
      </c>
      <c r="BX17" s="37">
        <f t="shared" ref="BX17:BX28" si="36">BW17+1</f>
        <v>1636</v>
      </c>
      <c r="BY17" s="37">
        <f t="shared" ref="BY17:BY28" si="37">BX17+1</f>
        <v>1637</v>
      </c>
      <c r="BZ17" s="37">
        <f t="shared" ref="BZ17:BZ28" si="38">BY17+1</f>
        <v>1638</v>
      </c>
      <c r="CA17" s="37">
        <f t="shared" ref="CA17:CA28" si="39">BZ17+1</f>
        <v>1639</v>
      </c>
      <c r="CB17" s="38">
        <f t="shared" ref="CB17:CB28" si="40">CA17+1</f>
        <v>1640</v>
      </c>
      <c r="CC17" s="40">
        <f t="shared" ref="CC17:CC28" si="41">CB17+1</f>
        <v>1641</v>
      </c>
      <c r="CD17" s="37">
        <f t="shared" ref="CD17:CD28" si="42">CC17+1</f>
        <v>1642</v>
      </c>
      <c r="CE17" s="37">
        <f t="shared" ref="CE17:CE28" si="43">CD17+1</f>
        <v>1643</v>
      </c>
      <c r="CF17" s="37">
        <f t="shared" ref="CF17:CF28" si="44">CE17+1</f>
        <v>1644</v>
      </c>
      <c r="CG17" s="37">
        <f t="shared" ref="CG17:CG28" si="45">CF17+1</f>
        <v>1645</v>
      </c>
      <c r="CH17" s="37">
        <f t="shared" ref="CH17:CH28" si="46">CG17+1</f>
        <v>1646</v>
      </c>
      <c r="CI17" s="37">
        <f t="shared" ref="CI17:CI28" si="47">CH17+1</f>
        <v>1647</v>
      </c>
      <c r="CJ17" s="37">
        <f t="shared" ref="CJ17:CJ28" si="48">CI17+1</f>
        <v>1648</v>
      </c>
      <c r="CK17" s="37">
        <f t="shared" ref="CK17:CK28" si="49">CJ17+1</f>
        <v>1649</v>
      </c>
      <c r="CL17" s="39">
        <f t="shared" ref="CL17:CL28" si="50">CK17+1</f>
        <v>1650</v>
      </c>
      <c r="CM17" s="36">
        <f t="shared" ref="CM17:CM28" si="51">CL17+1</f>
        <v>1651</v>
      </c>
      <c r="CN17" s="37">
        <f t="shared" ref="CN17:CN28" si="52">CM17+1</f>
        <v>1652</v>
      </c>
      <c r="CO17" s="37">
        <f t="shared" ref="CO17:CO28" si="53">CN17+1</f>
        <v>1653</v>
      </c>
      <c r="CP17" s="37">
        <f t="shared" ref="CP17:CP28" si="54">CO17+1</f>
        <v>1654</v>
      </c>
      <c r="CQ17" s="37">
        <f t="shared" ref="CQ17:CQ28" si="55">CP17+1</f>
        <v>1655</v>
      </c>
      <c r="CR17" s="37">
        <f t="shared" ref="CR17:CR28" si="56">CQ17+1</f>
        <v>1656</v>
      </c>
      <c r="CS17" s="37">
        <f t="shared" ref="CS17:CS28" si="57">CR17+1</f>
        <v>1657</v>
      </c>
      <c r="CT17" s="37">
        <f t="shared" ref="CT17:CT28" si="58">CS17+1</f>
        <v>1658</v>
      </c>
      <c r="CU17" s="37">
        <f t="shared" ref="CU17:CU28" si="59">CT17+1</f>
        <v>1659</v>
      </c>
      <c r="CV17" s="38">
        <f t="shared" ref="CV17:CV28" si="60">CU17+1</f>
        <v>1660</v>
      </c>
      <c r="CW17" s="40">
        <f t="shared" ref="CW17:CW28" si="61">CV17+1</f>
        <v>1661</v>
      </c>
      <c r="CX17" s="37">
        <f t="shared" ref="CX17:CX28" si="62">CW17+1</f>
        <v>1662</v>
      </c>
      <c r="CY17" s="37">
        <f t="shared" ref="CY17:CY28" si="63">CX17+1</f>
        <v>1663</v>
      </c>
      <c r="CZ17" s="37">
        <f t="shared" ref="CZ17:CZ28" si="64">CY17+1</f>
        <v>1664</v>
      </c>
      <c r="DA17" s="37">
        <f t="shared" ref="DA17:DA28" si="65">CZ17+1</f>
        <v>1665</v>
      </c>
      <c r="DB17" s="37">
        <f t="shared" ref="DB17:DB28" si="66">DA17+1</f>
        <v>1666</v>
      </c>
      <c r="DC17" s="37">
        <f t="shared" ref="DC17:DC28" si="67">DB17+1</f>
        <v>1667</v>
      </c>
      <c r="DD17" s="37">
        <f t="shared" ref="DD17:DD28" si="68">DC17+1</f>
        <v>1668</v>
      </c>
      <c r="DE17" s="37">
        <f t="shared" ref="DE17:DE28" si="69">DD17+1</f>
        <v>1669</v>
      </c>
      <c r="DF17" s="39">
        <f t="shared" ref="DF17:DF28" si="70">DE17+1</f>
        <v>1670</v>
      </c>
      <c r="DG17" s="36">
        <f t="shared" ref="DG17:DG28" si="71">DF17+1</f>
        <v>1671</v>
      </c>
      <c r="DH17" s="37">
        <f t="shared" ref="DH17:DH28" si="72">DG17+1</f>
        <v>1672</v>
      </c>
      <c r="DI17" s="37">
        <f t="shared" ref="DI17:DI28" si="73">DH17+1</f>
        <v>1673</v>
      </c>
      <c r="DJ17" s="37">
        <f t="shared" ref="DJ17:DJ28" si="74">DI17+1</f>
        <v>1674</v>
      </c>
      <c r="DK17" s="37">
        <f t="shared" ref="DK17:DK28" si="75">DJ17+1</f>
        <v>1675</v>
      </c>
      <c r="DL17" s="37">
        <f t="shared" ref="DL17:DL28" si="76">DK17+1</f>
        <v>1676</v>
      </c>
      <c r="DM17" s="37">
        <f t="shared" ref="DM17:DM28" si="77">DL17+1</f>
        <v>1677</v>
      </c>
      <c r="DN17" s="37">
        <f t="shared" ref="DN17:DN28" si="78">DM17+1</f>
        <v>1678</v>
      </c>
      <c r="DO17" s="37">
        <f t="shared" ref="DO17:DO28" si="79">DN17+1</f>
        <v>1679</v>
      </c>
      <c r="DP17" s="38">
        <f t="shared" ref="DP17:DP28" si="80">DO17+1</f>
        <v>1680</v>
      </c>
      <c r="DR17" s="539"/>
      <c r="DS17" s="540"/>
      <c r="DT17" s="539"/>
      <c r="DU17" s="540"/>
    </row>
    <row r="18" spans="1:126" ht="6.5" customHeight="1">
      <c r="A18" s="36">
        <v>1681</v>
      </c>
      <c r="B18" s="37">
        <f t="shared" si="21"/>
        <v>1682</v>
      </c>
      <c r="C18" s="37">
        <f t="shared" si="21"/>
        <v>1683</v>
      </c>
      <c r="D18" s="37">
        <f t="shared" si="21"/>
        <v>1684</v>
      </c>
      <c r="E18" s="37">
        <f t="shared" si="21"/>
        <v>1685</v>
      </c>
      <c r="F18" s="37">
        <f t="shared" si="21"/>
        <v>1686</v>
      </c>
      <c r="G18" s="37">
        <f t="shared" si="21"/>
        <v>1687</v>
      </c>
      <c r="H18" s="37">
        <f t="shared" si="21"/>
        <v>1688</v>
      </c>
      <c r="I18" s="37">
        <f t="shared" si="21"/>
        <v>1689</v>
      </c>
      <c r="J18" s="38">
        <f t="shared" si="21"/>
        <v>1690</v>
      </c>
      <c r="K18" s="36">
        <f t="shared" si="21"/>
        <v>1691</v>
      </c>
      <c r="L18" s="37">
        <f t="shared" si="21"/>
        <v>1692</v>
      </c>
      <c r="M18" s="37">
        <f t="shared" si="21"/>
        <v>1693</v>
      </c>
      <c r="N18" s="37">
        <f t="shared" si="21"/>
        <v>1694</v>
      </c>
      <c r="O18" s="37">
        <f t="shared" si="21"/>
        <v>1695</v>
      </c>
      <c r="P18" s="37">
        <f t="shared" si="21"/>
        <v>1696</v>
      </c>
      <c r="Q18" s="37">
        <f t="shared" si="21"/>
        <v>1697</v>
      </c>
      <c r="R18" s="37">
        <f t="shared" si="22"/>
        <v>1698</v>
      </c>
      <c r="S18" s="37">
        <f t="shared" si="22"/>
        <v>1699</v>
      </c>
      <c r="T18" s="38">
        <f t="shared" si="22"/>
        <v>1700</v>
      </c>
      <c r="U18" s="36">
        <f t="shared" si="22"/>
        <v>1701</v>
      </c>
      <c r="V18" s="37">
        <f t="shared" si="22"/>
        <v>1702</v>
      </c>
      <c r="W18" s="37">
        <f t="shared" si="22"/>
        <v>1703</v>
      </c>
      <c r="X18" s="37">
        <f t="shared" si="22"/>
        <v>1704</v>
      </c>
      <c r="Y18" s="37">
        <f t="shared" si="22"/>
        <v>1705</v>
      </c>
      <c r="Z18" s="37">
        <f t="shared" si="22"/>
        <v>1706</v>
      </c>
      <c r="AA18" s="37">
        <f t="shared" si="22"/>
        <v>1707</v>
      </c>
      <c r="AB18" s="37">
        <f t="shared" si="22"/>
        <v>1708</v>
      </c>
      <c r="AC18" s="37">
        <f t="shared" si="22"/>
        <v>1709</v>
      </c>
      <c r="AD18" s="38">
        <f t="shared" si="22"/>
        <v>1710</v>
      </c>
      <c r="AE18" s="36">
        <f t="shared" si="22"/>
        <v>1711</v>
      </c>
      <c r="AF18" s="37">
        <f t="shared" si="22"/>
        <v>1712</v>
      </c>
      <c r="AG18" s="37">
        <f t="shared" si="22"/>
        <v>1713</v>
      </c>
      <c r="AH18" s="37">
        <f t="shared" si="23"/>
        <v>1714</v>
      </c>
      <c r="AI18" s="37">
        <f t="shared" si="23"/>
        <v>1715</v>
      </c>
      <c r="AJ18" s="37">
        <f t="shared" si="23"/>
        <v>1716</v>
      </c>
      <c r="AK18" s="37">
        <f t="shared" si="23"/>
        <v>1717</v>
      </c>
      <c r="AL18" s="37">
        <f t="shared" si="23"/>
        <v>1718</v>
      </c>
      <c r="AM18" s="37">
        <f t="shared" si="23"/>
        <v>1719</v>
      </c>
      <c r="AN18" s="38">
        <f t="shared" si="23"/>
        <v>1720</v>
      </c>
      <c r="AO18" s="36">
        <f t="shared" si="23"/>
        <v>1721</v>
      </c>
      <c r="AP18" s="37">
        <f t="shared" si="23"/>
        <v>1722</v>
      </c>
      <c r="AQ18" s="37">
        <f t="shared" si="23"/>
        <v>1723</v>
      </c>
      <c r="AR18" s="37">
        <f t="shared" si="23"/>
        <v>1724</v>
      </c>
      <c r="AS18" s="37">
        <f t="shared" si="23"/>
        <v>1725</v>
      </c>
      <c r="AT18" s="37">
        <f t="shared" si="23"/>
        <v>1726</v>
      </c>
      <c r="AU18" s="37">
        <f t="shared" si="23"/>
        <v>1727</v>
      </c>
      <c r="AV18" s="37">
        <f t="shared" si="23"/>
        <v>1728</v>
      </c>
      <c r="AW18" s="37">
        <f t="shared" si="23"/>
        <v>1729</v>
      </c>
      <c r="AX18" s="38">
        <f t="shared" si="24"/>
        <v>1730</v>
      </c>
      <c r="AY18" s="36">
        <f t="shared" si="24"/>
        <v>1731</v>
      </c>
      <c r="AZ18" s="37">
        <f t="shared" si="24"/>
        <v>1732</v>
      </c>
      <c r="BA18" s="37">
        <f t="shared" si="24"/>
        <v>1733</v>
      </c>
      <c r="BB18" s="37">
        <f t="shared" si="24"/>
        <v>1734</v>
      </c>
      <c r="BC18" s="37">
        <f t="shared" si="24"/>
        <v>1735</v>
      </c>
      <c r="BD18" s="37">
        <f t="shared" si="24"/>
        <v>1736</v>
      </c>
      <c r="BE18" s="37">
        <f t="shared" si="24"/>
        <v>1737</v>
      </c>
      <c r="BF18" s="37">
        <f t="shared" si="24"/>
        <v>1738</v>
      </c>
      <c r="BG18" s="37">
        <f t="shared" si="24"/>
        <v>1739</v>
      </c>
      <c r="BH18" s="38">
        <f t="shared" si="24"/>
        <v>1740</v>
      </c>
      <c r="BI18" s="36">
        <f t="shared" si="24"/>
        <v>1741</v>
      </c>
      <c r="BJ18" s="37">
        <f t="shared" si="24"/>
        <v>1742</v>
      </c>
      <c r="BK18" s="37">
        <f t="shared" si="24"/>
        <v>1743</v>
      </c>
      <c r="BL18" s="37">
        <f t="shared" si="24"/>
        <v>1744</v>
      </c>
      <c r="BM18" s="37">
        <f t="shared" si="25"/>
        <v>1745</v>
      </c>
      <c r="BN18" s="37">
        <f t="shared" si="26"/>
        <v>1746</v>
      </c>
      <c r="BO18" s="37">
        <f t="shared" si="27"/>
        <v>1747</v>
      </c>
      <c r="BP18" s="37">
        <f t="shared" si="28"/>
        <v>1748</v>
      </c>
      <c r="BQ18" s="37">
        <f t="shared" si="29"/>
        <v>1749</v>
      </c>
      <c r="BR18" s="39">
        <f t="shared" si="30"/>
        <v>1750</v>
      </c>
      <c r="BS18" s="36">
        <f t="shared" si="31"/>
        <v>1751</v>
      </c>
      <c r="BT18" s="37">
        <f t="shared" si="32"/>
        <v>1752</v>
      </c>
      <c r="BU18" s="37">
        <f t="shared" si="33"/>
        <v>1753</v>
      </c>
      <c r="BV18" s="37">
        <f t="shared" si="34"/>
        <v>1754</v>
      </c>
      <c r="BW18" s="37">
        <f t="shared" si="35"/>
        <v>1755</v>
      </c>
      <c r="BX18" s="37">
        <f t="shared" si="36"/>
        <v>1756</v>
      </c>
      <c r="BY18" s="37">
        <f t="shared" si="37"/>
        <v>1757</v>
      </c>
      <c r="BZ18" s="37">
        <f t="shared" si="38"/>
        <v>1758</v>
      </c>
      <c r="CA18" s="37">
        <f t="shared" si="39"/>
        <v>1759</v>
      </c>
      <c r="CB18" s="38">
        <f t="shared" si="40"/>
        <v>1760</v>
      </c>
      <c r="CC18" s="40">
        <f t="shared" si="41"/>
        <v>1761</v>
      </c>
      <c r="CD18" s="37">
        <f t="shared" si="42"/>
        <v>1762</v>
      </c>
      <c r="CE18" s="37">
        <f t="shared" si="43"/>
        <v>1763</v>
      </c>
      <c r="CF18" s="37">
        <f t="shared" si="44"/>
        <v>1764</v>
      </c>
      <c r="CG18" s="37">
        <f t="shared" si="45"/>
        <v>1765</v>
      </c>
      <c r="CH18" s="37">
        <f t="shared" si="46"/>
        <v>1766</v>
      </c>
      <c r="CI18" s="37">
        <f t="shared" si="47"/>
        <v>1767</v>
      </c>
      <c r="CJ18" s="37">
        <f t="shared" si="48"/>
        <v>1768</v>
      </c>
      <c r="CK18" s="37">
        <f t="shared" si="49"/>
        <v>1769</v>
      </c>
      <c r="CL18" s="39">
        <f t="shared" si="50"/>
        <v>1770</v>
      </c>
      <c r="CM18" s="36">
        <f t="shared" si="51"/>
        <v>1771</v>
      </c>
      <c r="CN18" s="37">
        <f t="shared" si="52"/>
        <v>1772</v>
      </c>
      <c r="CO18" s="37">
        <f t="shared" si="53"/>
        <v>1773</v>
      </c>
      <c r="CP18" s="37">
        <f t="shared" si="54"/>
        <v>1774</v>
      </c>
      <c r="CQ18" s="37">
        <f t="shared" si="55"/>
        <v>1775</v>
      </c>
      <c r="CR18" s="37">
        <f t="shared" si="56"/>
        <v>1776</v>
      </c>
      <c r="CS18" s="37">
        <f t="shared" si="57"/>
        <v>1777</v>
      </c>
      <c r="CT18" s="37">
        <f t="shared" si="58"/>
        <v>1778</v>
      </c>
      <c r="CU18" s="37">
        <f t="shared" si="59"/>
        <v>1779</v>
      </c>
      <c r="CV18" s="38">
        <f t="shared" si="60"/>
        <v>1780</v>
      </c>
      <c r="CW18" s="40">
        <f t="shared" si="61"/>
        <v>1781</v>
      </c>
      <c r="CX18" s="37">
        <f t="shared" si="62"/>
        <v>1782</v>
      </c>
      <c r="CY18" s="37">
        <f t="shared" si="63"/>
        <v>1783</v>
      </c>
      <c r="CZ18" s="37">
        <f t="shared" si="64"/>
        <v>1784</v>
      </c>
      <c r="DA18" s="37">
        <f t="shared" si="65"/>
        <v>1785</v>
      </c>
      <c r="DB18" s="37">
        <f t="shared" si="66"/>
        <v>1786</v>
      </c>
      <c r="DC18" s="37">
        <f t="shared" si="67"/>
        <v>1787</v>
      </c>
      <c r="DD18" s="37">
        <f t="shared" si="68"/>
        <v>1788</v>
      </c>
      <c r="DE18" s="37">
        <f t="shared" si="69"/>
        <v>1789</v>
      </c>
      <c r="DF18" s="39">
        <f t="shared" si="70"/>
        <v>1790</v>
      </c>
      <c r="DG18" s="36">
        <f t="shared" si="71"/>
        <v>1791</v>
      </c>
      <c r="DH18" s="37">
        <f t="shared" si="72"/>
        <v>1792</v>
      </c>
      <c r="DI18" s="37">
        <f t="shared" si="73"/>
        <v>1793</v>
      </c>
      <c r="DJ18" s="37">
        <f t="shared" si="74"/>
        <v>1794</v>
      </c>
      <c r="DK18" s="37">
        <f t="shared" si="75"/>
        <v>1795</v>
      </c>
      <c r="DL18" s="37">
        <f t="shared" si="76"/>
        <v>1796</v>
      </c>
      <c r="DM18" s="37">
        <f t="shared" si="77"/>
        <v>1797</v>
      </c>
      <c r="DN18" s="37">
        <f t="shared" si="78"/>
        <v>1798</v>
      </c>
      <c r="DO18" s="37">
        <f t="shared" si="79"/>
        <v>1799</v>
      </c>
      <c r="DP18" s="38">
        <f t="shared" si="80"/>
        <v>1800</v>
      </c>
      <c r="DR18" s="537">
        <v>60</v>
      </c>
      <c r="DS18" s="538"/>
      <c r="DT18" s="537">
        <v>6</v>
      </c>
      <c r="DU18" s="538"/>
    </row>
    <row r="19" spans="1:126" ht="6.5" customHeight="1">
      <c r="A19" s="36">
        <v>1801</v>
      </c>
      <c r="B19" s="37">
        <f t="shared" si="21"/>
        <v>1802</v>
      </c>
      <c r="C19" s="37">
        <f t="shared" si="21"/>
        <v>1803</v>
      </c>
      <c r="D19" s="37">
        <f t="shared" si="21"/>
        <v>1804</v>
      </c>
      <c r="E19" s="37">
        <f t="shared" si="21"/>
        <v>1805</v>
      </c>
      <c r="F19" s="37">
        <f t="shared" si="21"/>
        <v>1806</v>
      </c>
      <c r="G19" s="37">
        <f t="shared" si="21"/>
        <v>1807</v>
      </c>
      <c r="H19" s="37">
        <f t="shared" si="21"/>
        <v>1808</v>
      </c>
      <c r="I19" s="37">
        <f t="shared" si="21"/>
        <v>1809</v>
      </c>
      <c r="J19" s="38">
        <f t="shared" si="21"/>
        <v>1810</v>
      </c>
      <c r="K19" s="36">
        <f t="shared" si="21"/>
        <v>1811</v>
      </c>
      <c r="L19" s="37">
        <f t="shared" si="21"/>
        <v>1812</v>
      </c>
      <c r="M19" s="37">
        <f t="shared" si="21"/>
        <v>1813</v>
      </c>
      <c r="N19" s="37">
        <f t="shared" si="21"/>
        <v>1814</v>
      </c>
      <c r="O19" s="37">
        <f t="shared" si="21"/>
        <v>1815</v>
      </c>
      <c r="P19" s="37">
        <f t="shared" si="21"/>
        <v>1816</v>
      </c>
      <c r="Q19" s="37">
        <f t="shared" si="21"/>
        <v>1817</v>
      </c>
      <c r="R19" s="37">
        <f t="shared" si="22"/>
        <v>1818</v>
      </c>
      <c r="S19" s="37">
        <f t="shared" si="22"/>
        <v>1819</v>
      </c>
      <c r="T19" s="38">
        <f t="shared" si="22"/>
        <v>1820</v>
      </c>
      <c r="U19" s="36">
        <f t="shared" si="22"/>
        <v>1821</v>
      </c>
      <c r="V19" s="37">
        <f t="shared" si="22"/>
        <v>1822</v>
      </c>
      <c r="W19" s="37">
        <f t="shared" si="22"/>
        <v>1823</v>
      </c>
      <c r="X19" s="37">
        <f t="shared" si="22"/>
        <v>1824</v>
      </c>
      <c r="Y19" s="37">
        <f t="shared" si="22"/>
        <v>1825</v>
      </c>
      <c r="Z19" s="37">
        <f t="shared" si="22"/>
        <v>1826</v>
      </c>
      <c r="AA19" s="37">
        <f t="shared" si="22"/>
        <v>1827</v>
      </c>
      <c r="AB19" s="37">
        <f t="shared" si="22"/>
        <v>1828</v>
      </c>
      <c r="AC19" s="37">
        <f t="shared" si="22"/>
        <v>1829</v>
      </c>
      <c r="AD19" s="38">
        <f t="shared" si="22"/>
        <v>1830</v>
      </c>
      <c r="AE19" s="36">
        <f t="shared" si="22"/>
        <v>1831</v>
      </c>
      <c r="AF19" s="37">
        <f t="shared" si="22"/>
        <v>1832</v>
      </c>
      <c r="AG19" s="37">
        <f t="shared" si="22"/>
        <v>1833</v>
      </c>
      <c r="AH19" s="37">
        <f t="shared" si="23"/>
        <v>1834</v>
      </c>
      <c r="AI19" s="37">
        <f t="shared" si="23"/>
        <v>1835</v>
      </c>
      <c r="AJ19" s="37">
        <f t="shared" si="23"/>
        <v>1836</v>
      </c>
      <c r="AK19" s="37">
        <f t="shared" si="23"/>
        <v>1837</v>
      </c>
      <c r="AL19" s="37">
        <f t="shared" si="23"/>
        <v>1838</v>
      </c>
      <c r="AM19" s="37">
        <f t="shared" si="23"/>
        <v>1839</v>
      </c>
      <c r="AN19" s="38">
        <f t="shared" si="23"/>
        <v>1840</v>
      </c>
      <c r="AO19" s="36">
        <f t="shared" si="23"/>
        <v>1841</v>
      </c>
      <c r="AP19" s="37">
        <f t="shared" si="23"/>
        <v>1842</v>
      </c>
      <c r="AQ19" s="37">
        <f t="shared" si="23"/>
        <v>1843</v>
      </c>
      <c r="AR19" s="37">
        <f t="shared" si="23"/>
        <v>1844</v>
      </c>
      <c r="AS19" s="37">
        <f t="shared" si="23"/>
        <v>1845</v>
      </c>
      <c r="AT19" s="37">
        <f t="shared" si="23"/>
        <v>1846</v>
      </c>
      <c r="AU19" s="37">
        <f t="shared" si="23"/>
        <v>1847</v>
      </c>
      <c r="AV19" s="37">
        <f t="shared" si="23"/>
        <v>1848</v>
      </c>
      <c r="AW19" s="37">
        <f t="shared" si="23"/>
        <v>1849</v>
      </c>
      <c r="AX19" s="38">
        <f t="shared" si="24"/>
        <v>1850</v>
      </c>
      <c r="AY19" s="36">
        <f t="shared" si="24"/>
        <v>1851</v>
      </c>
      <c r="AZ19" s="37">
        <f t="shared" si="24"/>
        <v>1852</v>
      </c>
      <c r="BA19" s="37">
        <f t="shared" si="24"/>
        <v>1853</v>
      </c>
      <c r="BB19" s="37">
        <f t="shared" si="24"/>
        <v>1854</v>
      </c>
      <c r="BC19" s="37">
        <f t="shared" si="24"/>
        <v>1855</v>
      </c>
      <c r="BD19" s="37">
        <f t="shared" si="24"/>
        <v>1856</v>
      </c>
      <c r="BE19" s="37">
        <f t="shared" si="24"/>
        <v>1857</v>
      </c>
      <c r="BF19" s="37">
        <f t="shared" si="24"/>
        <v>1858</v>
      </c>
      <c r="BG19" s="37">
        <f t="shared" si="24"/>
        <v>1859</v>
      </c>
      <c r="BH19" s="38">
        <f t="shared" si="24"/>
        <v>1860</v>
      </c>
      <c r="BI19" s="36">
        <f t="shared" si="24"/>
        <v>1861</v>
      </c>
      <c r="BJ19" s="37">
        <f t="shared" si="24"/>
        <v>1862</v>
      </c>
      <c r="BK19" s="37">
        <f t="shared" si="24"/>
        <v>1863</v>
      </c>
      <c r="BL19" s="37">
        <f t="shared" si="24"/>
        <v>1864</v>
      </c>
      <c r="BM19" s="37">
        <f t="shared" si="25"/>
        <v>1865</v>
      </c>
      <c r="BN19" s="37">
        <f t="shared" si="26"/>
        <v>1866</v>
      </c>
      <c r="BO19" s="37">
        <f t="shared" si="27"/>
        <v>1867</v>
      </c>
      <c r="BP19" s="37">
        <f t="shared" si="28"/>
        <v>1868</v>
      </c>
      <c r="BQ19" s="37">
        <f t="shared" si="29"/>
        <v>1869</v>
      </c>
      <c r="BR19" s="39">
        <f t="shared" si="30"/>
        <v>1870</v>
      </c>
      <c r="BS19" s="36">
        <f t="shared" si="31"/>
        <v>1871</v>
      </c>
      <c r="BT19" s="37">
        <f t="shared" si="32"/>
        <v>1872</v>
      </c>
      <c r="BU19" s="37">
        <f t="shared" si="33"/>
        <v>1873</v>
      </c>
      <c r="BV19" s="37">
        <f t="shared" si="34"/>
        <v>1874</v>
      </c>
      <c r="BW19" s="37">
        <f t="shared" si="35"/>
        <v>1875</v>
      </c>
      <c r="BX19" s="37">
        <f t="shared" si="36"/>
        <v>1876</v>
      </c>
      <c r="BY19" s="37">
        <f t="shared" si="37"/>
        <v>1877</v>
      </c>
      <c r="BZ19" s="37">
        <f t="shared" si="38"/>
        <v>1878</v>
      </c>
      <c r="CA19" s="37">
        <f t="shared" si="39"/>
        <v>1879</v>
      </c>
      <c r="CB19" s="38">
        <f t="shared" si="40"/>
        <v>1880</v>
      </c>
      <c r="CC19" s="40">
        <f t="shared" si="41"/>
        <v>1881</v>
      </c>
      <c r="CD19" s="37">
        <f t="shared" si="42"/>
        <v>1882</v>
      </c>
      <c r="CE19" s="37">
        <f t="shared" si="43"/>
        <v>1883</v>
      </c>
      <c r="CF19" s="37">
        <f t="shared" si="44"/>
        <v>1884</v>
      </c>
      <c r="CG19" s="37">
        <f t="shared" si="45"/>
        <v>1885</v>
      </c>
      <c r="CH19" s="37">
        <f t="shared" si="46"/>
        <v>1886</v>
      </c>
      <c r="CI19" s="37">
        <f t="shared" si="47"/>
        <v>1887</v>
      </c>
      <c r="CJ19" s="37">
        <f t="shared" si="48"/>
        <v>1888</v>
      </c>
      <c r="CK19" s="37">
        <f t="shared" si="49"/>
        <v>1889</v>
      </c>
      <c r="CL19" s="39">
        <f t="shared" si="50"/>
        <v>1890</v>
      </c>
      <c r="CM19" s="36">
        <f t="shared" si="51"/>
        <v>1891</v>
      </c>
      <c r="CN19" s="37">
        <f t="shared" si="52"/>
        <v>1892</v>
      </c>
      <c r="CO19" s="37">
        <f t="shared" si="53"/>
        <v>1893</v>
      </c>
      <c r="CP19" s="37">
        <f t="shared" si="54"/>
        <v>1894</v>
      </c>
      <c r="CQ19" s="37">
        <f t="shared" si="55"/>
        <v>1895</v>
      </c>
      <c r="CR19" s="37">
        <f t="shared" si="56"/>
        <v>1896</v>
      </c>
      <c r="CS19" s="37">
        <f t="shared" si="57"/>
        <v>1897</v>
      </c>
      <c r="CT19" s="37">
        <f t="shared" si="58"/>
        <v>1898</v>
      </c>
      <c r="CU19" s="37">
        <f t="shared" si="59"/>
        <v>1899</v>
      </c>
      <c r="CV19" s="38">
        <f t="shared" si="60"/>
        <v>1900</v>
      </c>
      <c r="CW19" s="40">
        <f t="shared" si="61"/>
        <v>1901</v>
      </c>
      <c r="CX19" s="37">
        <f t="shared" si="62"/>
        <v>1902</v>
      </c>
      <c r="CY19" s="37">
        <f t="shared" si="63"/>
        <v>1903</v>
      </c>
      <c r="CZ19" s="37">
        <f t="shared" si="64"/>
        <v>1904</v>
      </c>
      <c r="DA19" s="37">
        <f t="shared" si="65"/>
        <v>1905</v>
      </c>
      <c r="DB19" s="37">
        <f t="shared" si="66"/>
        <v>1906</v>
      </c>
      <c r="DC19" s="37">
        <f t="shared" si="67"/>
        <v>1907</v>
      </c>
      <c r="DD19" s="37">
        <f t="shared" si="68"/>
        <v>1908</v>
      </c>
      <c r="DE19" s="37">
        <f t="shared" si="69"/>
        <v>1909</v>
      </c>
      <c r="DF19" s="39">
        <f t="shared" si="70"/>
        <v>1910</v>
      </c>
      <c r="DG19" s="36">
        <f t="shared" si="71"/>
        <v>1911</v>
      </c>
      <c r="DH19" s="37">
        <f t="shared" si="72"/>
        <v>1912</v>
      </c>
      <c r="DI19" s="37">
        <f t="shared" si="73"/>
        <v>1913</v>
      </c>
      <c r="DJ19" s="37">
        <f t="shared" si="74"/>
        <v>1914</v>
      </c>
      <c r="DK19" s="37">
        <f t="shared" si="75"/>
        <v>1915</v>
      </c>
      <c r="DL19" s="37">
        <f t="shared" si="76"/>
        <v>1916</v>
      </c>
      <c r="DM19" s="37">
        <f t="shared" si="77"/>
        <v>1917</v>
      </c>
      <c r="DN19" s="37">
        <f t="shared" si="78"/>
        <v>1918</v>
      </c>
      <c r="DO19" s="37">
        <f t="shared" si="79"/>
        <v>1919</v>
      </c>
      <c r="DP19" s="38">
        <f t="shared" si="80"/>
        <v>1920</v>
      </c>
      <c r="DR19" s="539"/>
      <c r="DS19" s="540"/>
      <c r="DT19" s="539"/>
      <c r="DU19" s="540"/>
    </row>
    <row r="20" spans="1:126" ht="6.5" customHeight="1">
      <c r="A20" s="36">
        <v>1921</v>
      </c>
      <c r="B20" s="37">
        <f t="shared" si="21"/>
        <v>1922</v>
      </c>
      <c r="C20" s="37">
        <f t="shared" si="21"/>
        <v>1923</v>
      </c>
      <c r="D20" s="37">
        <f t="shared" si="21"/>
        <v>1924</v>
      </c>
      <c r="E20" s="37">
        <f t="shared" si="21"/>
        <v>1925</v>
      </c>
      <c r="F20" s="37">
        <f t="shared" si="21"/>
        <v>1926</v>
      </c>
      <c r="G20" s="37">
        <f t="shared" si="21"/>
        <v>1927</v>
      </c>
      <c r="H20" s="37">
        <f t="shared" si="21"/>
        <v>1928</v>
      </c>
      <c r="I20" s="37">
        <f t="shared" si="21"/>
        <v>1929</v>
      </c>
      <c r="J20" s="38">
        <f t="shared" si="21"/>
        <v>1930</v>
      </c>
      <c r="K20" s="36">
        <f t="shared" si="21"/>
        <v>1931</v>
      </c>
      <c r="L20" s="37">
        <f t="shared" si="21"/>
        <v>1932</v>
      </c>
      <c r="M20" s="37">
        <f t="shared" si="21"/>
        <v>1933</v>
      </c>
      <c r="N20" s="37">
        <f t="shared" si="21"/>
        <v>1934</v>
      </c>
      <c r="O20" s="37">
        <f t="shared" si="21"/>
        <v>1935</v>
      </c>
      <c r="P20" s="37">
        <f t="shared" si="21"/>
        <v>1936</v>
      </c>
      <c r="Q20" s="37">
        <f t="shared" si="21"/>
        <v>1937</v>
      </c>
      <c r="R20" s="37">
        <f t="shared" si="22"/>
        <v>1938</v>
      </c>
      <c r="S20" s="37">
        <f t="shared" si="22"/>
        <v>1939</v>
      </c>
      <c r="T20" s="38">
        <f t="shared" si="22"/>
        <v>1940</v>
      </c>
      <c r="U20" s="36">
        <f t="shared" si="22"/>
        <v>1941</v>
      </c>
      <c r="V20" s="37">
        <f t="shared" si="22"/>
        <v>1942</v>
      </c>
      <c r="W20" s="37">
        <f t="shared" si="22"/>
        <v>1943</v>
      </c>
      <c r="X20" s="37">
        <f t="shared" si="22"/>
        <v>1944</v>
      </c>
      <c r="Y20" s="37">
        <f t="shared" si="22"/>
        <v>1945</v>
      </c>
      <c r="Z20" s="37">
        <f t="shared" si="22"/>
        <v>1946</v>
      </c>
      <c r="AA20" s="37">
        <f t="shared" si="22"/>
        <v>1947</v>
      </c>
      <c r="AB20" s="37">
        <f t="shared" si="22"/>
        <v>1948</v>
      </c>
      <c r="AC20" s="37">
        <f t="shared" si="22"/>
        <v>1949</v>
      </c>
      <c r="AD20" s="38">
        <f t="shared" si="22"/>
        <v>1950</v>
      </c>
      <c r="AE20" s="36">
        <f t="shared" si="22"/>
        <v>1951</v>
      </c>
      <c r="AF20" s="37">
        <f t="shared" si="22"/>
        <v>1952</v>
      </c>
      <c r="AG20" s="37">
        <f t="shared" si="22"/>
        <v>1953</v>
      </c>
      <c r="AH20" s="37">
        <f t="shared" si="23"/>
        <v>1954</v>
      </c>
      <c r="AI20" s="37">
        <f t="shared" si="23"/>
        <v>1955</v>
      </c>
      <c r="AJ20" s="37">
        <f t="shared" si="23"/>
        <v>1956</v>
      </c>
      <c r="AK20" s="37">
        <f t="shared" si="23"/>
        <v>1957</v>
      </c>
      <c r="AL20" s="37">
        <f t="shared" si="23"/>
        <v>1958</v>
      </c>
      <c r="AM20" s="37">
        <f t="shared" si="23"/>
        <v>1959</v>
      </c>
      <c r="AN20" s="38">
        <f t="shared" si="23"/>
        <v>1960</v>
      </c>
      <c r="AO20" s="36">
        <f t="shared" si="23"/>
        <v>1961</v>
      </c>
      <c r="AP20" s="37">
        <f t="shared" si="23"/>
        <v>1962</v>
      </c>
      <c r="AQ20" s="37">
        <f t="shared" si="23"/>
        <v>1963</v>
      </c>
      <c r="AR20" s="37">
        <f t="shared" si="23"/>
        <v>1964</v>
      </c>
      <c r="AS20" s="37">
        <f t="shared" si="23"/>
        <v>1965</v>
      </c>
      <c r="AT20" s="37">
        <f t="shared" si="23"/>
        <v>1966</v>
      </c>
      <c r="AU20" s="37">
        <f t="shared" si="23"/>
        <v>1967</v>
      </c>
      <c r="AV20" s="37">
        <f t="shared" si="23"/>
        <v>1968</v>
      </c>
      <c r="AW20" s="37">
        <f t="shared" si="23"/>
        <v>1969</v>
      </c>
      <c r="AX20" s="38">
        <f t="shared" si="24"/>
        <v>1970</v>
      </c>
      <c r="AY20" s="36">
        <f t="shared" si="24"/>
        <v>1971</v>
      </c>
      <c r="AZ20" s="37">
        <f t="shared" si="24"/>
        <v>1972</v>
      </c>
      <c r="BA20" s="37">
        <f t="shared" si="24"/>
        <v>1973</v>
      </c>
      <c r="BB20" s="37">
        <f t="shared" si="24"/>
        <v>1974</v>
      </c>
      <c r="BC20" s="37">
        <f>BB20+1</f>
        <v>1975</v>
      </c>
      <c r="BD20" s="37">
        <f t="shared" si="24"/>
        <v>1976</v>
      </c>
      <c r="BE20" s="37">
        <f t="shared" si="24"/>
        <v>1977</v>
      </c>
      <c r="BF20" s="37">
        <f t="shared" si="24"/>
        <v>1978</v>
      </c>
      <c r="BG20" s="37">
        <f t="shared" si="24"/>
        <v>1979</v>
      </c>
      <c r="BH20" s="38">
        <f t="shared" si="24"/>
        <v>1980</v>
      </c>
      <c r="BI20" s="36">
        <f t="shared" si="24"/>
        <v>1981</v>
      </c>
      <c r="BJ20" s="37">
        <f t="shared" si="24"/>
        <v>1982</v>
      </c>
      <c r="BK20" s="37">
        <f t="shared" si="24"/>
        <v>1983</v>
      </c>
      <c r="BL20" s="37">
        <f t="shared" si="24"/>
        <v>1984</v>
      </c>
      <c r="BM20" s="37">
        <f t="shared" si="25"/>
        <v>1985</v>
      </c>
      <c r="BN20" s="37">
        <f t="shared" si="26"/>
        <v>1986</v>
      </c>
      <c r="BO20" s="37">
        <f t="shared" si="27"/>
        <v>1987</v>
      </c>
      <c r="BP20" s="37">
        <f t="shared" si="28"/>
        <v>1988</v>
      </c>
      <c r="BQ20" s="37">
        <f t="shared" si="29"/>
        <v>1989</v>
      </c>
      <c r="BR20" s="39">
        <f t="shared" si="30"/>
        <v>1990</v>
      </c>
      <c r="BS20" s="36">
        <f t="shared" si="31"/>
        <v>1991</v>
      </c>
      <c r="BT20" s="37">
        <f t="shared" si="32"/>
        <v>1992</v>
      </c>
      <c r="BU20" s="37">
        <f t="shared" si="33"/>
        <v>1993</v>
      </c>
      <c r="BV20" s="37">
        <f t="shared" si="34"/>
        <v>1994</v>
      </c>
      <c r="BW20" s="37">
        <f t="shared" si="35"/>
        <v>1995</v>
      </c>
      <c r="BX20" s="37">
        <f t="shared" si="36"/>
        <v>1996</v>
      </c>
      <c r="BY20" s="37">
        <f t="shared" si="37"/>
        <v>1997</v>
      </c>
      <c r="BZ20" s="37">
        <f t="shared" si="38"/>
        <v>1998</v>
      </c>
      <c r="CA20" s="37">
        <f t="shared" si="39"/>
        <v>1999</v>
      </c>
      <c r="CB20" s="38">
        <f t="shared" si="40"/>
        <v>2000</v>
      </c>
      <c r="CC20" s="40">
        <f t="shared" si="41"/>
        <v>2001</v>
      </c>
      <c r="CD20" s="37">
        <f t="shared" si="42"/>
        <v>2002</v>
      </c>
      <c r="CE20" s="37">
        <f t="shared" si="43"/>
        <v>2003</v>
      </c>
      <c r="CF20" s="37">
        <f t="shared" si="44"/>
        <v>2004</v>
      </c>
      <c r="CG20" s="37">
        <f t="shared" si="45"/>
        <v>2005</v>
      </c>
      <c r="CH20" s="37">
        <f t="shared" si="46"/>
        <v>2006</v>
      </c>
      <c r="CI20" s="37">
        <f t="shared" si="47"/>
        <v>2007</v>
      </c>
      <c r="CJ20" s="37">
        <f t="shared" si="48"/>
        <v>2008</v>
      </c>
      <c r="CK20" s="37">
        <f t="shared" si="49"/>
        <v>2009</v>
      </c>
      <c r="CL20" s="39">
        <f t="shared" si="50"/>
        <v>2010</v>
      </c>
      <c r="CM20" s="36">
        <f t="shared" si="51"/>
        <v>2011</v>
      </c>
      <c r="CN20" s="37">
        <f t="shared" si="52"/>
        <v>2012</v>
      </c>
      <c r="CO20" s="37">
        <f t="shared" si="53"/>
        <v>2013</v>
      </c>
      <c r="CP20" s="37">
        <f t="shared" si="54"/>
        <v>2014</v>
      </c>
      <c r="CQ20" s="37">
        <f t="shared" si="55"/>
        <v>2015</v>
      </c>
      <c r="CR20" s="37">
        <f t="shared" si="56"/>
        <v>2016</v>
      </c>
      <c r="CS20" s="37">
        <f t="shared" si="57"/>
        <v>2017</v>
      </c>
      <c r="CT20" s="37">
        <f t="shared" si="58"/>
        <v>2018</v>
      </c>
      <c r="CU20" s="37">
        <f t="shared" si="59"/>
        <v>2019</v>
      </c>
      <c r="CV20" s="38">
        <f t="shared" si="60"/>
        <v>2020</v>
      </c>
      <c r="CW20" s="40">
        <f t="shared" si="61"/>
        <v>2021</v>
      </c>
      <c r="CX20" s="37">
        <f t="shared" si="62"/>
        <v>2022</v>
      </c>
      <c r="CY20" s="37">
        <f t="shared" si="63"/>
        <v>2023</v>
      </c>
      <c r="CZ20" s="37">
        <f t="shared" si="64"/>
        <v>2024</v>
      </c>
      <c r="DA20" s="37">
        <f t="shared" si="65"/>
        <v>2025</v>
      </c>
      <c r="DB20" s="37">
        <f t="shared" si="66"/>
        <v>2026</v>
      </c>
      <c r="DC20" s="37">
        <f t="shared" si="67"/>
        <v>2027</v>
      </c>
      <c r="DD20" s="37">
        <f t="shared" si="68"/>
        <v>2028</v>
      </c>
      <c r="DE20" s="37">
        <f t="shared" si="69"/>
        <v>2029</v>
      </c>
      <c r="DF20" s="39">
        <f t="shared" si="70"/>
        <v>2030</v>
      </c>
      <c r="DG20" s="36">
        <f t="shared" si="71"/>
        <v>2031</v>
      </c>
      <c r="DH20" s="37">
        <f t="shared" si="72"/>
        <v>2032</v>
      </c>
      <c r="DI20" s="37">
        <f t="shared" si="73"/>
        <v>2033</v>
      </c>
      <c r="DJ20" s="37">
        <f t="shared" si="74"/>
        <v>2034</v>
      </c>
      <c r="DK20" s="37">
        <f t="shared" si="75"/>
        <v>2035</v>
      </c>
      <c r="DL20" s="37">
        <f t="shared" si="76"/>
        <v>2036</v>
      </c>
      <c r="DM20" s="37">
        <f t="shared" si="77"/>
        <v>2037</v>
      </c>
      <c r="DN20" s="37">
        <f t="shared" si="78"/>
        <v>2038</v>
      </c>
      <c r="DO20" s="37">
        <f t="shared" si="79"/>
        <v>2039</v>
      </c>
      <c r="DP20" s="38">
        <f t="shared" si="80"/>
        <v>2040</v>
      </c>
      <c r="DR20" s="537">
        <v>70</v>
      </c>
      <c r="DS20" s="538"/>
      <c r="DT20" s="537">
        <v>7</v>
      </c>
      <c r="DU20" s="538"/>
    </row>
    <row r="21" spans="1:126" ht="6.5" customHeight="1">
      <c r="A21" s="36">
        <v>2041</v>
      </c>
      <c r="B21" s="37">
        <f t="shared" si="21"/>
        <v>2042</v>
      </c>
      <c r="C21" s="37">
        <f t="shared" si="21"/>
        <v>2043</v>
      </c>
      <c r="D21" s="37">
        <f t="shared" si="21"/>
        <v>2044</v>
      </c>
      <c r="E21" s="37">
        <f t="shared" si="21"/>
        <v>2045</v>
      </c>
      <c r="F21" s="37">
        <f t="shared" si="21"/>
        <v>2046</v>
      </c>
      <c r="G21" s="37">
        <f t="shared" si="21"/>
        <v>2047</v>
      </c>
      <c r="H21" s="37">
        <f t="shared" si="21"/>
        <v>2048</v>
      </c>
      <c r="I21" s="37">
        <f t="shared" si="21"/>
        <v>2049</v>
      </c>
      <c r="J21" s="38">
        <f t="shared" si="21"/>
        <v>2050</v>
      </c>
      <c r="K21" s="36">
        <f t="shared" si="21"/>
        <v>2051</v>
      </c>
      <c r="L21" s="37">
        <f t="shared" si="21"/>
        <v>2052</v>
      </c>
      <c r="M21" s="37">
        <f t="shared" si="21"/>
        <v>2053</v>
      </c>
      <c r="N21" s="37">
        <f t="shared" si="21"/>
        <v>2054</v>
      </c>
      <c r="O21" s="37">
        <f t="shared" si="21"/>
        <v>2055</v>
      </c>
      <c r="P21" s="37">
        <f t="shared" si="21"/>
        <v>2056</v>
      </c>
      <c r="Q21" s="37">
        <f t="shared" si="21"/>
        <v>2057</v>
      </c>
      <c r="R21" s="37">
        <f t="shared" si="22"/>
        <v>2058</v>
      </c>
      <c r="S21" s="37">
        <f t="shared" si="22"/>
        <v>2059</v>
      </c>
      <c r="T21" s="38">
        <f t="shared" si="22"/>
        <v>2060</v>
      </c>
      <c r="U21" s="36">
        <f t="shared" si="22"/>
        <v>2061</v>
      </c>
      <c r="V21" s="37">
        <f t="shared" si="22"/>
        <v>2062</v>
      </c>
      <c r="W21" s="37">
        <f t="shared" si="22"/>
        <v>2063</v>
      </c>
      <c r="X21" s="37">
        <f t="shared" si="22"/>
        <v>2064</v>
      </c>
      <c r="Y21" s="37">
        <f t="shared" si="22"/>
        <v>2065</v>
      </c>
      <c r="Z21" s="37">
        <f t="shared" si="22"/>
        <v>2066</v>
      </c>
      <c r="AA21" s="37">
        <f t="shared" si="22"/>
        <v>2067</v>
      </c>
      <c r="AB21" s="37">
        <f t="shared" si="22"/>
        <v>2068</v>
      </c>
      <c r="AC21" s="37">
        <f t="shared" si="22"/>
        <v>2069</v>
      </c>
      <c r="AD21" s="38">
        <f t="shared" si="22"/>
        <v>2070</v>
      </c>
      <c r="AE21" s="36">
        <f t="shared" si="22"/>
        <v>2071</v>
      </c>
      <c r="AF21" s="37">
        <f t="shared" si="22"/>
        <v>2072</v>
      </c>
      <c r="AG21" s="37">
        <f t="shared" si="22"/>
        <v>2073</v>
      </c>
      <c r="AH21" s="37">
        <f t="shared" si="23"/>
        <v>2074</v>
      </c>
      <c r="AI21" s="37">
        <f t="shared" si="23"/>
        <v>2075</v>
      </c>
      <c r="AJ21" s="37">
        <f t="shared" si="23"/>
        <v>2076</v>
      </c>
      <c r="AK21" s="37">
        <f t="shared" si="23"/>
        <v>2077</v>
      </c>
      <c r="AL21" s="37">
        <f t="shared" si="23"/>
        <v>2078</v>
      </c>
      <c r="AM21" s="37">
        <f t="shared" si="23"/>
        <v>2079</v>
      </c>
      <c r="AN21" s="38">
        <f t="shared" si="23"/>
        <v>2080</v>
      </c>
      <c r="AO21" s="36">
        <f t="shared" si="23"/>
        <v>2081</v>
      </c>
      <c r="AP21" s="37">
        <f t="shared" si="23"/>
        <v>2082</v>
      </c>
      <c r="AQ21" s="37">
        <f t="shared" si="23"/>
        <v>2083</v>
      </c>
      <c r="AR21" s="37">
        <f t="shared" si="23"/>
        <v>2084</v>
      </c>
      <c r="AS21" s="37">
        <f t="shared" si="23"/>
        <v>2085</v>
      </c>
      <c r="AT21" s="37">
        <f t="shared" si="23"/>
        <v>2086</v>
      </c>
      <c r="AU21" s="37">
        <f t="shared" si="23"/>
        <v>2087</v>
      </c>
      <c r="AV21" s="37">
        <f t="shared" si="23"/>
        <v>2088</v>
      </c>
      <c r="AW21" s="37">
        <f t="shared" si="23"/>
        <v>2089</v>
      </c>
      <c r="AX21" s="38">
        <f t="shared" si="24"/>
        <v>2090</v>
      </c>
      <c r="AY21" s="36">
        <f t="shared" si="24"/>
        <v>2091</v>
      </c>
      <c r="AZ21" s="37">
        <f t="shared" si="24"/>
        <v>2092</v>
      </c>
      <c r="BA21" s="37">
        <f t="shared" si="24"/>
        <v>2093</v>
      </c>
      <c r="BB21" s="37">
        <f t="shared" si="24"/>
        <v>2094</v>
      </c>
      <c r="BC21" s="37">
        <f t="shared" si="24"/>
        <v>2095</v>
      </c>
      <c r="BD21" s="37">
        <f t="shared" si="24"/>
        <v>2096</v>
      </c>
      <c r="BE21" s="37">
        <f t="shared" si="24"/>
        <v>2097</v>
      </c>
      <c r="BF21" s="37">
        <f t="shared" si="24"/>
        <v>2098</v>
      </c>
      <c r="BG21" s="37">
        <f t="shared" si="24"/>
        <v>2099</v>
      </c>
      <c r="BH21" s="38">
        <f t="shared" si="24"/>
        <v>2100</v>
      </c>
      <c r="BI21" s="36">
        <f t="shared" si="24"/>
        <v>2101</v>
      </c>
      <c r="BJ21" s="37">
        <f t="shared" si="24"/>
        <v>2102</v>
      </c>
      <c r="BK21" s="37">
        <f t="shared" si="24"/>
        <v>2103</v>
      </c>
      <c r="BL21" s="37">
        <f t="shared" si="24"/>
        <v>2104</v>
      </c>
      <c r="BM21" s="37">
        <f t="shared" si="25"/>
        <v>2105</v>
      </c>
      <c r="BN21" s="37">
        <f t="shared" si="26"/>
        <v>2106</v>
      </c>
      <c r="BO21" s="37">
        <f t="shared" si="27"/>
        <v>2107</v>
      </c>
      <c r="BP21" s="37">
        <f t="shared" si="28"/>
        <v>2108</v>
      </c>
      <c r="BQ21" s="37">
        <f t="shared" si="29"/>
        <v>2109</v>
      </c>
      <c r="BR21" s="39">
        <f t="shared" si="30"/>
        <v>2110</v>
      </c>
      <c r="BS21" s="36">
        <f t="shared" si="31"/>
        <v>2111</v>
      </c>
      <c r="BT21" s="37">
        <f t="shared" si="32"/>
        <v>2112</v>
      </c>
      <c r="BU21" s="37">
        <f t="shared" si="33"/>
        <v>2113</v>
      </c>
      <c r="BV21" s="37">
        <f t="shared" si="34"/>
        <v>2114</v>
      </c>
      <c r="BW21" s="37">
        <f t="shared" si="35"/>
        <v>2115</v>
      </c>
      <c r="BX21" s="37">
        <f t="shared" si="36"/>
        <v>2116</v>
      </c>
      <c r="BY21" s="37">
        <f t="shared" si="37"/>
        <v>2117</v>
      </c>
      <c r="BZ21" s="37">
        <f t="shared" si="38"/>
        <v>2118</v>
      </c>
      <c r="CA21" s="37">
        <f t="shared" si="39"/>
        <v>2119</v>
      </c>
      <c r="CB21" s="38">
        <f t="shared" si="40"/>
        <v>2120</v>
      </c>
      <c r="CC21" s="40">
        <f t="shared" si="41"/>
        <v>2121</v>
      </c>
      <c r="CD21" s="37">
        <f t="shared" si="42"/>
        <v>2122</v>
      </c>
      <c r="CE21" s="37">
        <f t="shared" si="43"/>
        <v>2123</v>
      </c>
      <c r="CF21" s="37">
        <f t="shared" si="44"/>
        <v>2124</v>
      </c>
      <c r="CG21" s="37">
        <f t="shared" si="45"/>
        <v>2125</v>
      </c>
      <c r="CH21" s="37">
        <f t="shared" si="46"/>
        <v>2126</v>
      </c>
      <c r="CI21" s="37">
        <f t="shared" si="47"/>
        <v>2127</v>
      </c>
      <c r="CJ21" s="37">
        <f t="shared" si="48"/>
        <v>2128</v>
      </c>
      <c r="CK21" s="37">
        <f t="shared" si="49"/>
        <v>2129</v>
      </c>
      <c r="CL21" s="39">
        <f t="shared" si="50"/>
        <v>2130</v>
      </c>
      <c r="CM21" s="36">
        <f t="shared" si="51"/>
        <v>2131</v>
      </c>
      <c r="CN21" s="37">
        <f t="shared" si="52"/>
        <v>2132</v>
      </c>
      <c r="CO21" s="37">
        <f t="shared" si="53"/>
        <v>2133</v>
      </c>
      <c r="CP21" s="37">
        <f t="shared" si="54"/>
        <v>2134</v>
      </c>
      <c r="CQ21" s="37">
        <f t="shared" si="55"/>
        <v>2135</v>
      </c>
      <c r="CR21" s="37">
        <f t="shared" si="56"/>
        <v>2136</v>
      </c>
      <c r="CS21" s="37">
        <f t="shared" si="57"/>
        <v>2137</v>
      </c>
      <c r="CT21" s="37">
        <f t="shared" si="58"/>
        <v>2138</v>
      </c>
      <c r="CU21" s="37">
        <f t="shared" si="59"/>
        <v>2139</v>
      </c>
      <c r="CV21" s="38">
        <f t="shared" si="60"/>
        <v>2140</v>
      </c>
      <c r="CW21" s="40">
        <f t="shared" si="61"/>
        <v>2141</v>
      </c>
      <c r="CX21" s="37">
        <f t="shared" si="62"/>
        <v>2142</v>
      </c>
      <c r="CY21" s="37">
        <f t="shared" si="63"/>
        <v>2143</v>
      </c>
      <c r="CZ21" s="37">
        <f t="shared" si="64"/>
        <v>2144</v>
      </c>
      <c r="DA21" s="37">
        <f t="shared" si="65"/>
        <v>2145</v>
      </c>
      <c r="DB21" s="37">
        <f t="shared" si="66"/>
        <v>2146</v>
      </c>
      <c r="DC21" s="37">
        <f t="shared" si="67"/>
        <v>2147</v>
      </c>
      <c r="DD21" s="37">
        <f t="shared" si="68"/>
        <v>2148</v>
      </c>
      <c r="DE21" s="37">
        <f t="shared" si="69"/>
        <v>2149</v>
      </c>
      <c r="DF21" s="39">
        <f t="shared" si="70"/>
        <v>2150</v>
      </c>
      <c r="DG21" s="36">
        <f t="shared" si="71"/>
        <v>2151</v>
      </c>
      <c r="DH21" s="37">
        <f t="shared" si="72"/>
        <v>2152</v>
      </c>
      <c r="DI21" s="37">
        <f t="shared" si="73"/>
        <v>2153</v>
      </c>
      <c r="DJ21" s="37">
        <f t="shared" si="74"/>
        <v>2154</v>
      </c>
      <c r="DK21" s="37">
        <f t="shared" si="75"/>
        <v>2155</v>
      </c>
      <c r="DL21" s="37">
        <f t="shared" si="76"/>
        <v>2156</v>
      </c>
      <c r="DM21" s="37">
        <f t="shared" si="77"/>
        <v>2157</v>
      </c>
      <c r="DN21" s="37">
        <f t="shared" si="78"/>
        <v>2158</v>
      </c>
      <c r="DO21" s="37">
        <f t="shared" si="79"/>
        <v>2159</v>
      </c>
      <c r="DP21" s="38">
        <f t="shared" si="80"/>
        <v>2160</v>
      </c>
      <c r="DR21" s="539"/>
      <c r="DS21" s="540"/>
      <c r="DT21" s="539"/>
      <c r="DU21" s="540"/>
    </row>
    <row r="22" spans="1:126" ht="5.75" customHeight="1">
      <c r="A22" s="36">
        <v>2161</v>
      </c>
      <c r="B22" s="37">
        <f t="shared" si="21"/>
        <v>2162</v>
      </c>
      <c r="C22" s="37">
        <f t="shared" si="21"/>
        <v>2163</v>
      </c>
      <c r="D22" s="37">
        <f t="shared" si="21"/>
        <v>2164</v>
      </c>
      <c r="E22" s="37">
        <f t="shared" si="21"/>
        <v>2165</v>
      </c>
      <c r="F22" s="37">
        <f t="shared" si="21"/>
        <v>2166</v>
      </c>
      <c r="G22" s="37">
        <f t="shared" si="21"/>
        <v>2167</v>
      </c>
      <c r="H22" s="37">
        <f t="shared" si="21"/>
        <v>2168</v>
      </c>
      <c r="I22" s="37">
        <f t="shared" si="21"/>
        <v>2169</v>
      </c>
      <c r="J22" s="38">
        <f t="shared" si="21"/>
        <v>2170</v>
      </c>
      <c r="K22" s="36">
        <f t="shared" si="21"/>
        <v>2171</v>
      </c>
      <c r="L22" s="37">
        <f t="shared" si="21"/>
        <v>2172</v>
      </c>
      <c r="M22" s="37">
        <f t="shared" si="21"/>
        <v>2173</v>
      </c>
      <c r="N22" s="37">
        <f t="shared" si="21"/>
        <v>2174</v>
      </c>
      <c r="O22" s="37">
        <f t="shared" si="21"/>
        <v>2175</v>
      </c>
      <c r="P22" s="37">
        <f t="shared" si="21"/>
        <v>2176</v>
      </c>
      <c r="Q22" s="37">
        <f t="shared" si="21"/>
        <v>2177</v>
      </c>
      <c r="R22" s="37">
        <f t="shared" si="22"/>
        <v>2178</v>
      </c>
      <c r="S22" s="37">
        <f t="shared" si="22"/>
        <v>2179</v>
      </c>
      <c r="T22" s="38">
        <f t="shared" si="22"/>
        <v>2180</v>
      </c>
      <c r="U22" s="36">
        <f t="shared" si="22"/>
        <v>2181</v>
      </c>
      <c r="V22" s="37">
        <f t="shared" si="22"/>
        <v>2182</v>
      </c>
      <c r="W22" s="37">
        <f t="shared" si="22"/>
        <v>2183</v>
      </c>
      <c r="X22" s="37">
        <f t="shared" si="22"/>
        <v>2184</v>
      </c>
      <c r="Y22" s="37">
        <f t="shared" si="22"/>
        <v>2185</v>
      </c>
      <c r="Z22" s="37">
        <f t="shared" si="22"/>
        <v>2186</v>
      </c>
      <c r="AA22" s="37">
        <f t="shared" si="22"/>
        <v>2187</v>
      </c>
      <c r="AB22" s="37">
        <f t="shared" si="22"/>
        <v>2188</v>
      </c>
      <c r="AC22" s="37">
        <f t="shared" si="22"/>
        <v>2189</v>
      </c>
      <c r="AD22" s="38">
        <f t="shared" si="22"/>
        <v>2190</v>
      </c>
      <c r="AE22" s="36">
        <f t="shared" si="22"/>
        <v>2191</v>
      </c>
      <c r="AF22" s="37">
        <f t="shared" si="22"/>
        <v>2192</v>
      </c>
      <c r="AG22" s="37">
        <f t="shared" si="22"/>
        <v>2193</v>
      </c>
      <c r="AH22" s="37">
        <f t="shared" si="23"/>
        <v>2194</v>
      </c>
      <c r="AI22" s="37">
        <f t="shared" si="23"/>
        <v>2195</v>
      </c>
      <c r="AJ22" s="37">
        <f t="shared" si="23"/>
        <v>2196</v>
      </c>
      <c r="AK22" s="37">
        <f t="shared" si="23"/>
        <v>2197</v>
      </c>
      <c r="AL22" s="37">
        <f t="shared" si="23"/>
        <v>2198</v>
      </c>
      <c r="AM22" s="37">
        <f t="shared" si="23"/>
        <v>2199</v>
      </c>
      <c r="AN22" s="38">
        <f t="shared" si="23"/>
        <v>2200</v>
      </c>
      <c r="AO22" s="36">
        <f t="shared" si="23"/>
        <v>2201</v>
      </c>
      <c r="AP22" s="37">
        <f t="shared" si="23"/>
        <v>2202</v>
      </c>
      <c r="AQ22" s="37">
        <f t="shared" si="23"/>
        <v>2203</v>
      </c>
      <c r="AR22" s="37">
        <f t="shared" si="23"/>
        <v>2204</v>
      </c>
      <c r="AS22" s="37">
        <f t="shared" si="23"/>
        <v>2205</v>
      </c>
      <c r="AT22" s="37">
        <f t="shared" si="23"/>
        <v>2206</v>
      </c>
      <c r="AU22" s="37">
        <f t="shared" si="23"/>
        <v>2207</v>
      </c>
      <c r="AV22" s="37">
        <f t="shared" si="23"/>
        <v>2208</v>
      </c>
      <c r="AW22" s="37">
        <f t="shared" si="23"/>
        <v>2209</v>
      </c>
      <c r="AX22" s="38">
        <f t="shared" si="24"/>
        <v>2210</v>
      </c>
      <c r="AY22" s="36">
        <f t="shared" si="24"/>
        <v>2211</v>
      </c>
      <c r="AZ22" s="37">
        <f t="shared" si="24"/>
        <v>2212</v>
      </c>
      <c r="BA22" s="37">
        <f t="shared" si="24"/>
        <v>2213</v>
      </c>
      <c r="BB22" s="37">
        <f t="shared" si="24"/>
        <v>2214</v>
      </c>
      <c r="BC22" s="37">
        <f t="shared" si="24"/>
        <v>2215</v>
      </c>
      <c r="BD22" s="37">
        <f t="shared" si="24"/>
        <v>2216</v>
      </c>
      <c r="BE22" s="37">
        <f t="shared" si="24"/>
        <v>2217</v>
      </c>
      <c r="BF22" s="37">
        <f t="shared" si="24"/>
        <v>2218</v>
      </c>
      <c r="BG22" s="37">
        <f t="shared" si="24"/>
        <v>2219</v>
      </c>
      <c r="BH22" s="38">
        <f t="shared" si="24"/>
        <v>2220</v>
      </c>
      <c r="BI22" s="36">
        <f t="shared" si="24"/>
        <v>2221</v>
      </c>
      <c r="BJ22" s="37">
        <f t="shared" si="24"/>
        <v>2222</v>
      </c>
      <c r="BK22" s="37">
        <f t="shared" si="24"/>
        <v>2223</v>
      </c>
      <c r="BL22" s="37">
        <f t="shared" si="24"/>
        <v>2224</v>
      </c>
      <c r="BM22" s="37">
        <f t="shared" si="25"/>
        <v>2225</v>
      </c>
      <c r="BN22" s="37">
        <f t="shared" si="26"/>
        <v>2226</v>
      </c>
      <c r="BO22" s="37">
        <f t="shared" si="27"/>
        <v>2227</v>
      </c>
      <c r="BP22" s="37">
        <f t="shared" si="28"/>
        <v>2228</v>
      </c>
      <c r="BQ22" s="37">
        <f t="shared" si="29"/>
        <v>2229</v>
      </c>
      <c r="BR22" s="39">
        <f t="shared" si="30"/>
        <v>2230</v>
      </c>
      <c r="BS22" s="36">
        <f t="shared" si="31"/>
        <v>2231</v>
      </c>
      <c r="BT22" s="37">
        <f t="shared" si="32"/>
        <v>2232</v>
      </c>
      <c r="BU22" s="37">
        <f t="shared" si="33"/>
        <v>2233</v>
      </c>
      <c r="BV22" s="37">
        <f t="shared" si="34"/>
        <v>2234</v>
      </c>
      <c r="BW22" s="37">
        <f t="shared" si="35"/>
        <v>2235</v>
      </c>
      <c r="BX22" s="37">
        <f t="shared" si="36"/>
        <v>2236</v>
      </c>
      <c r="BY22" s="37">
        <f t="shared" si="37"/>
        <v>2237</v>
      </c>
      <c r="BZ22" s="37">
        <f t="shared" si="38"/>
        <v>2238</v>
      </c>
      <c r="CA22" s="37">
        <f t="shared" si="39"/>
        <v>2239</v>
      </c>
      <c r="CB22" s="38">
        <f t="shared" si="40"/>
        <v>2240</v>
      </c>
      <c r="CC22" s="40">
        <f t="shared" si="41"/>
        <v>2241</v>
      </c>
      <c r="CD22" s="37">
        <f t="shared" si="42"/>
        <v>2242</v>
      </c>
      <c r="CE22" s="37">
        <f t="shared" si="43"/>
        <v>2243</v>
      </c>
      <c r="CF22" s="37">
        <f t="shared" si="44"/>
        <v>2244</v>
      </c>
      <c r="CG22" s="37">
        <f t="shared" si="45"/>
        <v>2245</v>
      </c>
      <c r="CH22" s="37">
        <f t="shared" si="46"/>
        <v>2246</v>
      </c>
      <c r="CI22" s="37">
        <f t="shared" si="47"/>
        <v>2247</v>
      </c>
      <c r="CJ22" s="37">
        <f t="shared" si="48"/>
        <v>2248</v>
      </c>
      <c r="CK22" s="37">
        <f t="shared" si="49"/>
        <v>2249</v>
      </c>
      <c r="CL22" s="39">
        <f t="shared" si="50"/>
        <v>2250</v>
      </c>
      <c r="CM22" s="36">
        <f t="shared" si="51"/>
        <v>2251</v>
      </c>
      <c r="CN22" s="37">
        <f t="shared" si="52"/>
        <v>2252</v>
      </c>
      <c r="CO22" s="37">
        <f t="shared" si="53"/>
        <v>2253</v>
      </c>
      <c r="CP22" s="37">
        <f t="shared" si="54"/>
        <v>2254</v>
      </c>
      <c r="CQ22" s="37">
        <f t="shared" si="55"/>
        <v>2255</v>
      </c>
      <c r="CR22" s="37">
        <f t="shared" si="56"/>
        <v>2256</v>
      </c>
      <c r="CS22" s="37">
        <f t="shared" si="57"/>
        <v>2257</v>
      </c>
      <c r="CT22" s="37">
        <f t="shared" si="58"/>
        <v>2258</v>
      </c>
      <c r="CU22" s="37">
        <f t="shared" si="59"/>
        <v>2259</v>
      </c>
      <c r="CV22" s="38">
        <f t="shared" si="60"/>
        <v>2260</v>
      </c>
      <c r="CW22" s="40">
        <f t="shared" si="61"/>
        <v>2261</v>
      </c>
      <c r="CX22" s="37">
        <f t="shared" si="62"/>
        <v>2262</v>
      </c>
      <c r="CY22" s="37">
        <f t="shared" si="63"/>
        <v>2263</v>
      </c>
      <c r="CZ22" s="37">
        <f t="shared" si="64"/>
        <v>2264</v>
      </c>
      <c r="DA22" s="37">
        <f t="shared" si="65"/>
        <v>2265</v>
      </c>
      <c r="DB22" s="37">
        <f t="shared" si="66"/>
        <v>2266</v>
      </c>
      <c r="DC22" s="37">
        <f t="shared" si="67"/>
        <v>2267</v>
      </c>
      <c r="DD22" s="37">
        <f t="shared" si="68"/>
        <v>2268</v>
      </c>
      <c r="DE22" s="37">
        <f t="shared" si="69"/>
        <v>2269</v>
      </c>
      <c r="DF22" s="39">
        <f t="shared" si="70"/>
        <v>2270</v>
      </c>
      <c r="DG22" s="36">
        <f t="shared" si="71"/>
        <v>2271</v>
      </c>
      <c r="DH22" s="37">
        <f t="shared" si="72"/>
        <v>2272</v>
      </c>
      <c r="DI22" s="37">
        <f t="shared" si="73"/>
        <v>2273</v>
      </c>
      <c r="DJ22" s="37">
        <f t="shared" si="74"/>
        <v>2274</v>
      </c>
      <c r="DK22" s="37">
        <f t="shared" si="75"/>
        <v>2275</v>
      </c>
      <c r="DL22" s="37">
        <f t="shared" si="76"/>
        <v>2276</v>
      </c>
      <c r="DM22" s="37">
        <f t="shared" si="77"/>
        <v>2277</v>
      </c>
      <c r="DN22" s="37">
        <f t="shared" si="78"/>
        <v>2278</v>
      </c>
      <c r="DO22" s="37">
        <f t="shared" si="79"/>
        <v>2279</v>
      </c>
      <c r="DP22" s="38">
        <f t="shared" si="80"/>
        <v>2280</v>
      </c>
      <c r="DQ22" s="64"/>
      <c r="DR22" s="533">
        <v>80</v>
      </c>
      <c r="DS22" s="534"/>
      <c r="DT22" s="537">
        <v>8</v>
      </c>
      <c r="DU22" s="538"/>
      <c r="DV22" s="51"/>
    </row>
    <row r="23" spans="1:126" ht="5.75" customHeight="1">
      <c r="A23" s="36">
        <v>2281</v>
      </c>
      <c r="B23" s="37">
        <f t="shared" si="21"/>
        <v>2282</v>
      </c>
      <c r="C23" s="37">
        <f t="shared" si="21"/>
        <v>2283</v>
      </c>
      <c r="D23" s="37">
        <f t="shared" si="21"/>
        <v>2284</v>
      </c>
      <c r="E23" s="37">
        <f t="shared" si="21"/>
        <v>2285</v>
      </c>
      <c r="F23" s="37">
        <f t="shared" si="21"/>
        <v>2286</v>
      </c>
      <c r="G23" s="37">
        <f t="shared" si="21"/>
        <v>2287</v>
      </c>
      <c r="H23" s="37">
        <f t="shared" si="21"/>
        <v>2288</v>
      </c>
      <c r="I23" s="37">
        <f t="shared" si="21"/>
        <v>2289</v>
      </c>
      <c r="J23" s="38">
        <f t="shared" si="21"/>
        <v>2290</v>
      </c>
      <c r="K23" s="36">
        <f t="shared" si="21"/>
        <v>2291</v>
      </c>
      <c r="L23" s="37">
        <f t="shared" si="21"/>
        <v>2292</v>
      </c>
      <c r="M23" s="37">
        <f t="shared" si="21"/>
        <v>2293</v>
      </c>
      <c r="N23" s="37">
        <f t="shared" si="21"/>
        <v>2294</v>
      </c>
      <c r="O23" s="37">
        <f t="shared" si="21"/>
        <v>2295</v>
      </c>
      <c r="P23" s="37">
        <f t="shared" si="21"/>
        <v>2296</v>
      </c>
      <c r="Q23" s="37">
        <f t="shared" si="21"/>
        <v>2297</v>
      </c>
      <c r="R23" s="37">
        <f t="shared" si="22"/>
        <v>2298</v>
      </c>
      <c r="S23" s="37">
        <f t="shared" si="22"/>
        <v>2299</v>
      </c>
      <c r="T23" s="38">
        <f t="shared" si="22"/>
        <v>2300</v>
      </c>
      <c r="U23" s="36">
        <f t="shared" si="22"/>
        <v>2301</v>
      </c>
      <c r="V23" s="37">
        <f t="shared" si="22"/>
        <v>2302</v>
      </c>
      <c r="W23" s="37">
        <f t="shared" si="22"/>
        <v>2303</v>
      </c>
      <c r="X23" s="37">
        <f t="shared" si="22"/>
        <v>2304</v>
      </c>
      <c r="Y23" s="37">
        <f t="shared" si="22"/>
        <v>2305</v>
      </c>
      <c r="Z23" s="37">
        <f t="shared" si="22"/>
        <v>2306</v>
      </c>
      <c r="AA23" s="37">
        <f t="shared" si="22"/>
        <v>2307</v>
      </c>
      <c r="AB23" s="37">
        <f t="shared" si="22"/>
        <v>2308</v>
      </c>
      <c r="AC23" s="37">
        <f t="shared" si="22"/>
        <v>2309</v>
      </c>
      <c r="AD23" s="38">
        <f t="shared" si="22"/>
        <v>2310</v>
      </c>
      <c r="AE23" s="36">
        <f t="shared" si="22"/>
        <v>2311</v>
      </c>
      <c r="AF23" s="37">
        <f t="shared" si="22"/>
        <v>2312</v>
      </c>
      <c r="AG23" s="37">
        <f t="shared" si="22"/>
        <v>2313</v>
      </c>
      <c r="AH23" s="37">
        <f t="shared" si="23"/>
        <v>2314</v>
      </c>
      <c r="AI23" s="37">
        <f t="shared" si="23"/>
        <v>2315</v>
      </c>
      <c r="AJ23" s="37">
        <f t="shared" si="23"/>
        <v>2316</v>
      </c>
      <c r="AK23" s="37">
        <f t="shared" si="23"/>
        <v>2317</v>
      </c>
      <c r="AL23" s="37">
        <f t="shared" si="23"/>
        <v>2318</v>
      </c>
      <c r="AM23" s="37">
        <f t="shared" si="23"/>
        <v>2319</v>
      </c>
      <c r="AN23" s="38">
        <f t="shared" si="23"/>
        <v>2320</v>
      </c>
      <c r="AO23" s="36">
        <f t="shared" si="23"/>
        <v>2321</v>
      </c>
      <c r="AP23" s="37">
        <f t="shared" si="23"/>
        <v>2322</v>
      </c>
      <c r="AQ23" s="37">
        <f t="shared" si="23"/>
        <v>2323</v>
      </c>
      <c r="AR23" s="37">
        <f t="shared" si="23"/>
        <v>2324</v>
      </c>
      <c r="AS23" s="37">
        <f t="shared" si="23"/>
        <v>2325</v>
      </c>
      <c r="AT23" s="37">
        <f t="shared" si="23"/>
        <v>2326</v>
      </c>
      <c r="AU23" s="37">
        <f t="shared" si="23"/>
        <v>2327</v>
      </c>
      <c r="AV23" s="37">
        <f t="shared" si="23"/>
        <v>2328</v>
      </c>
      <c r="AW23" s="37">
        <f t="shared" si="23"/>
        <v>2329</v>
      </c>
      <c r="AX23" s="38">
        <f t="shared" si="24"/>
        <v>2330</v>
      </c>
      <c r="AY23" s="36">
        <f t="shared" si="24"/>
        <v>2331</v>
      </c>
      <c r="AZ23" s="37">
        <f t="shared" si="24"/>
        <v>2332</v>
      </c>
      <c r="BA23" s="37">
        <f t="shared" si="24"/>
        <v>2333</v>
      </c>
      <c r="BB23" s="37">
        <f t="shared" si="24"/>
        <v>2334</v>
      </c>
      <c r="BC23" s="37">
        <f t="shared" si="24"/>
        <v>2335</v>
      </c>
      <c r="BD23" s="37">
        <f t="shared" si="24"/>
        <v>2336</v>
      </c>
      <c r="BE23" s="37">
        <f t="shared" si="24"/>
        <v>2337</v>
      </c>
      <c r="BF23" s="37">
        <f t="shared" si="24"/>
        <v>2338</v>
      </c>
      <c r="BG23" s="37">
        <f t="shared" si="24"/>
        <v>2339</v>
      </c>
      <c r="BH23" s="38">
        <f t="shared" si="24"/>
        <v>2340</v>
      </c>
      <c r="BI23" s="36">
        <f t="shared" si="24"/>
        <v>2341</v>
      </c>
      <c r="BJ23" s="37">
        <f t="shared" si="24"/>
        <v>2342</v>
      </c>
      <c r="BK23" s="37">
        <f t="shared" si="24"/>
        <v>2343</v>
      </c>
      <c r="BL23" s="37">
        <f t="shared" si="24"/>
        <v>2344</v>
      </c>
      <c r="BM23" s="37">
        <f t="shared" si="25"/>
        <v>2345</v>
      </c>
      <c r="BN23" s="37">
        <f t="shared" si="26"/>
        <v>2346</v>
      </c>
      <c r="BO23" s="37">
        <f t="shared" si="27"/>
        <v>2347</v>
      </c>
      <c r="BP23" s="37">
        <f t="shared" si="28"/>
        <v>2348</v>
      </c>
      <c r="BQ23" s="37">
        <f t="shared" si="29"/>
        <v>2349</v>
      </c>
      <c r="BR23" s="39">
        <f t="shared" si="30"/>
        <v>2350</v>
      </c>
      <c r="BS23" s="36">
        <f t="shared" si="31"/>
        <v>2351</v>
      </c>
      <c r="BT23" s="37">
        <f t="shared" si="32"/>
        <v>2352</v>
      </c>
      <c r="BU23" s="37">
        <f t="shared" si="33"/>
        <v>2353</v>
      </c>
      <c r="BV23" s="37">
        <f t="shared" si="34"/>
        <v>2354</v>
      </c>
      <c r="BW23" s="37">
        <f t="shared" si="35"/>
        <v>2355</v>
      </c>
      <c r="BX23" s="37">
        <f t="shared" si="36"/>
        <v>2356</v>
      </c>
      <c r="BY23" s="37">
        <f t="shared" si="37"/>
        <v>2357</v>
      </c>
      <c r="BZ23" s="37">
        <f t="shared" si="38"/>
        <v>2358</v>
      </c>
      <c r="CA23" s="37">
        <f t="shared" si="39"/>
        <v>2359</v>
      </c>
      <c r="CB23" s="38">
        <f t="shared" si="40"/>
        <v>2360</v>
      </c>
      <c r="CC23" s="40">
        <f t="shared" si="41"/>
        <v>2361</v>
      </c>
      <c r="CD23" s="37">
        <f t="shared" si="42"/>
        <v>2362</v>
      </c>
      <c r="CE23" s="37">
        <f t="shared" si="43"/>
        <v>2363</v>
      </c>
      <c r="CF23" s="37">
        <f t="shared" si="44"/>
        <v>2364</v>
      </c>
      <c r="CG23" s="37">
        <f t="shared" si="45"/>
        <v>2365</v>
      </c>
      <c r="CH23" s="37">
        <f t="shared" si="46"/>
        <v>2366</v>
      </c>
      <c r="CI23" s="37">
        <f t="shared" si="47"/>
        <v>2367</v>
      </c>
      <c r="CJ23" s="37">
        <f t="shared" si="48"/>
        <v>2368</v>
      </c>
      <c r="CK23" s="37">
        <f t="shared" si="49"/>
        <v>2369</v>
      </c>
      <c r="CL23" s="39">
        <f t="shared" si="50"/>
        <v>2370</v>
      </c>
      <c r="CM23" s="36">
        <f t="shared" si="51"/>
        <v>2371</v>
      </c>
      <c r="CN23" s="37">
        <f t="shared" si="52"/>
        <v>2372</v>
      </c>
      <c r="CO23" s="37">
        <f t="shared" si="53"/>
        <v>2373</v>
      </c>
      <c r="CP23" s="37">
        <f t="shared" si="54"/>
        <v>2374</v>
      </c>
      <c r="CQ23" s="37">
        <f t="shared" si="55"/>
        <v>2375</v>
      </c>
      <c r="CR23" s="37">
        <f t="shared" si="56"/>
        <v>2376</v>
      </c>
      <c r="CS23" s="37">
        <f t="shared" si="57"/>
        <v>2377</v>
      </c>
      <c r="CT23" s="37">
        <f t="shared" si="58"/>
        <v>2378</v>
      </c>
      <c r="CU23" s="37">
        <f t="shared" si="59"/>
        <v>2379</v>
      </c>
      <c r="CV23" s="38">
        <f t="shared" si="60"/>
        <v>2380</v>
      </c>
      <c r="CW23" s="40">
        <f t="shared" si="61"/>
        <v>2381</v>
      </c>
      <c r="CX23" s="37">
        <f t="shared" si="62"/>
        <v>2382</v>
      </c>
      <c r="CY23" s="37">
        <f t="shared" si="63"/>
        <v>2383</v>
      </c>
      <c r="CZ23" s="37">
        <f t="shared" si="64"/>
        <v>2384</v>
      </c>
      <c r="DA23" s="37">
        <f t="shared" si="65"/>
        <v>2385</v>
      </c>
      <c r="DB23" s="37">
        <f t="shared" si="66"/>
        <v>2386</v>
      </c>
      <c r="DC23" s="37">
        <f t="shared" si="67"/>
        <v>2387</v>
      </c>
      <c r="DD23" s="37">
        <f t="shared" si="68"/>
        <v>2388</v>
      </c>
      <c r="DE23" s="37">
        <f t="shared" si="69"/>
        <v>2389</v>
      </c>
      <c r="DF23" s="39">
        <f t="shared" si="70"/>
        <v>2390</v>
      </c>
      <c r="DG23" s="36">
        <f t="shared" si="71"/>
        <v>2391</v>
      </c>
      <c r="DH23" s="37">
        <f t="shared" si="72"/>
        <v>2392</v>
      </c>
      <c r="DI23" s="37">
        <f t="shared" si="73"/>
        <v>2393</v>
      </c>
      <c r="DJ23" s="37">
        <f t="shared" si="74"/>
        <v>2394</v>
      </c>
      <c r="DK23" s="37">
        <f t="shared" si="75"/>
        <v>2395</v>
      </c>
      <c r="DL23" s="37">
        <f t="shared" si="76"/>
        <v>2396</v>
      </c>
      <c r="DM23" s="37">
        <f t="shared" si="77"/>
        <v>2397</v>
      </c>
      <c r="DN23" s="37">
        <f t="shared" si="78"/>
        <v>2398</v>
      </c>
      <c r="DO23" s="37">
        <f t="shared" si="79"/>
        <v>2399</v>
      </c>
      <c r="DP23" s="38">
        <f t="shared" si="80"/>
        <v>2400</v>
      </c>
      <c r="DQ23" s="63"/>
      <c r="DR23" s="535"/>
      <c r="DS23" s="536"/>
      <c r="DT23" s="539"/>
      <c r="DU23" s="540"/>
      <c r="DV23" s="51"/>
    </row>
    <row r="24" spans="1:126" ht="5.75" customHeight="1">
      <c r="A24" s="36">
        <v>2401</v>
      </c>
      <c r="B24" s="37">
        <f t="shared" si="21"/>
        <v>2402</v>
      </c>
      <c r="C24" s="37">
        <f t="shared" si="21"/>
        <v>2403</v>
      </c>
      <c r="D24" s="37">
        <f t="shared" si="21"/>
        <v>2404</v>
      </c>
      <c r="E24" s="37">
        <f t="shared" si="21"/>
        <v>2405</v>
      </c>
      <c r="F24" s="37">
        <f t="shared" si="21"/>
        <v>2406</v>
      </c>
      <c r="G24" s="37">
        <f t="shared" si="21"/>
        <v>2407</v>
      </c>
      <c r="H24" s="37">
        <f t="shared" si="21"/>
        <v>2408</v>
      </c>
      <c r="I24" s="37">
        <f t="shared" si="21"/>
        <v>2409</v>
      </c>
      <c r="J24" s="38">
        <f t="shared" si="21"/>
        <v>2410</v>
      </c>
      <c r="K24" s="36">
        <f t="shared" si="21"/>
        <v>2411</v>
      </c>
      <c r="L24" s="37">
        <f t="shared" si="21"/>
        <v>2412</v>
      </c>
      <c r="M24" s="37">
        <f t="shared" si="21"/>
        <v>2413</v>
      </c>
      <c r="N24" s="37">
        <f t="shared" si="21"/>
        <v>2414</v>
      </c>
      <c r="O24" s="37">
        <f t="shared" si="21"/>
        <v>2415</v>
      </c>
      <c r="P24" s="37">
        <f t="shared" si="21"/>
        <v>2416</v>
      </c>
      <c r="Q24" s="37">
        <f t="shared" si="21"/>
        <v>2417</v>
      </c>
      <c r="R24" s="37">
        <f t="shared" si="22"/>
        <v>2418</v>
      </c>
      <c r="S24" s="37">
        <f t="shared" si="22"/>
        <v>2419</v>
      </c>
      <c r="T24" s="38">
        <f t="shared" si="22"/>
        <v>2420</v>
      </c>
      <c r="U24" s="36">
        <f t="shared" si="22"/>
        <v>2421</v>
      </c>
      <c r="V24" s="37">
        <f t="shared" si="22"/>
        <v>2422</v>
      </c>
      <c r="W24" s="37">
        <f t="shared" si="22"/>
        <v>2423</v>
      </c>
      <c r="X24" s="37">
        <f t="shared" si="22"/>
        <v>2424</v>
      </c>
      <c r="Y24" s="37">
        <f t="shared" si="22"/>
        <v>2425</v>
      </c>
      <c r="Z24" s="37">
        <f t="shared" si="22"/>
        <v>2426</v>
      </c>
      <c r="AA24" s="37">
        <f t="shared" si="22"/>
        <v>2427</v>
      </c>
      <c r="AB24" s="37">
        <f t="shared" si="22"/>
        <v>2428</v>
      </c>
      <c r="AC24" s="37">
        <f t="shared" si="22"/>
        <v>2429</v>
      </c>
      <c r="AD24" s="38">
        <f t="shared" si="22"/>
        <v>2430</v>
      </c>
      <c r="AE24" s="36">
        <f t="shared" si="22"/>
        <v>2431</v>
      </c>
      <c r="AF24" s="37">
        <f t="shared" si="22"/>
        <v>2432</v>
      </c>
      <c r="AG24" s="37">
        <f t="shared" si="22"/>
        <v>2433</v>
      </c>
      <c r="AH24" s="37">
        <f t="shared" si="23"/>
        <v>2434</v>
      </c>
      <c r="AI24" s="37">
        <f t="shared" si="23"/>
        <v>2435</v>
      </c>
      <c r="AJ24" s="37">
        <f t="shared" si="23"/>
        <v>2436</v>
      </c>
      <c r="AK24" s="37">
        <f t="shared" si="23"/>
        <v>2437</v>
      </c>
      <c r="AL24" s="37">
        <f t="shared" si="23"/>
        <v>2438</v>
      </c>
      <c r="AM24" s="37">
        <f t="shared" si="23"/>
        <v>2439</v>
      </c>
      <c r="AN24" s="38">
        <f t="shared" si="23"/>
        <v>2440</v>
      </c>
      <c r="AO24" s="36">
        <f t="shared" si="23"/>
        <v>2441</v>
      </c>
      <c r="AP24" s="37">
        <f t="shared" si="23"/>
        <v>2442</v>
      </c>
      <c r="AQ24" s="37">
        <f t="shared" si="23"/>
        <v>2443</v>
      </c>
      <c r="AR24" s="37">
        <f t="shared" si="23"/>
        <v>2444</v>
      </c>
      <c r="AS24" s="37">
        <f t="shared" si="23"/>
        <v>2445</v>
      </c>
      <c r="AT24" s="37">
        <f t="shared" si="23"/>
        <v>2446</v>
      </c>
      <c r="AU24" s="37">
        <f t="shared" si="23"/>
        <v>2447</v>
      </c>
      <c r="AV24" s="37">
        <f t="shared" si="23"/>
        <v>2448</v>
      </c>
      <c r="AW24" s="37">
        <f t="shared" si="23"/>
        <v>2449</v>
      </c>
      <c r="AX24" s="38">
        <f t="shared" si="24"/>
        <v>2450</v>
      </c>
      <c r="AY24" s="36">
        <f t="shared" si="24"/>
        <v>2451</v>
      </c>
      <c r="AZ24" s="37">
        <f t="shared" si="24"/>
        <v>2452</v>
      </c>
      <c r="BA24" s="37">
        <f t="shared" si="24"/>
        <v>2453</v>
      </c>
      <c r="BB24" s="37">
        <f t="shared" si="24"/>
        <v>2454</v>
      </c>
      <c r="BC24" s="37">
        <f t="shared" si="24"/>
        <v>2455</v>
      </c>
      <c r="BD24" s="37">
        <f t="shared" si="24"/>
        <v>2456</v>
      </c>
      <c r="BE24" s="37">
        <f t="shared" si="24"/>
        <v>2457</v>
      </c>
      <c r="BF24" s="37">
        <f t="shared" si="24"/>
        <v>2458</v>
      </c>
      <c r="BG24" s="37">
        <f t="shared" si="24"/>
        <v>2459</v>
      </c>
      <c r="BH24" s="38">
        <f t="shared" si="24"/>
        <v>2460</v>
      </c>
      <c r="BI24" s="36">
        <f t="shared" si="24"/>
        <v>2461</v>
      </c>
      <c r="BJ24" s="37">
        <f t="shared" si="24"/>
        <v>2462</v>
      </c>
      <c r="BK24" s="37">
        <f t="shared" si="24"/>
        <v>2463</v>
      </c>
      <c r="BL24" s="37">
        <f t="shared" si="24"/>
        <v>2464</v>
      </c>
      <c r="BM24" s="37">
        <f t="shared" si="25"/>
        <v>2465</v>
      </c>
      <c r="BN24" s="37">
        <f t="shared" si="26"/>
        <v>2466</v>
      </c>
      <c r="BO24" s="37">
        <f t="shared" si="27"/>
        <v>2467</v>
      </c>
      <c r="BP24" s="37">
        <f t="shared" si="28"/>
        <v>2468</v>
      </c>
      <c r="BQ24" s="37">
        <f t="shared" si="29"/>
        <v>2469</v>
      </c>
      <c r="BR24" s="39">
        <f t="shared" si="30"/>
        <v>2470</v>
      </c>
      <c r="BS24" s="36">
        <f t="shared" si="31"/>
        <v>2471</v>
      </c>
      <c r="BT24" s="37">
        <f t="shared" si="32"/>
        <v>2472</v>
      </c>
      <c r="BU24" s="37">
        <f t="shared" si="33"/>
        <v>2473</v>
      </c>
      <c r="BV24" s="37">
        <f t="shared" si="34"/>
        <v>2474</v>
      </c>
      <c r="BW24" s="37">
        <f t="shared" si="35"/>
        <v>2475</v>
      </c>
      <c r="BX24" s="37">
        <f t="shared" si="36"/>
        <v>2476</v>
      </c>
      <c r="BY24" s="37">
        <f t="shared" si="37"/>
        <v>2477</v>
      </c>
      <c r="BZ24" s="37">
        <f t="shared" si="38"/>
        <v>2478</v>
      </c>
      <c r="CA24" s="37">
        <f t="shared" si="39"/>
        <v>2479</v>
      </c>
      <c r="CB24" s="38">
        <f t="shared" si="40"/>
        <v>2480</v>
      </c>
      <c r="CC24" s="40">
        <f t="shared" si="41"/>
        <v>2481</v>
      </c>
      <c r="CD24" s="37">
        <f t="shared" si="42"/>
        <v>2482</v>
      </c>
      <c r="CE24" s="37">
        <f t="shared" si="43"/>
        <v>2483</v>
      </c>
      <c r="CF24" s="37">
        <f t="shared" si="44"/>
        <v>2484</v>
      </c>
      <c r="CG24" s="37">
        <f t="shared" si="45"/>
        <v>2485</v>
      </c>
      <c r="CH24" s="37">
        <f t="shared" si="46"/>
        <v>2486</v>
      </c>
      <c r="CI24" s="37">
        <f t="shared" si="47"/>
        <v>2487</v>
      </c>
      <c r="CJ24" s="37">
        <f t="shared" si="48"/>
        <v>2488</v>
      </c>
      <c r="CK24" s="37">
        <f t="shared" si="49"/>
        <v>2489</v>
      </c>
      <c r="CL24" s="39">
        <f t="shared" si="50"/>
        <v>2490</v>
      </c>
      <c r="CM24" s="36">
        <f t="shared" si="51"/>
        <v>2491</v>
      </c>
      <c r="CN24" s="37">
        <f t="shared" si="52"/>
        <v>2492</v>
      </c>
      <c r="CO24" s="37">
        <f t="shared" si="53"/>
        <v>2493</v>
      </c>
      <c r="CP24" s="37">
        <f t="shared" si="54"/>
        <v>2494</v>
      </c>
      <c r="CQ24" s="37">
        <f t="shared" si="55"/>
        <v>2495</v>
      </c>
      <c r="CR24" s="37">
        <f t="shared" si="56"/>
        <v>2496</v>
      </c>
      <c r="CS24" s="37">
        <f t="shared" si="57"/>
        <v>2497</v>
      </c>
      <c r="CT24" s="37">
        <f t="shared" si="58"/>
        <v>2498</v>
      </c>
      <c r="CU24" s="37">
        <f t="shared" si="59"/>
        <v>2499</v>
      </c>
      <c r="CV24" s="38">
        <f t="shared" si="60"/>
        <v>2500</v>
      </c>
      <c r="CW24" s="40">
        <f t="shared" si="61"/>
        <v>2501</v>
      </c>
      <c r="CX24" s="37">
        <f t="shared" si="62"/>
        <v>2502</v>
      </c>
      <c r="CY24" s="37">
        <f t="shared" si="63"/>
        <v>2503</v>
      </c>
      <c r="CZ24" s="37">
        <f t="shared" si="64"/>
        <v>2504</v>
      </c>
      <c r="DA24" s="37">
        <f t="shared" si="65"/>
        <v>2505</v>
      </c>
      <c r="DB24" s="37">
        <f t="shared" si="66"/>
        <v>2506</v>
      </c>
      <c r="DC24" s="37">
        <f t="shared" si="67"/>
        <v>2507</v>
      </c>
      <c r="DD24" s="37">
        <f t="shared" si="68"/>
        <v>2508</v>
      </c>
      <c r="DE24" s="37">
        <f t="shared" si="69"/>
        <v>2509</v>
      </c>
      <c r="DF24" s="39">
        <f t="shared" si="70"/>
        <v>2510</v>
      </c>
      <c r="DG24" s="36">
        <f t="shared" si="71"/>
        <v>2511</v>
      </c>
      <c r="DH24" s="37">
        <f t="shared" si="72"/>
        <v>2512</v>
      </c>
      <c r="DI24" s="37">
        <f t="shared" si="73"/>
        <v>2513</v>
      </c>
      <c r="DJ24" s="37">
        <f t="shared" si="74"/>
        <v>2514</v>
      </c>
      <c r="DK24" s="37">
        <f t="shared" si="75"/>
        <v>2515</v>
      </c>
      <c r="DL24" s="37">
        <f t="shared" si="76"/>
        <v>2516</v>
      </c>
      <c r="DM24" s="37">
        <f t="shared" si="77"/>
        <v>2517</v>
      </c>
      <c r="DN24" s="37">
        <f t="shared" si="78"/>
        <v>2518</v>
      </c>
      <c r="DO24" s="37">
        <f t="shared" si="79"/>
        <v>2519</v>
      </c>
      <c r="DP24" s="38">
        <f t="shared" si="80"/>
        <v>2520</v>
      </c>
      <c r="DQ24" s="63"/>
      <c r="DR24" s="537">
        <v>90</v>
      </c>
      <c r="DS24" s="538"/>
      <c r="DT24" s="537">
        <v>9</v>
      </c>
      <c r="DU24" s="538"/>
      <c r="DV24" s="51"/>
    </row>
    <row r="25" spans="1:126" ht="5.75" customHeight="1">
      <c r="A25" s="36">
        <v>2521</v>
      </c>
      <c r="B25" s="37">
        <f t="shared" si="21"/>
        <v>2522</v>
      </c>
      <c r="C25" s="37">
        <f t="shared" si="21"/>
        <v>2523</v>
      </c>
      <c r="D25" s="37">
        <f t="shared" si="21"/>
        <v>2524</v>
      </c>
      <c r="E25" s="37">
        <f t="shared" si="21"/>
        <v>2525</v>
      </c>
      <c r="F25" s="37">
        <f t="shared" si="21"/>
        <v>2526</v>
      </c>
      <c r="G25" s="37">
        <f t="shared" si="21"/>
        <v>2527</v>
      </c>
      <c r="H25" s="37">
        <f t="shared" si="21"/>
        <v>2528</v>
      </c>
      <c r="I25" s="37">
        <f t="shared" si="21"/>
        <v>2529</v>
      </c>
      <c r="J25" s="38">
        <f t="shared" si="21"/>
        <v>2530</v>
      </c>
      <c r="K25" s="36">
        <f t="shared" si="21"/>
        <v>2531</v>
      </c>
      <c r="L25" s="37">
        <f t="shared" si="21"/>
        <v>2532</v>
      </c>
      <c r="M25" s="37">
        <f t="shared" si="21"/>
        <v>2533</v>
      </c>
      <c r="N25" s="37">
        <f t="shared" si="21"/>
        <v>2534</v>
      </c>
      <c r="O25" s="37">
        <f t="shared" si="21"/>
        <v>2535</v>
      </c>
      <c r="P25" s="37">
        <f t="shared" si="21"/>
        <v>2536</v>
      </c>
      <c r="Q25" s="37">
        <f t="shared" si="21"/>
        <v>2537</v>
      </c>
      <c r="R25" s="37">
        <f t="shared" si="22"/>
        <v>2538</v>
      </c>
      <c r="S25" s="37">
        <f t="shared" si="22"/>
        <v>2539</v>
      </c>
      <c r="T25" s="38">
        <f t="shared" si="22"/>
        <v>2540</v>
      </c>
      <c r="U25" s="36">
        <f t="shared" si="22"/>
        <v>2541</v>
      </c>
      <c r="V25" s="37">
        <f t="shared" si="22"/>
        <v>2542</v>
      </c>
      <c r="W25" s="37">
        <f t="shared" si="22"/>
        <v>2543</v>
      </c>
      <c r="X25" s="37">
        <f t="shared" si="22"/>
        <v>2544</v>
      </c>
      <c r="Y25" s="37">
        <f t="shared" si="22"/>
        <v>2545</v>
      </c>
      <c r="Z25" s="37">
        <f t="shared" si="22"/>
        <v>2546</v>
      </c>
      <c r="AA25" s="37">
        <f t="shared" si="22"/>
        <v>2547</v>
      </c>
      <c r="AB25" s="37">
        <f t="shared" si="22"/>
        <v>2548</v>
      </c>
      <c r="AC25" s="37">
        <f t="shared" si="22"/>
        <v>2549</v>
      </c>
      <c r="AD25" s="38">
        <f t="shared" si="22"/>
        <v>2550</v>
      </c>
      <c r="AE25" s="36">
        <f t="shared" si="22"/>
        <v>2551</v>
      </c>
      <c r="AF25" s="37">
        <f t="shared" si="22"/>
        <v>2552</v>
      </c>
      <c r="AG25" s="37">
        <f t="shared" si="22"/>
        <v>2553</v>
      </c>
      <c r="AH25" s="37">
        <f t="shared" si="23"/>
        <v>2554</v>
      </c>
      <c r="AI25" s="37">
        <f t="shared" si="23"/>
        <v>2555</v>
      </c>
      <c r="AJ25" s="37">
        <f t="shared" si="23"/>
        <v>2556</v>
      </c>
      <c r="AK25" s="37">
        <f t="shared" si="23"/>
        <v>2557</v>
      </c>
      <c r="AL25" s="37">
        <f t="shared" si="23"/>
        <v>2558</v>
      </c>
      <c r="AM25" s="37">
        <f t="shared" si="23"/>
        <v>2559</v>
      </c>
      <c r="AN25" s="38">
        <f t="shared" si="23"/>
        <v>2560</v>
      </c>
      <c r="AO25" s="36">
        <f t="shared" si="23"/>
        <v>2561</v>
      </c>
      <c r="AP25" s="37">
        <f t="shared" si="23"/>
        <v>2562</v>
      </c>
      <c r="AQ25" s="37">
        <f t="shared" si="23"/>
        <v>2563</v>
      </c>
      <c r="AR25" s="37">
        <f t="shared" si="23"/>
        <v>2564</v>
      </c>
      <c r="AS25" s="37">
        <f t="shared" si="23"/>
        <v>2565</v>
      </c>
      <c r="AT25" s="37">
        <f t="shared" si="23"/>
        <v>2566</v>
      </c>
      <c r="AU25" s="37">
        <f t="shared" si="23"/>
        <v>2567</v>
      </c>
      <c r="AV25" s="37">
        <f t="shared" si="23"/>
        <v>2568</v>
      </c>
      <c r="AW25" s="37">
        <f t="shared" si="23"/>
        <v>2569</v>
      </c>
      <c r="AX25" s="38">
        <f t="shared" si="24"/>
        <v>2570</v>
      </c>
      <c r="AY25" s="36">
        <f t="shared" si="24"/>
        <v>2571</v>
      </c>
      <c r="AZ25" s="37">
        <f t="shared" si="24"/>
        <v>2572</v>
      </c>
      <c r="BA25" s="37">
        <f t="shared" si="24"/>
        <v>2573</v>
      </c>
      <c r="BB25" s="37">
        <f t="shared" si="24"/>
        <v>2574</v>
      </c>
      <c r="BC25" s="37">
        <f t="shared" si="24"/>
        <v>2575</v>
      </c>
      <c r="BD25" s="37">
        <f t="shared" si="24"/>
        <v>2576</v>
      </c>
      <c r="BE25" s="37">
        <f t="shared" si="24"/>
        <v>2577</v>
      </c>
      <c r="BF25" s="37">
        <f t="shared" si="24"/>
        <v>2578</v>
      </c>
      <c r="BG25" s="37">
        <f t="shared" si="24"/>
        <v>2579</v>
      </c>
      <c r="BH25" s="38">
        <f t="shared" si="24"/>
        <v>2580</v>
      </c>
      <c r="BI25" s="36">
        <f t="shared" si="24"/>
        <v>2581</v>
      </c>
      <c r="BJ25" s="37">
        <f t="shared" si="24"/>
        <v>2582</v>
      </c>
      <c r="BK25" s="37">
        <f t="shared" si="24"/>
        <v>2583</v>
      </c>
      <c r="BL25" s="37">
        <f t="shared" si="24"/>
        <v>2584</v>
      </c>
      <c r="BM25" s="37">
        <f t="shared" si="25"/>
        <v>2585</v>
      </c>
      <c r="BN25" s="37">
        <f t="shared" si="26"/>
        <v>2586</v>
      </c>
      <c r="BO25" s="37">
        <f t="shared" si="27"/>
        <v>2587</v>
      </c>
      <c r="BP25" s="37">
        <f t="shared" si="28"/>
        <v>2588</v>
      </c>
      <c r="BQ25" s="37">
        <f t="shared" si="29"/>
        <v>2589</v>
      </c>
      <c r="BR25" s="39">
        <f t="shared" si="30"/>
        <v>2590</v>
      </c>
      <c r="BS25" s="36">
        <f t="shared" si="31"/>
        <v>2591</v>
      </c>
      <c r="BT25" s="37">
        <f t="shared" si="32"/>
        <v>2592</v>
      </c>
      <c r="BU25" s="37">
        <f t="shared" si="33"/>
        <v>2593</v>
      </c>
      <c r="BV25" s="37">
        <f t="shared" si="34"/>
        <v>2594</v>
      </c>
      <c r="BW25" s="37">
        <f t="shared" si="35"/>
        <v>2595</v>
      </c>
      <c r="BX25" s="37">
        <f t="shared" si="36"/>
        <v>2596</v>
      </c>
      <c r="BY25" s="37">
        <f t="shared" si="37"/>
        <v>2597</v>
      </c>
      <c r="BZ25" s="37">
        <f t="shared" si="38"/>
        <v>2598</v>
      </c>
      <c r="CA25" s="37">
        <f t="shared" si="39"/>
        <v>2599</v>
      </c>
      <c r="CB25" s="38">
        <f t="shared" si="40"/>
        <v>2600</v>
      </c>
      <c r="CC25" s="40">
        <f t="shared" si="41"/>
        <v>2601</v>
      </c>
      <c r="CD25" s="37">
        <f t="shared" si="42"/>
        <v>2602</v>
      </c>
      <c r="CE25" s="37">
        <f t="shared" si="43"/>
        <v>2603</v>
      </c>
      <c r="CF25" s="37">
        <f t="shared" si="44"/>
        <v>2604</v>
      </c>
      <c r="CG25" s="37">
        <f t="shared" si="45"/>
        <v>2605</v>
      </c>
      <c r="CH25" s="37">
        <f t="shared" si="46"/>
        <v>2606</v>
      </c>
      <c r="CI25" s="37">
        <f t="shared" si="47"/>
        <v>2607</v>
      </c>
      <c r="CJ25" s="37">
        <f t="shared" si="48"/>
        <v>2608</v>
      </c>
      <c r="CK25" s="37">
        <f t="shared" si="49"/>
        <v>2609</v>
      </c>
      <c r="CL25" s="39">
        <f t="shared" si="50"/>
        <v>2610</v>
      </c>
      <c r="CM25" s="36">
        <f t="shared" si="51"/>
        <v>2611</v>
      </c>
      <c r="CN25" s="37">
        <f t="shared" si="52"/>
        <v>2612</v>
      </c>
      <c r="CO25" s="37">
        <f t="shared" si="53"/>
        <v>2613</v>
      </c>
      <c r="CP25" s="37">
        <f t="shared" si="54"/>
        <v>2614</v>
      </c>
      <c r="CQ25" s="37">
        <f t="shared" si="55"/>
        <v>2615</v>
      </c>
      <c r="CR25" s="37">
        <f t="shared" si="56"/>
        <v>2616</v>
      </c>
      <c r="CS25" s="37">
        <f t="shared" si="57"/>
        <v>2617</v>
      </c>
      <c r="CT25" s="37">
        <f t="shared" si="58"/>
        <v>2618</v>
      </c>
      <c r="CU25" s="37">
        <f t="shared" si="59"/>
        <v>2619</v>
      </c>
      <c r="CV25" s="38">
        <f t="shared" si="60"/>
        <v>2620</v>
      </c>
      <c r="CW25" s="40">
        <f t="shared" si="61"/>
        <v>2621</v>
      </c>
      <c r="CX25" s="37">
        <f t="shared" si="62"/>
        <v>2622</v>
      </c>
      <c r="CY25" s="37">
        <f t="shared" si="63"/>
        <v>2623</v>
      </c>
      <c r="CZ25" s="37">
        <f t="shared" si="64"/>
        <v>2624</v>
      </c>
      <c r="DA25" s="37">
        <f t="shared" si="65"/>
        <v>2625</v>
      </c>
      <c r="DB25" s="37">
        <f t="shared" si="66"/>
        <v>2626</v>
      </c>
      <c r="DC25" s="37">
        <f t="shared" si="67"/>
        <v>2627</v>
      </c>
      <c r="DD25" s="37">
        <f t="shared" si="68"/>
        <v>2628</v>
      </c>
      <c r="DE25" s="37">
        <f t="shared" si="69"/>
        <v>2629</v>
      </c>
      <c r="DF25" s="39">
        <f t="shared" si="70"/>
        <v>2630</v>
      </c>
      <c r="DG25" s="36">
        <f t="shared" si="71"/>
        <v>2631</v>
      </c>
      <c r="DH25" s="37">
        <f t="shared" si="72"/>
        <v>2632</v>
      </c>
      <c r="DI25" s="37">
        <f t="shared" si="73"/>
        <v>2633</v>
      </c>
      <c r="DJ25" s="37">
        <f t="shared" si="74"/>
        <v>2634</v>
      </c>
      <c r="DK25" s="37">
        <f t="shared" si="75"/>
        <v>2635</v>
      </c>
      <c r="DL25" s="37">
        <f t="shared" si="76"/>
        <v>2636</v>
      </c>
      <c r="DM25" s="37">
        <f t="shared" si="77"/>
        <v>2637</v>
      </c>
      <c r="DN25" s="37">
        <f t="shared" si="78"/>
        <v>2638</v>
      </c>
      <c r="DO25" s="37">
        <f t="shared" si="79"/>
        <v>2639</v>
      </c>
      <c r="DP25" s="38">
        <f t="shared" si="80"/>
        <v>2640</v>
      </c>
      <c r="DQ25" s="63"/>
      <c r="DR25" s="539"/>
      <c r="DS25" s="540"/>
      <c r="DT25" s="539"/>
      <c r="DU25" s="540"/>
      <c r="DV25" s="51"/>
    </row>
    <row r="26" spans="1:126" ht="5.75" customHeight="1">
      <c r="A26" s="36">
        <v>2641</v>
      </c>
      <c r="B26" s="37">
        <f t="shared" si="21"/>
        <v>2642</v>
      </c>
      <c r="C26" s="37">
        <f t="shared" si="21"/>
        <v>2643</v>
      </c>
      <c r="D26" s="37">
        <f t="shared" si="21"/>
        <v>2644</v>
      </c>
      <c r="E26" s="37">
        <f t="shared" si="21"/>
        <v>2645</v>
      </c>
      <c r="F26" s="37">
        <f t="shared" si="21"/>
        <v>2646</v>
      </c>
      <c r="G26" s="37">
        <f t="shared" si="21"/>
        <v>2647</v>
      </c>
      <c r="H26" s="37">
        <f t="shared" si="21"/>
        <v>2648</v>
      </c>
      <c r="I26" s="37">
        <f t="shared" si="21"/>
        <v>2649</v>
      </c>
      <c r="J26" s="38">
        <f t="shared" si="21"/>
        <v>2650</v>
      </c>
      <c r="K26" s="36">
        <f t="shared" si="21"/>
        <v>2651</v>
      </c>
      <c r="L26" s="37">
        <f t="shared" si="21"/>
        <v>2652</v>
      </c>
      <c r="M26" s="37">
        <f t="shared" si="21"/>
        <v>2653</v>
      </c>
      <c r="N26" s="37">
        <f t="shared" si="21"/>
        <v>2654</v>
      </c>
      <c r="O26" s="37">
        <f t="shared" si="21"/>
        <v>2655</v>
      </c>
      <c r="P26" s="37">
        <f t="shared" si="21"/>
        <v>2656</v>
      </c>
      <c r="Q26" s="37">
        <f t="shared" si="21"/>
        <v>2657</v>
      </c>
      <c r="R26" s="37">
        <f t="shared" si="22"/>
        <v>2658</v>
      </c>
      <c r="S26" s="37">
        <f t="shared" si="22"/>
        <v>2659</v>
      </c>
      <c r="T26" s="38">
        <f t="shared" si="22"/>
        <v>2660</v>
      </c>
      <c r="U26" s="36">
        <f t="shared" si="22"/>
        <v>2661</v>
      </c>
      <c r="V26" s="37">
        <f t="shared" si="22"/>
        <v>2662</v>
      </c>
      <c r="W26" s="37">
        <f t="shared" si="22"/>
        <v>2663</v>
      </c>
      <c r="X26" s="37">
        <f t="shared" si="22"/>
        <v>2664</v>
      </c>
      <c r="Y26" s="37">
        <f t="shared" si="22"/>
        <v>2665</v>
      </c>
      <c r="Z26" s="37">
        <f t="shared" si="22"/>
        <v>2666</v>
      </c>
      <c r="AA26" s="37">
        <f t="shared" si="22"/>
        <v>2667</v>
      </c>
      <c r="AB26" s="37">
        <f t="shared" si="22"/>
        <v>2668</v>
      </c>
      <c r="AC26" s="37">
        <f t="shared" si="22"/>
        <v>2669</v>
      </c>
      <c r="AD26" s="38">
        <f t="shared" si="22"/>
        <v>2670</v>
      </c>
      <c r="AE26" s="36">
        <f t="shared" si="22"/>
        <v>2671</v>
      </c>
      <c r="AF26" s="37">
        <f t="shared" si="22"/>
        <v>2672</v>
      </c>
      <c r="AG26" s="37">
        <f t="shared" si="22"/>
        <v>2673</v>
      </c>
      <c r="AH26" s="37">
        <f t="shared" si="23"/>
        <v>2674</v>
      </c>
      <c r="AI26" s="37">
        <f t="shared" si="23"/>
        <v>2675</v>
      </c>
      <c r="AJ26" s="37">
        <f t="shared" si="23"/>
        <v>2676</v>
      </c>
      <c r="AK26" s="37">
        <f t="shared" si="23"/>
        <v>2677</v>
      </c>
      <c r="AL26" s="37">
        <f t="shared" si="23"/>
        <v>2678</v>
      </c>
      <c r="AM26" s="37">
        <f t="shared" si="23"/>
        <v>2679</v>
      </c>
      <c r="AN26" s="38">
        <f t="shared" si="23"/>
        <v>2680</v>
      </c>
      <c r="AO26" s="36">
        <f t="shared" si="23"/>
        <v>2681</v>
      </c>
      <c r="AP26" s="37">
        <f t="shared" si="23"/>
        <v>2682</v>
      </c>
      <c r="AQ26" s="37">
        <f t="shared" si="23"/>
        <v>2683</v>
      </c>
      <c r="AR26" s="37">
        <f t="shared" si="23"/>
        <v>2684</v>
      </c>
      <c r="AS26" s="37">
        <f t="shared" si="23"/>
        <v>2685</v>
      </c>
      <c r="AT26" s="37">
        <f t="shared" si="23"/>
        <v>2686</v>
      </c>
      <c r="AU26" s="37">
        <f t="shared" si="23"/>
        <v>2687</v>
      </c>
      <c r="AV26" s="37">
        <f t="shared" si="23"/>
        <v>2688</v>
      </c>
      <c r="AW26" s="37">
        <f t="shared" si="23"/>
        <v>2689</v>
      </c>
      <c r="AX26" s="38">
        <f t="shared" si="24"/>
        <v>2690</v>
      </c>
      <c r="AY26" s="36">
        <f t="shared" si="24"/>
        <v>2691</v>
      </c>
      <c r="AZ26" s="37">
        <f t="shared" si="24"/>
        <v>2692</v>
      </c>
      <c r="BA26" s="37">
        <f t="shared" si="24"/>
        <v>2693</v>
      </c>
      <c r="BB26" s="37">
        <f t="shared" si="24"/>
        <v>2694</v>
      </c>
      <c r="BC26" s="37">
        <f t="shared" si="24"/>
        <v>2695</v>
      </c>
      <c r="BD26" s="37">
        <f t="shared" si="24"/>
        <v>2696</v>
      </c>
      <c r="BE26" s="37">
        <f t="shared" si="24"/>
        <v>2697</v>
      </c>
      <c r="BF26" s="37">
        <f t="shared" si="24"/>
        <v>2698</v>
      </c>
      <c r="BG26" s="37">
        <f t="shared" si="24"/>
        <v>2699</v>
      </c>
      <c r="BH26" s="38">
        <f t="shared" si="24"/>
        <v>2700</v>
      </c>
      <c r="BI26" s="36">
        <f t="shared" si="24"/>
        <v>2701</v>
      </c>
      <c r="BJ26" s="37">
        <f t="shared" si="24"/>
        <v>2702</v>
      </c>
      <c r="BK26" s="37">
        <f t="shared" si="24"/>
        <v>2703</v>
      </c>
      <c r="BL26" s="37">
        <f t="shared" si="24"/>
        <v>2704</v>
      </c>
      <c r="BM26" s="37">
        <f t="shared" si="25"/>
        <v>2705</v>
      </c>
      <c r="BN26" s="37">
        <f t="shared" si="26"/>
        <v>2706</v>
      </c>
      <c r="BO26" s="37">
        <f t="shared" si="27"/>
        <v>2707</v>
      </c>
      <c r="BP26" s="37">
        <f t="shared" si="28"/>
        <v>2708</v>
      </c>
      <c r="BQ26" s="37">
        <f t="shared" si="29"/>
        <v>2709</v>
      </c>
      <c r="BR26" s="39">
        <f t="shared" si="30"/>
        <v>2710</v>
      </c>
      <c r="BS26" s="36">
        <f t="shared" si="31"/>
        <v>2711</v>
      </c>
      <c r="BT26" s="37">
        <f t="shared" si="32"/>
        <v>2712</v>
      </c>
      <c r="BU26" s="37">
        <f t="shared" si="33"/>
        <v>2713</v>
      </c>
      <c r="BV26" s="37">
        <f t="shared" si="34"/>
        <v>2714</v>
      </c>
      <c r="BW26" s="37">
        <f t="shared" si="35"/>
        <v>2715</v>
      </c>
      <c r="BX26" s="37">
        <f t="shared" si="36"/>
        <v>2716</v>
      </c>
      <c r="BY26" s="37">
        <f t="shared" si="37"/>
        <v>2717</v>
      </c>
      <c r="BZ26" s="37">
        <f t="shared" si="38"/>
        <v>2718</v>
      </c>
      <c r="CA26" s="37">
        <f t="shared" si="39"/>
        <v>2719</v>
      </c>
      <c r="CB26" s="38">
        <f t="shared" si="40"/>
        <v>2720</v>
      </c>
      <c r="CC26" s="40">
        <f t="shared" si="41"/>
        <v>2721</v>
      </c>
      <c r="CD26" s="37">
        <f t="shared" si="42"/>
        <v>2722</v>
      </c>
      <c r="CE26" s="37">
        <f t="shared" si="43"/>
        <v>2723</v>
      </c>
      <c r="CF26" s="37">
        <f t="shared" si="44"/>
        <v>2724</v>
      </c>
      <c r="CG26" s="37">
        <f t="shared" si="45"/>
        <v>2725</v>
      </c>
      <c r="CH26" s="37">
        <f t="shared" si="46"/>
        <v>2726</v>
      </c>
      <c r="CI26" s="37">
        <f t="shared" si="47"/>
        <v>2727</v>
      </c>
      <c r="CJ26" s="37">
        <f t="shared" si="48"/>
        <v>2728</v>
      </c>
      <c r="CK26" s="37">
        <f t="shared" si="49"/>
        <v>2729</v>
      </c>
      <c r="CL26" s="39">
        <f t="shared" si="50"/>
        <v>2730</v>
      </c>
      <c r="CM26" s="36">
        <f t="shared" si="51"/>
        <v>2731</v>
      </c>
      <c r="CN26" s="37">
        <f t="shared" si="52"/>
        <v>2732</v>
      </c>
      <c r="CO26" s="37">
        <f t="shared" si="53"/>
        <v>2733</v>
      </c>
      <c r="CP26" s="37">
        <f t="shared" si="54"/>
        <v>2734</v>
      </c>
      <c r="CQ26" s="37">
        <f t="shared" si="55"/>
        <v>2735</v>
      </c>
      <c r="CR26" s="37">
        <f t="shared" si="56"/>
        <v>2736</v>
      </c>
      <c r="CS26" s="37">
        <f t="shared" si="57"/>
        <v>2737</v>
      </c>
      <c r="CT26" s="37">
        <f t="shared" si="58"/>
        <v>2738</v>
      </c>
      <c r="CU26" s="37">
        <f t="shared" si="59"/>
        <v>2739</v>
      </c>
      <c r="CV26" s="38">
        <f t="shared" si="60"/>
        <v>2740</v>
      </c>
      <c r="CW26" s="40">
        <f t="shared" si="61"/>
        <v>2741</v>
      </c>
      <c r="CX26" s="37">
        <f t="shared" si="62"/>
        <v>2742</v>
      </c>
      <c r="CY26" s="37">
        <f t="shared" si="63"/>
        <v>2743</v>
      </c>
      <c r="CZ26" s="37">
        <f t="shared" si="64"/>
        <v>2744</v>
      </c>
      <c r="DA26" s="37">
        <f t="shared" si="65"/>
        <v>2745</v>
      </c>
      <c r="DB26" s="37">
        <f t="shared" si="66"/>
        <v>2746</v>
      </c>
      <c r="DC26" s="37">
        <f t="shared" si="67"/>
        <v>2747</v>
      </c>
      <c r="DD26" s="37">
        <f t="shared" si="68"/>
        <v>2748</v>
      </c>
      <c r="DE26" s="37">
        <f t="shared" si="69"/>
        <v>2749</v>
      </c>
      <c r="DF26" s="39">
        <f t="shared" si="70"/>
        <v>2750</v>
      </c>
      <c r="DG26" s="36">
        <f t="shared" si="71"/>
        <v>2751</v>
      </c>
      <c r="DH26" s="37">
        <f t="shared" si="72"/>
        <v>2752</v>
      </c>
      <c r="DI26" s="37">
        <f t="shared" si="73"/>
        <v>2753</v>
      </c>
      <c r="DJ26" s="37">
        <f t="shared" si="74"/>
        <v>2754</v>
      </c>
      <c r="DK26" s="37">
        <f t="shared" si="75"/>
        <v>2755</v>
      </c>
      <c r="DL26" s="37">
        <f t="shared" si="76"/>
        <v>2756</v>
      </c>
      <c r="DM26" s="37">
        <f t="shared" si="77"/>
        <v>2757</v>
      </c>
      <c r="DN26" s="37">
        <f t="shared" si="78"/>
        <v>2758</v>
      </c>
      <c r="DO26" s="37">
        <f t="shared" si="79"/>
        <v>2759</v>
      </c>
      <c r="DP26" s="38">
        <f t="shared" si="80"/>
        <v>2760</v>
      </c>
      <c r="DQ26" s="62"/>
      <c r="DR26" s="62"/>
      <c r="DS26" s="62"/>
      <c r="DT26" s="62"/>
      <c r="DU26" s="50"/>
      <c r="DV26" s="51"/>
    </row>
    <row r="27" spans="1:126" ht="5.75" customHeight="1">
      <c r="A27" s="36">
        <v>2761</v>
      </c>
      <c r="B27" s="37">
        <f t="shared" si="21"/>
        <v>2762</v>
      </c>
      <c r="C27" s="37">
        <f t="shared" si="21"/>
        <v>2763</v>
      </c>
      <c r="D27" s="37">
        <f t="shared" si="21"/>
        <v>2764</v>
      </c>
      <c r="E27" s="37">
        <f t="shared" si="21"/>
        <v>2765</v>
      </c>
      <c r="F27" s="37">
        <f t="shared" si="21"/>
        <v>2766</v>
      </c>
      <c r="G27" s="37">
        <f t="shared" si="21"/>
        <v>2767</v>
      </c>
      <c r="H27" s="37">
        <f t="shared" si="21"/>
        <v>2768</v>
      </c>
      <c r="I27" s="37">
        <f t="shared" si="21"/>
        <v>2769</v>
      </c>
      <c r="J27" s="38">
        <f t="shared" si="21"/>
        <v>2770</v>
      </c>
      <c r="K27" s="36">
        <f t="shared" si="21"/>
        <v>2771</v>
      </c>
      <c r="L27" s="37">
        <f t="shared" si="21"/>
        <v>2772</v>
      </c>
      <c r="M27" s="37">
        <f t="shared" si="21"/>
        <v>2773</v>
      </c>
      <c r="N27" s="37">
        <f t="shared" si="21"/>
        <v>2774</v>
      </c>
      <c r="O27" s="37">
        <f t="shared" si="21"/>
        <v>2775</v>
      </c>
      <c r="P27" s="37">
        <f t="shared" si="21"/>
        <v>2776</v>
      </c>
      <c r="Q27" s="37">
        <f t="shared" si="21"/>
        <v>2777</v>
      </c>
      <c r="R27" s="37">
        <f t="shared" si="22"/>
        <v>2778</v>
      </c>
      <c r="S27" s="37">
        <f t="shared" si="22"/>
        <v>2779</v>
      </c>
      <c r="T27" s="38">
        <f t="shared" si="22"/>
        <v>2780</v>
      </c>
      <c r="U27" s="36">
        <f t="shared" si="22"/>
        <v>2781</v>
      </c>
      <c r="V27" s="37">
        <f t="shared" si="22"/>
        <v>2782</v>
      </c>
      <c r="W27" s="37">
        <f t="shared" si="22"/>
        <v>2783</v>
      </c>
      <c r="X27" s="37">
        <f t="shared" si="22"/>
        <v>2784</v>
      </c>
      <c r="Y27" s="37">
        <f t="shared" si="22"/>
        <v>2785</v>
      </c>
      <c r="Z27" s="37">
        <f t="shared" si="22"/>
        <v>2786</v>
      </c>
      <c r="AA27" s="37">
        <f t="shared" si="22"/>
        <v>2787</v>
      </c>
      <c r="AB27" s="37">
        <f t="shared" si="22"/>
        <v>2788</v>
      </c>
      <c r="AC27" s="37">
        <f t="shared" si="22"/>
        <v>2789</v>
      </c>
      <c r="AD27" s="38">
        <f t="shared" si="22"/>
        <v>2790</v>
      </c>
      <c r="AE27" s="36">
        <f t="shared" si="22"/>
        <v>2791</v>
      </c>
      <c r="AF27" s="37">
        <f t="shared" si="22"/>
        <v>2792</v>
      </c>
      <c r="AG27" s="37">
        <f t="shared" si="22"/>
        <v>2793</v>
      </c>
      <c r="AH27" s="37">
        <f t="shared" si="23"/>
        <v>2794</v>
      </c>
      <c r="AI27" s="37">
        <f t="shared" si="23"/>
        <v>2795</v>
      </c>
      <c r="AJ27" s="37">
        <f t="shared" si="23"/>
        <v>2796</v>
      </c>
      <c r="AK27" s="37">
        <f t="shared" si="23"/>
        <v>2797</v>
      </c>
      <c r="AL27" s="37">
        <f t="shared" si="23"/>
        <v>2798</v>
      </c>
      <c r="AM27" s="37">
        <f t="shared" si="23"/>
        <v>2799</v>
      </c>
      <c r="AN27" s="38">
        <f t="shared" si="23"/>
        <v>2800</v>
      </c>
      <c r="AO27" s="36">
        <f t="shared" si="23"/>
        <v>2801</v>
      </c>
      <c r="AP27" s="37">
        <f t="shared" si="23"/>
        <v>2802</v>
      </c>
      <c r="AQ27" s="37">
        <f t="shared" si="23"/>
        <v>2803</v>
      </c>
      <c r="AR27" s="37">
        <f t="shared" si="23"/>
        <v>2804</v>
      </c>
      <c r="AS27" s="37">
        <f t="shared" si="23"/>
        <v>2805</v>
      </c>
      <c r="AT27" s="37">
        <f t="shared" si="23"/>
        <v>2806</v>
      </c>
      <c r="AU27" s="37">
        <f t="shared" si="23"/>
        <v>2807</v>
      </c>
      <c r="AV27" s="37">
        <f t="shared" si="23"/>
        <v>2808</v>
      </c>
      <c r="AW27" s="37">
        <f t="shared" si="23"/>
        <v>2809</v>
      </c>
      <c r="AX27" s="38">
        <f t="shared" si="24"/>
        <v>2810</v>
      </c>
      <c r="AY27" s="36">
        <f t="shared" si="24"/>
        <v>2811</v>
      </c>
      <c r="AZ27" s="37">
        <f t="shared" si="24"/>
        <v>2812</v>
      </c>
      <c r="BA27" s="37">
        <f t="shared" si="24"/>
        <v>2813</v>
      </c>
      <c r="BB27" s="37">
        <f t="shared" si="24"/>
        <v>2814</v>
      </c>
      <c r="BC27" s="37">
        <f t="shared" si="24"/>
        <v>2815</v>
      </c>
      <c r="BD27" s="37">
        <f t="shared" si="24"/>
        <v>2816</v>
      </c>
      <c r="BE27" s="37">
        <f t="shared" si="24"/>
        <v>2817</v>
      </c>
      <c r="BF27" s="37">
        <f t="shared" si="24"/>
        <v>2818</v>
      </c>
      <c r="BG27" s="37">
        <f t="shared" si="24"/>
        <v>2819</v>
      </c>
      <c r="BH27" s="38">
        <f t="shared" si="24"/>
        <v>2820</v>
      </c>
      <c r="BI27" s="36">
        <f t="shared" si="24"/>
        <v>2821</v>
      </c>
      <c r="BJ27" s="37">
        <f t="shared" si="24"/>
        <v>2822</v>
      </c>
      <c r="BK27" s="37">
        <f t="shared" si="24"/>
        <v>2823</v>
      </c>
      <c r="BL27" s="37">
        <f t="shared" si="24"/>
        <v>2824</v>
      </c>
      <c r="BM27" s="37">
        <f t="shared" si="25"/>
        <v>2825</v>
      </c>
      <c r="BN27" s="37">
        <f t="shared" si="26"/>
        <v>2826</v>
      </c>
      <c r="BO27" s="37">
        <f t="shared" si="27"/>
        <v>2827</v>
      </c>
      <c r="BP27" s="37">
        <f t="shared" si="28"/>
        <v>2828</v>
      </c>
      <c r="BQ27" s="37">
        <f t="shared" si="29"/>
        <v>2829</v>
      </c>
      <c r="BR27" s="39">
        <f t="shared" si="30"/>
        <v>2830</v>
      </c>
      <c r="BS27" s="36">
        <f t="shared" si="31"/>
        <v>2831</v>
      </c>
      <c r="BT27" s="37">
        <f t="shared" si="32"/>
        <v>2832</v>
      </c>
      <c r="BU27" s="37">
        <f t="shared" si="33"/>
        <v>2833</v>
      </c>
      <c r="BV27" s="37">
        <f t="shared" si="34"/>
        <v>2834</v>
      </c>
      <c r="BW27" s="37">
        <f t="shared" si="35"/>
        <v>2835</v>
      </c>
      <c r="BX27" s="37">
        <f t="shared" si="36"/>
        <v>2836</v>
      </c>
      <c r="BY27" s="37">
        <f t="shared" si="37"/>
        <v>2837</v>
      </c>
      <c r="BZ27" s="37">
        <f t="shared" si="38"/>
        <v>2838</v>
      </c>
      <c r="CA27" s="37">
        <f t="shared" si="39"/>
        <v>2839</v>
      </c>
      <c r="CB27" s="38">
        <f t="shared" si="40"/>
        <v>2840</v>
      </c>
      <c r="CC27" s="40">
        <f t="shared" si="41"/>
        <v>2841</v>
      </c>
      <c r="CD27" s="37">
        <f t="shared" si="42"/>
        <v>2842</v>
      </c>
      <c r="CE27" s="37">
        <f t="shared" si="43"/>
        <v>2843</v>
      </c>
      <c r="CF27" s="37">
        <f t="shared" si="44"/>
        <v>2844</v>
      </c>
      <c r="CG27" s="37">
        <f t="shared" si="45"/>
        <v>2845</v>
      </c>
      <c r="CH27" s="37">
        <f t="shared" si="46"/>
        <v>2846</v>
      </c>
      <c r="CI27" s="37">
        <f t="shared" si="47"/>
        <v>2847</v>
      </c>
      <c r="CJ27" s="37">
        <f t="shared" si="48"/>
        <v>2848</v>
      </c>
      <c r="CK27" s="37">
        <f t="shared" si="49"/>
        <v>2849</v>
      </c>
      <c r="CL27" s="39">
        <f t="shared" si="50"/>
        <v>2850</v>
      </c>
      <c r="CM27" s="36">
        <f t="shared" si="51"/>
        <v>2851</v>
      </c>
      <c r="CN27" s="37">
        <f t="shared" si="52"/>
        <v>2852</v>
      </c>
      <c r="CO27" s="37">
        <f t="shared" si="53"/>
        <v>2853</v>
      </c>
      <c r="CP27" s="37">
        <f t="shared" si="54"/>
        <v>2854</v>
      </c>
      <c r="CQ27" s="37">
        <f t="shared" si="55"/>
        <v>2855</v>
      </c>
      <c r="CR27" s="37">
        <f t="shared" si="56"/>
        <v>2856</v>
      </c>
      <c r="CS27" s="37">
        <f t="shared" si="57"/>
        <v>2857</v>
      </c>
      <c r="CT27" s="37">
        <f t="shared" si="58"/>
        <v>2858</v>
      </c>
      <c r="CU27" s="37">
        <f t="shared" si="59"/>
        <v>2859</v>
      </c>
      <c r="CV27" s="38">
        <f t="shared" si="60"/>
        <v>2860</v>
      </c>
      <c r="CW27" s="40">
        <f t="shared" si="61"/>
        <v>2861</v>
      </c>
      <c r="CX27" s="37">
        <f t="shared" si="62"/>
        <v>2862</v>
      </c>
      <c r="CY27" s="37">
        <f t="shared" si="63"/>
        <v>2863</v>
      </c>
      <c r="CZ27" s="37">
        <f t="shared" si="64"/>
        <v>2864</v>
      </c>
      <c r="DA27" s="37">
        <f t="shared" si="65"/>
        <v>2865</v>
      </c>
      <c r="DB27" s="37">
        <f t="shared" si="66"/>
        <v>2866</v>
      </c>
      <c r="DC27" s="37">
        <f t="shared" si="67"/>
        <v>2867</v>
      </c>
      <c r="DD27" s="37">
        <f t="shared" si="68"/>
        <v>2868</v>
      </c>
      <c r="DE27" s="37">
        <f t="shared" si="69"/>
        <v>2869</v>
      </c>
      <c r="DF27" s="39">
        <f t="shared" si="70"/>
        <v>2870</v>
      </c>
      <c r="DG27" s="36">
        <f t="shared" si="71"/>
        <v>2871</v>
      </c>
      <c r="DH27" s="37">
        <f t="shared" si="72"/>
        <v>2872</v>
      </c>
      <c r="DI27" s="37">
        <f t="shared" si="73"/>
        <v>2873</v>
      </c>
      <c r="DJ27" s="37">
        <f t="shared" si="74"/>
        <v>2874</v>
      </c>
      <c r="DK27" s="37">
        <f t="shared" si="75"/>
        <v>2875</v>
      </c>
      <c r="DL27" s="37">
        <f t="shared" si="76"/>
        <v>2876</v>
      </c>
      <c r="DM27" s="37">
        <f t="shared" si="77"/>
        <v>2877</v>
      </c>
      <c r="DN27" s="37">
        <f t="shared" si="78"/>
        <v>2878</v>
      </c>
      <c r="DO27" s="37">
        <f t="shared" si="79"/>
        <v>2879</v>
      </c>
      <c r="DP27" s="38">
        <f t="shared" si="80"/>
        <v>2880</v>
      </c>
      <c r="DQ27" s="62"/>
      <c r="DR27" s="62"/>
      <c r="DS27" s="62"/>
      <c r="DT27" s="62"/>
      <c r="DU27" s="50"/>
      <c r="DV27" s="51"/>
    </row>
    <row r="28" spans="1:126" ht="5.75" customHeight="1" thickBot="1">
      <c r="A28" s="41">
        <v>2881</v>
      </c>
      <c r="B28" s="42">
        <f t="shared" si="21"/>
        <v>2882</v>
      </c>
      <c r="C28" s="42">
        <f t="shared" si="21"/>
        <v>2883</v>
      </c>
      <c r="D28" s="42">
        <f t="shared" si="21"/>
        <v>2884</v>
      </c>
      <c r="E28" s="42">
        <f t="shared" si="21"/>
        <v>2885</v>
      </c>
      <c r="F28" s="42">
        <f t="shared" si="21"/>
        <v>2886</v>
      </c>
      <c r="G28" s="42">
        <f t="shared" si="21"/>
        <v>2887</v>
      </c>
      <c r="H28" s="42">
        <f t="shared" si="21"/>
        <v>2888</v>
      </c>
      <c r="I28" s="42">
        <f t="shared" si="21"/>
        <v>2889</v>
      </c>
      <c r="J28" s="65">
        <f t="shared" si="21"/>
        <v>2890</v>
      </c>
      <c r="K28" s="41">
        <f t="shared" si="21"/>
        <v>2891</v>
      </c>
      <c r="L28" s="42">
        <f t="shared" si="21"/>
        <v>2892</v>
      </c>
      <c r="M28" s="42">
        <f t="shared" si="21"/>
        <v>2893</v>
      </c>
      <c r="N28" s="42">
        <f t="shared" si="21"/>
        <v>2894</v>
      </c>
      <c r="O28" s="42">
        <f t="shared" si="21"/>
        <v>2895</v>
      </c>
      <c r="P28" s="42">
        <f t="shared" si="21"/>
        <v>2896</v>
      </c>
      <c r="Q28" s="42">
        <f t="shared" si="21"/>
        <v>2897</v>
      </c>
      <c r="R28" s="42">
        <f t="shared" si="22"/>
        <v>2898</v>
      </c>
      <c r="S28" s="42">
        <f t="shared" si="22"/>
        <v>2899</v>
      </c>
      <c r="T28" s="65">
        <f t="shared" si="22"/>
        <v>2900</v>
      </c>
      <c r="U28" s="41">
        <f t="shared" si="22"/>
        <v>2901</v>
      </c>
      <c r="V28" s="42">
        <f t="shared" si="22"/>
        <v>2902</v>
      </c>
      <c r="W28" s="42">
        <f t="shared" si="22"/>
        <v>2903</v>
      </c>
      <c r="X28" s="42">
        <f t="shared" si="22"/>
        <v>2904</v>
      </c>
      <c r="Y28" s="42">
        <f t="shared" si="22"/>
        <v>2905</v>
      </c>
      <c r="Z28" s="42">
        <f t="shared" si="22"/>
        <v>2906</v>
      </c>
      <c r="AA28" s="42">
        <f t="shared" si="22"/>
        <v>2907</v>
      </c>
      <c r="AB28" s="42">
        <f t="shared" si="22"/>
        <v>2908</v>
      </c>
      <c r="AC28" s="42">
        <f t="shared" si="22"/>
        <v>2909</v>
      </c>
      <c r="AD28" s="65">
        <f t="shared" si="22"/>
        <v>2910</v>
      </c>
      <c r="AE28" s="41">
        <f t="shared" si="22"/>
        <v>2911</v>
      </c>
      <c r="AF28" s="42">
        <f t="shared" si="22"/>
        <v>2912</v>
      </c>
      <c r="AG28" s="42">
        <f t="shared" si="22"/>
        <v>2913</v>
      </c>
      <c r="AH28" s="42">
        <f t="shared" si="23"/>
        <v>2914</v>
      </c>
      <c r="AI28" s="42">
        <f t="shared" si="23"/>
        <v>2915</v>
      </c>
      <c r="AJ28" s="42">
        <f t="shared" si="23"/>
        <v>2916</v>
      </c>
      <c r="AK28" s="42">
        <f t="shared" si="23"/>
        <v>2917</v>
      </c>
      <c r="AL28" s="42">
        <f t="shared" si="23"/>
        <v>2918</v>
      </c>
      <c r="AM28" s="42">
        <f t="shared" si="23"/>
        <v>2919</v>
      </c>
      <c r="AN28" s="65">
        <f t="shared" si="23"/>
        <v>2920</v>
      </c>
      <c r="AO28" s="41">
        <f t="shared" si="23"/>
        <v>2921</v>
      </c>
      <c r="AP28" s="42">
        <f t="shared" si="23"/>
        <v>2922</v>
      </c>
      <c r="AQ28" s="42">
        <f t="shared" si="23"/>
        <v>2923</v>
      </c>
      <c r="AR28" s="42">
        <f t="shared" si="23"/>
        <v>2924</v>
      </c>
      <c r="AS28" s="42">
        <f t="shared" si="23"/>
        <v>2925</v>
      </c>
      <c r="AT28" s="42">
        <f t="shared" si="23"/>
        <v>2926</v>
      </c>
      <c r="AU28" s="42">
        <f t="shared" si="23"/>
        <v>2927</v>
      </c>
      <c r="AV28" s="42">
        <f t="shared" si="23"/>
        <v>2928</v>
      </c>
      <c r="AW28" s="42">
        <f t="shared" si="23"/>
        <v>2929</v>
      </c>
      <c r="AX28" s="65">
        <f t="shared" si="24"/>
        <v>2930</v>
      </c>
      <c r="AY28" s="41">
        <f t="shared" si="24"/>
        <v>2931</v>
      </c>
      <c r="AZ28" s="42">
        <f t="shared" si="24"/>
        <v>2932</v>
      </c>
      <c r="BA28" s="42">
        <f t="shared" si="24"/>
        <v>2933</v>
      </c>
      <c r="BB28" s="42">
        <f t="shared" si="24"/>
        <v>2934</v>
      </c>
      <c r="BC28" s="42">
        <f t="shared" si="24"/>
        <v>2935</v>
      </c>
      <c r="BD28" s="42">
        <f t="shared" si="24"/>
        <v>2936</v>
      </c>
      <c r="BE28" s="42">
        <f t="shared" si="24"/>
        <v>2937</v>
      </c>
      <c r="BF28" s="42">
        <f t="shared" si="24"/>
        <v>2938</v>
      </c>
      <c r="BG28" s="42">
        <f t="shared" si="24"/>
        <v>2939</v>
      </c>
      <c r="BH28" s="65">
        <f t="shared" si="24"/>
        <v>2940</v>
      </c>
      <c r="BI28" s="41">
        <f t="shared" si="24"/>
        <v>2941</v>
      </c>
      <c r="BJ28" s="42">
        <f t="shared" si="24"/>
        <v>2942</v>
      </c>
      <c r="BK28" s="42">
        <f t="shared" si="24"/>
        <v>2943</v>
      </c>
      <c r="BL28" s="42">
        <f t="shared" si="24"/>
        <v>2944</v>
      </c>
      <c r="BM28" s="42">
        <f t="shared" si="25"/>
        <v>2945</v>
      </c>
      <c r="BN28" s="42">
        <f t="shared" si="26"/>
        <v>2946</v>
      </c>
      <c r="BO28" s="42">
        <f t="shared" si="27"/>
        <v>2947</v>
      </c>
      <c r="BP28" s="42">
        <f t="shared" si="28"/>
        <v>2948</v>
      </c>
      <c r="BQ28" s="42">
        <f t="shared" si="29"/>
        <v>2949</v>
      </c>
      <c r="BR28" s="43">
        <f t="shared" si="30"/>
        <v>2950</v>
      </c>
      <c r="BS28" s="41">
        <f t="shared" si="31"/>
        <v>2951</v>
      </c>
      <c r="BT28" s="42">
        <f t="shared" si="32"/>
        <v>2952</v>
      </c>
      <c r="BU28" s="42">
        <f t="shared" si="33"/>
        <v>2953</v>
      </c>
      <c r="BV28" s="42">
        <f t="shared" si="34"/>
        <v>2954</v>
      </c>
      <c r="BW28" s="42">
        <f t="shared" si="35"/>
        <v>2955</v>
      </c>
      <c r="BX28" s="42">
        <f t="shared" si="36"/>
        <v>2956</v>
      </c>
      <c r="BY28" s="42">
        <f t="shared" si="37"/>
        <v>2957</v>
      </c>
      <c r="BZ28" s="42">
        <f t="shared" si="38"/>
        <v>2958</v>
      </c>
      <c r="CA28" s="42">
        <f t="shared" si="39"/>
        <v>2959</v>
      </c>
      <c r="CB28" s="65">
        <f t="shared" si="40"/>
        <v>2960</v>
      </c>
      <c r="CC28" s="66">
        <f t="shared" si="41"/>
        <v>2961</v>
      </c>
      <c r="CD28" s="42">
        <f t="shared" si="42"/>
        <v>2962</v>
      </c>
      <c r="CE28" s="42">
        <f t="shared" si="43"/>
        <v>2963</v>
      </c>
      <c r="CF28" s="42">
        <f t="shared" si="44"/>
        <v>2964</v>
      </c>
      <c r="CG28" s="42">
        <f t="shared" si="45"/>
        <v>2965</v>
      </c>
      <c r="CH28" s="42">
        <f t="shared" si="46"/>
        <v>2966</v>
      </c>
      <c r="CI28" s="42">
        <f t="shared" si="47"/>
        <v>2967</v>
      </c>
      <c r="CJ28" s="42">
        <f t="shared" si="48"/>
        <v>2968</v>
      </c>
      <c r="CK28" s="42">
        <f t="shared" si="49"/>
        <v>2969</v>
      </c>
      <c r="CL28" s="43">
        <f t="shared" si="50"/>
        <v>2970</v>
      </c>
      <c r="CM28" s="41">
        <f t="shared" si="51"/>
        <v>2971</v>
      </c>
      <c r="CN28" s="42">
        <f t="shared" si="52"/>
        <v>2972</v>
      </c>
      <c r="CO28" s="42">
        <f t="shared" si="53"/>
        <v>2973</v>
      </c>
      <c r="CP28" s="42">
        <f t="shared" si="54"/>
        <v>2974</v>
      </c>
      <c r="CQ28" s="42">
        <f t="shared" si="55"/>
        <v>2975</v>
      </c>
      <c r="CR28" s="42">
        <f t="shared" si="56"/>
        <v>2976</v>
      </c>
      <c r="CS28" s="42">
        <f t="shared" si="57"/>
        <v>2977</v>
      </c>
      <c r="CT28" s="42">
        <f t="shared" si="58"/>
        <v>2978</v>
      </c>
      <c r="CU28" s="42">
        <f t="shared" si="59"/>
        <v>2979</v>
      </c>
      <c r="CV28" s="65">
        <f t="shared" si="60"/>
        <v>2980</v>
      </c>
      <c r="CW28" s="66">
        <f t="shared" si="61"/>
        <v>2981</v>
      </c>
      <c r="CX28" s="42">
        <f t="shared" si="62"/>
        <v>2982</v>
      </c>
      <c r="CY28" s="42">
        <f t="shared" si="63"/>
        <v>2983</v>
      </c>
      <c r="CZ28" s="42">
        <f t="shared" si="64"/>
        <v>2984</v>
      </c>
      <c r="DA28" s="42">
        <f t="shared" si="65"/>
        <v>2985</v>
      </c>
      <c r="DB28" s="42">
        <f t="shared" si="66"/>
        <v>2986</v>
      </c>
      <c r="DC28" s="42">
        <f t="shared" si="67"/>
        <v>2987</v>
      </c>
      <c r="DD28" s="42">
        <f t="shared" si="68"/>
        <v>2988</v>
      </c>
      <c r="DE28" s="42">
        <f t="shared" si="69"/>
        <v>2989</v>
      </c>
      <c r="DF28" s="43">
        <f t="shared" si="70"/>
        <v>2990</v>
      </c>
      <c r="DG28" s="41">
        <f t="shared" si="71"/>
        <v>2991</v>
      </c>
      <c r="DH28" s="42">
        <f t="shared" si="72"/>
        <v>2992</v>
      </c>
      <c r="DI28" s="42">
        <f t="shared" si="73"/>
        <v>2993</v>
      </c>
      <c r="DJ28" s="42">
        <f t="shared" si="74"/>
        <v>2994</v>
      </c>
      <c r="DK28" s="42">
        <f t="shared" si="75"/>
        <v>2995</v>
      </c>
      <c r="DL28" s="42">
        <f t="shared" si="76"/>
        <v>2996</v>
      </c>
      <c r="DM28" s="42">
        <f t="shared" si="77"/>
        <v>2997</v>
      </c>
      <c r="DN28" s="42">
        <f t="shared" si="78"/>
        <v>2998</v>
      </c>
      <c r="DO28" s="42">
        <f t="shared" si="79"/>
        <v>2999</v>
      </c>
      <c r="DP28" s="65">
        <f t="shared" si="80"/>
        <v>3000</v>
      </c>
      <c r="DQ28" s="62"/>
      <c r="DR28" s="62"/>
      <c r="DS28" s="62"/>
      <c r="DT28" s="62"/>
      <c r="DU28" s="50"/>
      <c r="DV28" s="51"/>
    </row>
    <row r="29" spans="1:126" ht="16" thickBot="1">
      <c r="A29" s="244"/>
      <c r="B29" s="244"/>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5"/>
      <c r="AE29" s="245"/>
      <c r="AF29" s="245"/>
      <c r="AG29" s="245"/>
      <c r="AH29" s="245"/>
      <c r="AI29" s="245"/>
      <c r="AJ29" s="245"/>
      <c r="AK29" s="245"/>
      <c r="AL29" s="245"/>
      <c r="AM29" s="245"/>
      <c r="AN29" s="245"/>
      <c r="AO29" s="246" t="s">
        <v>1699</v>
      </c>
      <c r="AP29" s="245"/>
      <c r="AQ29" s="245"/>
      <c r="AR29" s="245"/>
      <c r="AS29" s="245"/>
      <c r="AT29" s="245"/>
      <c r="AU29" s="245"/>
      <c r="AV29" s="245"/>
      <c r="AW29" s="245"/>
      <c r="AX29" s="245"/>
      <c r="AY29" s="245"/>
      <c r="AZ29" s="245"/>
      <c r="BA29" s="245"/>
      <c r="BB29" s="245"/>
      <c r="BC29" s="245"/>
      <c r="BD29" s="245"/>
      <c r="BF29" s="245"/>
      <c r="BG29" s="245"/>
      <c r="BH29" s="245"/>
      <c r="BI29" s="245"/>
      <c r="BJ29" s="245"/>
      <c r="BK29" s="245"/>
      <c r="BL29" s="245"/>
      <c r="BM29" s="245"/>
      <c r="BN29" s="245"/>
      <c r="BO29" s="245"/>
      <c r="BP29" s="245"/>
      <c r="BQ29" s="245"/>
      <c r="BR29" s="245"/>
      <c r="BS29" s="532" t="str">
        <f>'Ship Info'!G22&amp;": "&amp;'Ship Info'!I31</f>
        <v>High Automation: DM+2 on all shipboard tasks</v>
      </c>
      <c r="BT29" s="532"/>
      <c r="BU29" s="532"/>
      <c r="BV29" s="532"/>
      <c r="BW29" s="532"/>
      <c r="BX29" s="532"/>
      <c r="BY29" s="532"/>
      <c r="BZ29" s="532"/>
      <c r="CA29" s="532"/>
      <c r="CB29" s="532"/>
      <c r="CC29" s="532"/>
      <c r="CD29" s="532"/>
      <c r="CE29" s="532"/>
      <c r="CF29" s="532"/>
      <c r="CG29" s="532"/>
      <c r="CH29" s="532"/>
      <c r="CI29" s="532"/>
      <c r="CJ29" s="532"/>
      <c r="CK29" s="532"/>
      <c r="CL29" s="532"/>
      <c r="CM29" s="532"/>
      <c r="CN29" s="532"/>
      <c r="CO29" s="532"/>
      <c r="CP29" s="532"/>
      <c r="CQ29" s="532"/>
      <c r="CR29" s="532"/>
      <c r="CS29" s="532"/>
      <c r="CT29" s="532"/>
      <c r="CU29" s="532"/>
      <c r="CV29" s="532"/>
      <c r="CW29" s="532"/>
      <c r="CX29" s="532"/>
      <c r="CY29" s="532"/>
      <c r="CZ29" s="532"/>
      <c r="DA29" s="532"/>
      <c r="DB29" s="532"/>
      <c r="DC29" s="532"/>
      <c r="DD29" s="532"/>
      <c r="DE29" s="532"/>
      <c r="DF29" s="532"/>
      <c r="DG29" s="247"/>
      <c r="DH29" s="247"/>
      <c r="DI29" s="247"/>
      <c r="DJ29" s="247"/>
      <c r="DK29" s="247"/>
      <c r="DL29" s="247"/>
      <c r="DM29" s="247"/>
      <c r="DN29" s="247"/>
      <c r="DO29" s="247"/>
      <c r="DP29" s="247"/>
      <c r="DQ29" s="247"/>
      <c r="DR29" s="260" t="str">
        <f>IF('1-Hull'!D7&lt;3100,"",IF('1-Hull'!D7&lt;31000,"SCALE: 1 Box = 10 Damage","SCALE: 1 Box = 100 Damage"))</f>
        <v/>
      </c>
      <c r="DS29" s="247"/>
      <c r="DT29" s="247"/>
      <c r="DU29" s="50"/>
      <c r="DV29" s="51"/>
    </row>
    <row r="30" spans="1:126" ht="16" thickBot="1">
      <c r="A30" s="656" t="s">
        <v>307</v>
      </c>
      <c r="B30" s="657"/>
      <c r="C30" s="657"/>
      <c r="D30" s="657"/>
      <c r="E30" s="657"/>
      <c r="F30" s="657"/>
      <c r="G30" s="657"/>
      <c r="H30" s="657"/>
      <c r="I30" s="657"/>
      <c r="J30" s="657"/>
      <c r="K30" s="657"/>
      <c r="L30" s="657"/>
      <c r="M30" s="657"/>
      <c r="N30" s="657"/>
      <c r="O30" s="657"/>
      <c r="P30" s="657"/>
      <c r="Q30" s="657"/>
      <c r="R30" s="657"/>
      <c r="S30" s="657"/>
      <c r="T30" s="657"/>
      <c r="U30" s="657"/>
      <c r="V30" s="657"/>
      <c r="W30" s="657"/>
      <c r="X30" s="657"/>
      <c r="Y30" s="657"/>
      <c r="Z30" s="657"/>
      <c r="AA30" s="657"/>
      <c r="AB30" s="657"/>
      <c r="AC30" s="658"/>
      <c r="AD30" s="541" t="s">
        <v>326</v>
      </c>
      <c r="AE30" s="563"/>
      <c r="AF30" s="563"/>
      <c r="AG30" s="563"/>
      <c r="AH30" s="563"/>
      <c r="AI30" s="563"/>
      <c r="AJ30" s="563"/>
      <c r="AK30" s="563"/>
      <c r="AL30" s="563"/>
      <c r="AM30" s="563"/>
      <c r="AN30" s="564"/>
      <c r="AO30" s="541" t="s">
        <v>391</v>
      </c>
      <c r="AP30" s="563"/>
      <c r="AQ30" s="563"/>
      <c r="AR30" s="563"/>
      <c r="AS30" s="563"/>
      <c r="AT30" s="563"/>
      <c r="AU30" s="563"/>
      <c r="AV30" s="563"/>
      <c r="AW30" s="563"/>
      <c r="AX30" s="564"/>
      <c r="AY30" s="541" t="s">
        <v>713</v>
      </c>
      <c r="AZ30" s="563"/>
      <c r="BA30" s="563"/>
      <c r="BB30" s="563"/>
      <c r="BC30" s="563"/>
      <c r="BD30" s="563"/>
      <c r="BE30" s="563"/>
      <c r="BF30" s="563"/>
      <c r="BG30" s="563"/>
      <c r="BH30" s="563"/>
      <c r="BI30" s="563"/>
      <c r="BJ30" s="563"/>
      <c r="BK30" s="563"/>
      <c r="BL30" s="563"/>
      <c r="BM30" s="563"/>
      <c r="BN30" s="563"/>
      <c r="BO30" s="563"/>
      <c r="BP30" s="563"/>
      <c r="BQ30" s="563"/>
      <c r="BR30" s="564"/>
      <c r="BS30" s="541" t="s">
        <v>670</v>
      </c>
      <c r="BT30" s="542"/>
      <c r="BU30" s="542"/>
      <c r="BV30" s="542"/>
      <c r="BW30" s="542"/>
      <c r="BX30" s="542"/>
      <c r="BY30" s="542"/>
      <c r="BZ30" s="542"/>
      <c r="CA30" s="542"/>
      <c r="CB30" s="542"/>
      <c r="CC30" s="542"/>
      <c r="CD30" s="563" t="s">
        <v>669</v>
      </c>
      <c r="CE30" s="563"/>
      <c r="CF30" s="563"/>
      <c r="CG30" s="563"/>
      <c r="CH30" s="563"/>
      <c r="CI30" s="563"/>
      <c r="CJ30" s="563"/>
      <c r="CK30" s="563"/>
      <c r="CL30" s="563"/>
      <c r="CM30" s="563"/>
      <c r="CN30" s="563"/>
      <c r="CO30" s="563"/>
      <c r="CP30" s="563"/>
      <c r="CQ30" s="563"/>
      <c r="CR30" s="563"/>
      <c r="CS30" s="563"/>
      <c r="CT30" s="563"/>
      <c r="CU30" s="563"/>
      <c r="CV30" s="563"/>
      <c r="CW30" s="563"/>
      <c r="CX30" s="563"/>
      <c r="CY30" s="563"/>
      <c r="CZ30" s="563"/>
      <c r="DA30" s="563"/>
      <c r="DB30" s="563"/>
      <c r="DC30" s="563"/>
      <c r="DD30" s="563"/>
      <c r="DE30" s="563"/>
      <c r="DF30" s="563"/>
      <c r="DG30" s="563"/>
      <c r="DH30" s="563"/>
      <c r="DI30" s="563"/>
      <c r="DJ30" s="563"/>
      <c r="DK30" s="563"/>
      <c r="DL30" s="563"/>
      <c r="DM30" s="563"/>
      <c r="DN30" s="563"/>
      <c r="DO30" s="563"/>
      <c r="DP30" s="563"/>
      <c r="DQ30" s="563"/>
      <c r="DR30" s="563"/>
      <c r="DS30" s="563"/>
      <c r="DT30" s="564"/>
      <c r="DU30" s="50"/>
      <c r="DV30" s="51"/>
    </row>
    <row r="31" spans="1:126">
      <c r="A31" s="659" t="str">
        <f>'8a-Weapons'!AS113</f>
        <v>3x Single Turret: Particle Beam</v>
      </c>
      <c r="B31" s="660"/>
      <c r="C31" s="660"/>
      <c r="D31" s="660"/>
      <c r="E31" s="660"/>
      <c r="F31" s="660"/>
      <c r="G31" s="660"/>
      <c r="H31" s="660"/>
      <c r="I31" s="660"/>
      <c r="J31" s="660"/>
      <c r="K31" s="660"/>
      <c r="L31" s="660"/>
      <c r="M31" s="660"/>
      <c r="N31" s="660"/>
      <c r="O31" s="660"/>
      <c r="P31" s="660"/>
      <c r="Q31" s="660"/>
      <c r="R31" s="660"/>
      <c r="S31" s="660"/>
      <c r="T31" s="660"/>
      <c r="U31" s="660"/>
      <c r="V31" s="660"/>
      <c r="W31" s="660"/>
      <c r="X31" s="660"/>
      <c r="Y31" s="660"/>
      <c r="Z31" s="660"/>
      <c r="AA31" s="660"/>
      <c r="AB31" s="660"/>
      <c r="AC31" s="661"/>
      <c r="AD31" s="662" t="str">
        <f>'8a-Weapons'!AQ28</f>
        <v>Very Long</v>
      </c>
      <c r="AE31" s="663"/>
      <c r="AF31" s="663"/>
      <c r="AG31" s="663"/>
      <c r="AH31" s="663"/>
      <c r="AI31" s="663"/>
      <c r="AJ31" s="663"/>
      <c r="AK31" s="663"/>
      <c r="AL31" s="663"/>
      <c r="AM31" s="663"/>
      <c r="AN31" s="664"/>
      <c r="AO31" s="649" t="str">
        <f>'8a-Weapons'!AR28</f>
        <v>3D</v>
      </c>
      <c r="AP31" s="650"/>
      <c r="AQ31" s="650"/>
      <c r="AR31" s="650"/>
      <c r="AS31" s="650"/>
      <c r="AT31" s="650"/>
      <c r="AU31" s="650"/>
      <c r="AV31" s="650"/>
      <c r="AW31" s="650"/>
      <c r="AX31" s="651"/>
      <c r="AY31" s="649" t="str">
        <f>'8a-Weapons'!AU113</f>
        <v>, Repair +1</v>
      </c>
      <c r="AZ31" s="650"/>
      <c r="BA31" s="650"/>
      <c r="BB31" s="650"/>
      <c r="BC31" s="650"/>
      <c r="BD31" s="650"/>
      <c r="BE31" s="650"/>
      <c r="BF31" s="650"/>
      <c r="BG31" s="650"/>
      <c r="BH31" s="650"/>
      <c r="BI31" s="650"/>
      <c r="BJ31" s="650"/>
      <c r="BK31" s="650"/>
      <c r="BL31" s="650"/>
      <c r="BM31" s="650"/>
      <c r="BN31" s="650"/>
      <c r="BO31" s="650"/>
      <c r="BP31" s="650"/>
      <c r="BQ31" s="650"/>
      <c r="BR31" s="651"/>
      <c r="BS31" s="554"/>
      <c r="BT31" s="555"/>
      <c r="BU31" s="567" t="s">
        <v>668</v>
      </c>
      <c r="BV31" s="568"/>
      <c r="BW31" s="568"/>
      <c r="BX31" s="568"/>
      <c r="BY31" s="568"/>
      <c r="BZ31" s="568"/>
      <c r="CA31" s="568"/>
      <c r="CB31" s="568"/>
      <c r="CC31" s="569"/>
      <c r="CD31" s="543">
        <v>1</v>
      </c>
      <c r="CE31" s="544"/>
      <c r="CF31" s="544"/>
      <c r="CG31" s="544"/>
      <c r="CH31" s="544"/>
      <c r="CI31" s="544"/>
      <c r="CJ31" s="544"/>
      <c r="CK31" s="544">
        <v>2</v>
      </c>
      <c r="CL31" s="544"/>
      <c r="CM31" s="544"/>
      <c r="CN31" s="544"/>
      <c r="CO31" s="544"/>
      <c r="CP31" s="544"/>
      <c r="CQ31" s="544"/>
      <c r="CR31" s="544"/>
      <c r="CS31" s="544">
        <v>3</v>
      </c>
      <c r="CT31" s="544"/>
      <c r="CU31" s="544"/>
      <c r="CV31" s="544"/>
      <c r="CW31" s="544"/>
      <c r="CX31" s="544"/>
      <c r="CY31" s="544"/>
      <c r="CZ31" s="544">
        <v>4</v>
      </c>
      <c r="DA31" s="544"/>
      <c r="DB31" s="544"/>
      <c r="DC31" s="544"/>
      <c r="DD31" s="544"/>
      <c r="DE31" s="544"/>
      <c r="DF31" s="544"/>
      <c r="DG31" s="544">
        <v>5</v>
      </c>
      <c r="DH31" s="544"/>
      <c r="DI31" s="544"/>
      <c r="DJ31" s="544"/>
      <c r="DK31" s="544"/>
      <c r="DL31" s="544"/>
      <c r="DM31" s="544"/>
      <c r="DN31" s="544">
        <v>6</v>
      </c>
      <c r="DO31" s="544"/>
      <c r="DP31" s="544"/>
      <c r="DQ31" s="544"/>
      <c r="DR31" s="544"/>
      <c r="DS31" s="544"/>
      <c r="DT31" s="585"/>
      <c r="DU31" s="50"/>
      <c r="DV31" s="51"/>
    </row>
    <row r="32" spans="1:126" ht="7.25" customHeight="1">
      <c r="A32" s="676" t="str">
        <f>'8a-Weapons'!AS114</f>
        <v/>
      </c>
      <c r="B32" s="677"/>
      <c r="C32" s="677"/>
      <c r="D32" s="677"/>
      <c r="E32" s="677"/>
      <c r="F32" s="677"/>
      <c r="G32" s="677"/>
      <c r="H32" s="677"/>
      <c r="I32" s="677"/>
      <c r="J32" s="677"/>
      <c r="K32" s="677"/>
      <c r="L32" s="677"/>
      <c r="M32" s="677"/>
      <c r="N32" s="677"/>
      <c r="O32" s="677"/>
      <c r="P32" s="677"/>
      <c r="Q32" s="677"/>
      <c r="R32" s="677"/>
      <c r="S32" s="677"/>
      <c r="T32" s="677"/>
      <c r="U32" s="677"/>
      <c r="V32" s="677"/>
      <c r="W32" s="677"/>
      <c r="X32" s="677"/>
      <c r="Y32" s="677"/>
      <c r="Z32" s="677"/>
      <c r="AA32" s="677"/>
      <c r="AB32" s="677"/>
      <c r="AC32" s="678"/>
      <c r="AD32" s="682" t="str">
        <f>'8a-Weapons'!AQ29</f>
        <v/>
      </c>
      <c r="AE32" s="683"/>
      <c r="AF32" s="683"/>
      <c r="AG32" s="683"/>
      <c r="AH32" s="683"/>
      <c r="AI32" s="683"/>
      <c r="AJ32" s="683"/>
      <c r="AK32" s="683"/>
      <c r="AL32" s="683"/>
      <c r="AM32" s="683"/>
      <c r="AN32" s="684"/>
      <c r="AO32" s="688" t="str">
        <f>'8a-Weapons'!AR29</f>
        <v/>
      </c>
      <c r="AP32" s="689"/>
      <c r="AQ32" s="689"/>
      <c r="AR32" s="689"/>
      <c r="AS32" s="689"/>
      <c r="AT32" s="689"/>
      <c r="AU32" s="689"/>
      <c r="AV32" s="689"/>
      <c r="AW32" s="689"/>
      <c r="AX32" s="690"/>
      <c r="AY32" s="688" t="str">
        <f>'8a-Weapons'!AU114</f>
        <v/>
      </c>
      <c r="AZ32" s="689"/>
      <c r="BA32" s="689"/>
      <c r="BB32" s="689"/>
      <c r="BC32" s="689"/>
      <c r="BD32" s="689"/>
      <c r="BE32" s="689"/>
      <c r="BF32" s="689"/>
      <c r="BG32" s="689"/>
      <c r="BH32" s="689"/>
      <c r="BI32" s="689"/>
      <c r="BJ32" s="689"/>
      <c r="BK32" s="689"/>
      <c r="BL32" s="689"/>
      <c r="BM32" s="689"/>
      <c r="BN32" s="689"/>
      <c r="BO32" s="689"/>
      <c r="BP32" s="689"/>
      <c r="BQ32" s="689"/>
      <c r="BR32" s="690"/>
      <c r="BS32" s="638">
        <v>2</v>
      </c>
      <c r="BT32" s="639"/>
      <c r="BU32" s="642" t="str">
        <f>"Sensors"&amp;IF('7-Sensors'!B33='7-Sensors'!S11,""," (CS-1)")</f>
        <v>Sensors</v>
      </c>
      <c r="BV32" s="642"/>
      <c r="BW32" s="642"/>
      <c r="BX32" s="642"/>
      <c r="BY32" s="642"/>
      <c r="BZ32" s="642"/>
      <c r="CA32" s="642"/>
      <c r="CB32" s="642"/>
      <c r="CC32" s="643"/>
      <c r="CD32" s="646" t="s">
        <v>675</v>
      </c>
      <c r="CE32" s="546"/>
      <c r="CF32" s="546"/>
      <c r="CG32" s="546"/>
      <c r="CH32" s="546"/>
      <c r="CI32" s="546"/>
      <c r="CJ32" s="547"/>
      <c r="CK32" s="545" t="s">
        <v>1427</v>
      </c>
      <c r="CL32" s="546"/>
      <c r="CM32" s="546"/>
      <c r="CN32" s="546"/>
      <c r="CO32" s="546"/>
      <c r="CP32" s="546"/>
      <c r="CQ32" s="546"/>
      <c r="CR32" s="547"/>
      <c r="CS32" s="545" t="s">
        <v>1427</v>
      </c>
      <c r="CT32" s="546"/>
      <c r="CU32" s="546"/>
      <c r="CV32" s="546"/>
      <c r="CW32" s="546"/>
      <c r="CX32" s="546"/>
      <c r="CY32" s="547"/>
      <c r="CZ32" s="545" t="s">
        <v>1427</v>
      </c>
      <c r="DA32" s="546"/>
      <c r="DB32" s="546"/>
      <c r="DC32" s="546"/>
      <c r="DD32" s="546"/>
      <c r="DE32" s="546"/>
      <c r="DF32" s="547"/>
      <c r="DG32" s="545" t="s">
        <v>1427</v>
      </c>
      <c r="DH32" s="546"/>
      <c r="DI32" s="546"/>
      <c r="DJ32" s="546"/>
      <c r="DK32" s="546"/>
      <c r="DL32" s="546"/>
      <c r="DM32" s="547"/>
      <c r="DN32" s="545" t="s">
        <v>672</v>
      </c>
      <c r="DO32" s="546"/>
      <c r="DP32" s="546"/>
      <c r="DQ32" s="546"/>
      <c r="DR32" s="546"/>
      <c r="DS32" s="546"/>
      <c r="DT32" s="575"/>
      <c r="DU32" s="50"/>
      <c r="DV32" s="51"/>
    </row>
    <row r="33" spans="1:126" ht="7.25" customHeight="1">
      <c r="A33" s="679"/>
      <c r="B33" s="680"/>
      <c r="C33" s="680"/>
      <c r="D33" s="680"/>
      <c r="E33" s="680"/>
      <c r="F33" s="680"/>
      <c r="G33" s="680"/>
      <c r="H33" s="680"/>
      <c r="I33" s="680"/>
      <c r="J33" s="680"/>
      <c r="K33" s="680"/>
      <c r="L33" s="680"/>
      <c r="M33" s="680"/>
      <c r="N33" s="680"/>
      <c r="O33" s="680"/>
      <c r="P33" s="680"/>
      <c r="Q33" s="680"/>
      <c r="R33" s="680"/>
      <c r="S33" s="680"/>
      <c r="T33" s="680"/>
      <c r="U33" s="680"/>
      <c r="V33" s="680"/>
      <c r="W33" s="680"/>
      <c r="X33" s="680"/>
      <c r="Y33" s="680"/>
      <c r="Z33" s="680"/>
      <c r="AA33" s="680"/>
      <c r="AB33" s="680"/>
      <c r="AC33" s="681"/>
      <c r="AD33" s="685"/>
      <c r="AE33" s="686"/>
      <c r="AF33" s="686"/>
      <c r="AG33" s="686"/>
      <c r="AH33" s="686"/>
      <c r="AI33" s="686"/>
      <c r="AJ33" s="686"/>
      <c r="AK33" s="686"/>
      <c r="AL33" s="686"/>
      <c r="AM33" s="686"/>
      <c r="AN33" s="687"/>
      <c r="AO33" s="691"/>
      <c r="AP33" s="692"/>
      <c r="AQ33" s="692"/>
      <c r="AR33" s="692"/>
      <c r="AS33" s="692"/>
      <c r="AT33" s="692"/>
      <c r="AU33" s="692"/>
      <c r="AV33" s="692"/>
      <c r="AW33" s="692"/>
      <c r="AX33" s="693"/>
      <c r="AY33" s="691"/>
      <c r="AZ33" s="692"/>
      <c r="BA33" s="692"/>
      <c r="BB33" s="692"/>
      <c r="BC33" s="692"/>
      <c r="BD33" s="692"/>
      <c r="BE33" s="692"/>
      <c r="BF33" s="692"/>
      <c r="BG33" s="692"/>
      <c r="BH33" s="692"/>
      <c r="BI33" s="692"/>
      <c r="BJ33" s="692"/>
      <c r="BK33" s="692"/>
      <c r="BL33" s="692"/>
      <c r="BM33" s="692"/>
      <c r="BN33" s="692"/>
      <c r="BO33" s="692"/>
      <c r="BP33" s="692"/>
      <c r="BQ33" s="692"/>
      <c r="BR33" s="693"/>
      <c r="BS33" s="640"/>
      <c r="BT33" s="641"/>
      <c r="BU33" s="644"/>
      <c r="BV33" s="644"/>
      <c r="BW33" s="644"/>
      <c r="BX33" s="644"/>
      <c r="BY33" s="644"/>
      <c r="BZ33" s="644"/>
      <c r="CA33" s="644"/>
      <c r="CB33" s="644"/>
      <c r="CC33" s="645"/>
      <c r="CD33" s="647"/>
      <c r="CE33" s="577"/>
      <c r="CF33" s="577"/>
      <c r="CG33" s="577"/>
      <c r="CH33" s="577"/>
      <c r="CI33" s="577"/>
      <c r="CJ33" s="648"/>
      <c r="CK33" s="768" t="s">
        <v>328</v>
      </c>
      <c r="CL33" s="769"/>
      <c r="CM33" s="769"/>
      <c r="CN33" s="769"/>
      <c r="CO33" s="769"/>
      <c r="CP33" s="769"/>
      <c r="CQ33" s="769"/>
      <c r="CR33" s="770"/>
      <c r="CS33" s="768" t="s">
        <v>1134</v>
      </c>
      <c r="CT33" s="769"/>
      <c r="CU33" s="769"/>
      <c r="CV33" s="769"/>
      <c r="CW33" s="769"/>
      <c r="CX33" s="769"/>
      <c r="CY33" s="770"/>
      <c r="CZ33" s="768" t="s">
        <v>633</v>
      </c>
      <c r="DA33" s="769"/>
      <c r="DB33" s="769"/>
      <c r="DC33" s="769"/>
      <c r="DD33" s="769"/>
      <c r="DE33" s="769"/>
      <c r="DF33" s="770"/>
      <c r="DG33" s="768" t="s">
        <v>330</v>
      </c>
      <c r="DH33" s="769"/>
      <c r="DI33" s="769"/>
      <c r="DJ33" s="769"/>
      <c r="DK33" s="769"/>
      <c r="DL33" s="769"/>
      <c r="DM33" s="770"/>
      <c r="DN33" s="576"/>
      <c r="DO33" s="577"/>
      <c r="DP33" s="577"/>
      <c r="DQ33" s="577"/>
      <c r="DR33" s="577"/>
      <c r="DS33" s="577"/>
      <c r="DT33" s="578"/>
      <c r="DU33" s="50"/>
      <c r="DV33" s="51"/>
    </row>
    <row r="34" spans="1:126">
      <c r="A34" s="579" t="str">
        <f>'8a-Weapons'!AS115</f>
        <v/>
      </c>
      <c r="B34" s="580"/>
      <c r="C34" s="580"/>
      <c r="D34" s="580"/>
      <c r="E34" s="580"/>
      <c r="F34" s="580"/>
      <c r="G34" s="580"/>
      <c r="H34" s="580"/>
      <c r="I34" s="580"/>
      <c r="J34" s="580"/>
      <c r="K34" s="580"/>
      <c r="L34" s="580"/>
      <c r="M34" s="580"/>
      <c r="N34" s="580"/>
      <c r="O34" s="580"/>
      <c r="P34" s="580"/>
      <c r="Q34" s="580"/>
      <c r="R34" s="580"/>
      <c r="S34" s="580"/>
      <c r="T34" s="580"/>
      <c r="U34" s="580"/>
      <c r="V34" s="580"/>
      <c r="W34" s="580"/>
      <c r="X34" s="580"/>
      <c r="Y34" s="580"/>
      <c r="Z34" s="580"/>
      <c r="AA34" s="580"/>
      <c r="AB34" s="580"/>
      <c r="AC34" s="581"/>
      <c r="AD34" s="598" t="str">
        <f>'8a-Weapons'!AQ30</f>
        <v/>
      </c>
      <c r="AE34" s="599"/>
      <c r="AF34" s="599"/>
      <c r="AG34" s="599"/>
      <c r="AH34" s="599"/>
      <c r="AI34" s="599"/>
      <c r="AJ34" s="599"/>
      <c r="AK34" s="599"/>
      <c r="AL34" s="599"/>
      <c r="AM34" s="599"/>
      <c r="AN34" s="600"/>
      <c r="AO34" s="604" t="str">
        <f>'8a-Weapons'!AR30</f>
        <v/>
      </c>
      <c r="AP34" s="605"/>
      <c r="AQ34" s="605"/>
      <c r="AR34" s="605"/>
      <c r="AS34" s="605"/>
      <c r="AT34" s="605"/>
      <c r="AU34" s="605"/>
      <c r="AV34" s="605"/>
      <c r="AW34" s="605"/>
      <c r="AX34" s="606"/>
      <c r="AY34" s="604" t="str">
        <f>'8a-Weapons'!AU115</f>
        <v/>
      </c>
      <c r="AZ34" s="605"/>
      <c r="BA34" s="605"/>
      <c r="BB34" s="605"/>
      <c r="BC34" s="605"/>
      <c r="BD34" s="605"/>
      <c r="BE34" s="605"/>
      <c r="BF34" s="605"/>
      <c r="BG34" s="605"/>
      <c r="BH34" s="605"/>
      <c r="BI34" s="605"/>
      <c r="BJ34" s="605"/>
      <c r="BK34" s="605"/>
      <c r="BL34" s="605"/>
      <c r="BM34" s="605"/>
      <c r="BN34" s="605"/>
      <c r="BO34" s="605"/>
      <c r="BP34" s="605"/>
      <c r="BQ34" s="605"/>
      <c r="BR34" s="606"/>
      <c r="BS34" s="556">
        <v>3</v>
      </c>
      <c r="BT34" s="557"/>
      <c r="BU34" s="570" t="str">
        <f>"Pwr Plant"&amp;IF('3-Pwr Plant'!C16="No",""," (CS-1)")</f>
        <v>Pwr Plant</v>
      </c>
      <c r="BV34" s="571"/>
      <c r="BW34" s="571"/>
      <c r="BX34" s="571"/>
      <c r="BY34" s="571"/>
      <c r="BZ34" s="571"/>
      <c r="CA34" s="571"/>
      <c r="CB34" s="571"/>
      <c r="CC34" s="572"/>
      <c r="CD34" s="573" t="s">
        <v>1423</v>
      </c>
      <c r="CE34" s="549"/>
      <c r="CF34" s="549"/>
      <c r="CG34" s="549"/>
      <c r="CH34" s="549"/>
      <c r="CI34" s="549"/>
      <c r="CJ34" s="550"/>
      <c r="CK34" s="548" t="s">
        <v>1423</v>
      </c>
      <c r="CL34" s="549"/>
      <c r="CM34" s="549"/>
      <c r="CN34" s="549"/>
      <c r="CO34" s="549"/>
      <c r="CP34" s="549"/>
      <c r="CQ34" s="549"/>
      <c r="CR34" s="550"/>
      <c r="CS34" s="548" t="s">
        <v>1424</v>
      </c>
      <c r="CT34" s="549"/>
      <c r="CU34" s="549"/>
      <c r="CV34" s="549"/>
      <c r="CW34" s="549"/>
      <c r="CX34" s="549"/>
      <c r="CY34" s="550"/>
      <c r="CZ34" s="548" t="s">
        <v>1425</v>
      </c>
      <c r="DA34" s="549"/>
      <c r="DB34" s="549"/>
      <c r="DC34" s="549"/>
      <c r="DD34" s="549"/>
      <c r="DE34" s="549"/>
      <c r="DF34" s="550"/>
      <c r="DG34" s="548" t="s">
        <v>673</v>
      </c>
      <c r="DH34" s="549"/>
      <c r="DI34" s="549"/>
      <c r="DJ34" s="549"/>
      <c r="DK34" s="549"/>
      <c r="DL34" s="549"/>
      <c r="DM34" s="550"/>
      <c r="DN34" s="548" t="s">
        <v>674</v>
      </c>
      <c r="DO34" s="549"/>
      <c r="DP34" s="549"/>
      <c r="DQ34" s="549"/>
      <c r="DR34" s="549"/>
      <c r="DS34" s="549"/>
      <c r="DT34" s="565"/>
      <c r="DU34" s="50"/>
      <c r="DV34" s="51"/>
    </row>
    <row r="35" spans="1:126">
      <c r="A35" s="582" t="str">
        <f>'8a-Weapons'!AS116</f>
        <v/>
      </c>
      <c r="B35" s="583"/>
      <c r="C35" s="583"/>
      <c r="D35" s="583"/>
      <c r="E35" s="583"/>
      <c r="F35" s="583"/>
      <c r="G35" s="583"/>
      <c r="H35" s="583"/>
      <c r="I35" s="583"/>
      <c r="J35" s="583"/>
      <c r="K35" s="583"/>
      <c r="L35" s="583"/>
      <c r="M35" s="583"/>
      <c r="N35" s="583"/>
      <c r="O35" s="583"/>
      <c r="P35" s="583"/>
      <c r="Q35" s="583"/>
      <c r="R35" s="583"/>
      <c r="S35" s="583"/>
      <c r="T35" s="583"/>
      <c r="U35" s="583"/>
      <c r="V35" s="583"/>
      <c r="W35" s="583"/>
      <c r="X35" s="583"/>
      <c r="Y35" s="583"/>
      <c r="Z35" s="583"/>
      <c r="AA35" s="583"/>
      <c r="AB35" s="583"/>
      <c r="AC35" s="584"/>
      <c r="AD35" s="595" t="str">
        <f>'8a-Weapons'!AQ31</f>
        <v/>
      </c>
      <c r="AE35" s="596"/>
      <c r="AF35" s="596"/>
      <c r="AG35" s="596"/>
      <c r="AH35" s="596"/>
      <c r="AI35" s="596"/>
      <c r="AJ35" s="596"/>
      <c r="AK35" s="596"/>
      <c r="AL35" s="596"/>
      <c r="AM35" s="596"/>
      <c r="AN35" s="597"/>
      <c r="AO35" s="607" t="str">
        <f>'8a-Weapons'!AR31</f>
        <v/>
      </c>
      <c r="AP35" s="608"/>
      <c r="AQ35" s="608"/>
      <c r="AR35" s="608"/>
      <c r="AS35" s="608"/>
      <c r="AT35" s="608"/>
      <c r="AU35" s="608"/>
      <c r="AV35" s="608"/>
      <c r="AW35" s="608"/>
      <c r="AX35" s="609"/>
      <c r="AY35" s="607" t="str">
        <f>'8a-Weapons'!AU116</f>
        <v/>
      </c>
      <c r="AZ35" s="608"/>
      <c r="BA35" s="608"/>
      <c r="BB35" s="608"/>
      <c r="BC35" s="608"/>
      <c r="BD35" s="608"/>
      <c r="BE35" s="608"/>
      <c r="BF35" s="608"/>
      <c r="BG35" s="608"/>
      <c r="BH35" s="608"/>
      <c r="BI35" s="608"/>
      <c r="BJ35" s="608"/>
      <c r="BK35" s="608"/>
      <c r="BL35" s="608"/>
      <c r="BM35" s="608"/>
      <c r="BN35" s="608"/>
      <c r="BO35" s="608"/>
      <c r="BP35" s="608"/>
      <c r="BQ35" s="608"/>
      <c r="BR35" s="609"/>
      <c r="BS35" s="558">
        <v>4</v>
      </c>
      <c r="BT35" s="559"/>
      <c r="BU35" s="560" t="str">
        <f>"Fuel"&amp;IF('4-Fuel'!C12='4-Fuel'!T8," (CS-1)","")</f>
        <v>Fuel</v>
      </c>
      <c r="BV35" s="561"/>
      <c r="BW35" s="561"/>
      <c r="BX35" s="561"/>
      <c r="BY35" s="561"/>
      <c r="BZ35" s="561"/>
      <c r="CA35" s="561"/>
      <c r="CB35" s="561"/>
      <c r="CC35" s="562"/>
      <c r="CD35" s="574" t="s">
        <v>676</v>
      </c>
      <c r="CE35" s="552"/>
      <c r="CF35" s="552"/>
      <c r="CG35" s="552"/>
      <c r="CH35" s="552"/>
      <c r="CI35" s="552"/>
      <c r="CJ35" s="553"/>
      <c r="CK35" s="551" t="s">
        <v>677</v>
      </c>
      <c r="CL35" s="552"/>
      <c r="CM35" s="552"/>
      <c r="CN35" s="552"/>
      <c r="CO35" s="552"/>
      <c r="CP35" s="552"/>
      <c r="CQ35" s="552"/>
      <c r="CR35" s="553"/>
      <c r="CS35" s="551" t="s">
        <v>678</v>
      </c>
      <c r="CT35" s="552"/>
      <c r="CU35" s="552"/>
      <c r="CV35" s="552"/>
      <c r="CW35" s="552"/>
      <c r="CX35" s="552"/>
      <c r="CY35" s="553"/>
      <c r="CZ35" s="551" t="s">
        <v>679</v>
      </c>
      <c r="DA35" s="552"/>
      <c r="DB35" s="552"/>
      <c r="DC35" s="552"/>
      <c r="DD35" s="552"/>
      <c r="DE35" s="552"/>
      <c r="DF35" s="553"/>
      <c r="DG35" s="551" t="s">
        <v>673</v>
      </c>
      <c r="DH35" s="552"/>
      <c r="DI35" s="552"/>
      <c r="DJ35" s="552"/>
      <c r="DK35" s="552"/>
      <c r="DL35" s="552"/>
      <c r="DM35" s="553"/>
      <c r="DN35" s="551" t="s">
        <v>674</v>
      </c>
      <c r="DO35" s="552"/>
      <c r="DP35" s="552"/>
      <c r="DQ35" s="552"/>
      <c r="DR35" s="552"/>
      <c r="DS35" s="552"/>
      <c r="DT35" s="566"/>
      <c r="DU35" s="51"/>
      <c r="DV35" s="51"/>
    </row>
    <row r="36" spans="1:126" ht="7.25" customHeight="1">
      <c r="A36" s="706" t="str">
        <f>'8a-Weapons'!AS117</f>
        <v/>
      </c>
      <c r="B36" s="707"/>
      <c r="C36" s="707"/>
      <c r="D36" s="707"/>
      <c r="E36" s="707"/>
      <c r="F36" s="707"/>
      <c r="G36" s="707"/>
      <c r="H36" s="707"/>
      <c r="I36" s="707"/>
      <c r="J36" s="707"/>
      <c r="K36" s="707"/>
      <c r="L36" s="707"/>
      <c r="M36" s="707"/>
      <c r="N36" s="707"/>
      <c r="O36" s="707"/>
      <c r="P36" s="707"/>
      <c r="Q36" s="707"/>
      <c r="R36" s="707"/>
      <c r="S36" s="707"/>
      <c r="T36" s="707"/>
      <c r="U36" s="707"/>
      <c r="V36" s="707"/>
      <c r="W36" s="707"/>
      <c r="X36" s="707"/>
      <c r="Y36" s="707"/>
      <c r="Z36" s="707"/>
      <c r="AA36" s="707"/>
      <c r="AB36" s="707"/>
      <c r="AC36" s="708"/>
      <c r="AD36" s="694" t="str">
        <f>'8a-Weapons'!AQ32</f>
        <v/>
      </c>
      <c r="AE36" s="695"/>
      <c r="AF36" s="695"/>
      <c r="AG36" s="695"/>
      <c r="AH36" s="695"/>
      <c r="AI36" s="695"/>
      <c r="AJ36" s="695"/>
      <c r="AK36" s="695"/>
      <c r="AL36" s="695"/>
      <c r="AM36" s="695"/>
      <c r="AN36" s="696"/>
      <c r="AO36" s="623" t="str">
        <f>'8a-Weapons'!AR32</f>
        <v/>
      </c>
      <c r="AP36" s="624"/>
      <c r="AQ36" s="624"/>
      <c r="AR36" s="624"/>
      <c r="AS36" s="624"/>
      <c r="AT36" s="624"/>
      <c r="AU36" s="624"/>
      <c r="AV36" s="624"/>
      <c r="AW36" s="624"/>
      <c r="AX36" s="625"/>
      <c r="AY36" s="623" t="str">
        <f>'8a-Weapons'!AU117</f>
        <v/>
      </c>
      <c r="AZ36" s="624"/>
      <c r="BA36" s="624"/>
      <c r="BB36" s="624"/>
      <c r="BC36" s="624"/>
      <c r="BD36" s="624"/>
      <c r="BE36" s="624"/>
      <c r="BF36" s="624"/>
      <c r="BG36" s="624"/>
      <c r="BH36" s="624"/>
      <c r="BI36" s="624"/>
      <c r="BJ36" s="624"/>
      <c r="BK36" s="624"/>
      <c r="BL36" s="624"/>
      <c r="BM36" s="624"/>
      <c r="BN36" s="624"/>
      <c r="BO36" s="624"/>
      <c r="BP36" s="624"/>
      <c r="BQ36" s="624"/>
      <c r="BR36" s="625"/>
      <c r="BS36" s="629">
        <v>5</v>
      </c>
      <c r="BT36" s="630"/>
      <c r="BU36" s="633" t="str">
        <f>"Weapon*"</f>
        <v>Weapon*</v>
      </c>
      <c r="BV36" s="633"/>
      <c r="BW36" s="633"/>
      <c r="BX36" s="633"/>
      <c r="BY36" s="633"/>
      <c r="BZ36" s="633"/>
      <c r="CA36" s="633"/>
      <c r="CB36" s="633"/>
      <c r="CC36" s="634"/>
      <c r="CD36" s="665" t="s">
        <v>1428</v>
      </c>
      <c r="CE36" s="616"/>
      <c r="CF36" s="616"/>
      <c r="CG36" s="616"/>
      <c r="CH36" s="616"/>
      <c r="CI36" s="616"/>
      <c r="CJ36" s="617"/>
      <c r="CK36" s="615" t="s">
        <v>1428</v>
      </c>
      <c r="CL36" s="616"/>
      <c r="CM36" s="616"/>
      <c r="CN36" s="616"/>
      <c r="CO36" s="616"/>
      <c r="CP36" s="616"/>
      <c r="CQ36" s="616"/>
      <c r="CR36" s="617"/>
      <c r="CS36" s="612" t="s">
        <v>1430</v>
      </c>
      <c r="CT36" s="613"/>
      <c r="CU36" s="613"/>
      <c r="CV36" s="613"/>
      <c r="CW36" s="613"/>
      <c r="CX36" s="613"/>
      <c r="CY36" s="614"/>
      <c r="CZ36" s="615" t="s">
        <v>1431</v>
      </c>
      <c r="DA36" s="616"/>
      <c r="DB36" s="616"/>
      <c r="DC36" s="616"/>
      <c r="DD36" s="616"/>
      <c r="DE36" s="616"/>
      <c r="DF36" s="617"/>
      <c r="DG36" s="612" t="s">
        <v>1432</v>
      </c>
      <c r="DH36" s="613"/>
      <c r="DI36" s="613"/>
      <c r="DJ36" s="613"/>
      <c r="DK36" s="613"/>
      <c r="DL36" s="613"/>
      <c r="DM36" s="614"/>
      <c r="DN36" s="615" t="s">
        <v>1433</v>
      </c>
      <c r="DO36" s="616"/>
      <c r="DP36" s="616"/>
      <c r="DQ36" s="616"/>
      <c r="DR36" s="616"/>
      <c r="DS36" s="616"/>
      <c r="DT36" s="719"/>
      <c r="DU36" s="51"/>
      <c r="DV36" s="51"/>
    </row>
    <row r="37" spans="1:126" ht="7.25" customHeight="1">
      <c r="A37" s="709"/>
      <c r="B37" s="710"/>
      <c r="C37" s="710"/>
      <c r="D37" s="710"/>
      <c r="E37" s="710"/>
      <c r="F37" s="710"/>
      <c r="G37" s="710"/>
      <c r="H37" s="710"/>
      <c r="I37" s="710"/>
      <c r="J37" s="710"/>
      <c r="K37" s="710"/>
      <c r="L37" s="710"/>
      <c r="M37" s="710"/>
      <c r="N37" s="710"/>
      <c r="O37" s="710"/>
      <c r="P37" s="710"/>
      <c r="Q37" s="710"/>
      <c r="R37" s="710"/>
      <c r="S37" s="710"/>
      <c r="T37" s="710"/>
      <c r="U37" s="710"/>
      <c r="V37" s="710"/>
      <c r="W37" s="710"/>
      <c r="X37" s="710"/>
      <c r="Y37" s="710"/>
      <c r="Z37" s="710"/>
      <c r="AA37" s="710"/>
      <c r="AB37" s="710"/>
      <c r="AC37" s="711"/>
      <c r="AD37" s="697"/>
      <c r="AE37" s="698"/>
      <c r="AF37" s="698"/>
      <c r="AG37" s="698"/>
      <c r="AH37" s="698"/>
      <c r="AI37" s="698"/>
      <c r="AJ37" s="698"/>
      <c r="AK37" s="698"/>
      <c r="AL37" s="698"/>
      <c r="AM37" s="698"/>
      <c r="AN37" s="699"/>
      <c r="AO37" s="626"/>
      <c r="AP37" s="627"/>
      <c r="AQ37" s="627"/>
      <c r="AR37" s="627"/>
      <c r="AS37" s="627"/>
      <c r="AT37" s="627"/>
      <c r="AU37" s="627"/>
      <c r="AV37" s="627"/>
      <c r="AW37" s="627"/>
      <c r="AX37" s="628"/>
      <c r="AY37" s="626"/>
      <c r="AZ37" s="627"/>
      <c r="BA37" s="627"/>
      <c r="BB37" s="627"/>
      <c r="BC37" s="627"/>
      <c r="BD37" s="627"/>
      <c r="BE37" s="627"/>
      <c r="BF37" s="627"/>
      <c r="BG37" s="627"/>
      <c r="BH37" s="627"/>
      <c r="BI37" s="627"/>
      <c r="BJ37" s="627"/>
      <c r="BK37" s="627"/>
      <c r="BL37" s="627"/>
      <c r="BM37" s="627"/>
      <c r="BN37" s="627"/>
      <c r="BO37" s="627"/>
      <c r="BP37" s="627"/>
      <c r="BQ37" s="627"/>
      <c r="BR37" s="628"/>
      <c r="BS37" s="631"/>
      <c r="BT37" s="632"/>
      <c r="BU37" s="635"/>
      <c r="BV37" s="635"/>
      <c r="BW37" s="635"/>
      <c r="BX37" s="635"/>
      <c r="BY37" s="635"/>
      <c r="BZ37" s="635"/>
      <c r="CA37" s="635"/>
      <c r="CB37" s="635"/>
      <c r="CC37" s="636"/>
      <c r="CD37" s="652" t="s">
        <v>1426</v>
      </c>
      <c r="CE37" s="653"/>
      <c r="CF37" s="653"/>
      <c r="CG37" s="653"/>
      <c r="CH37" s="653"/>
      <c r="CI37" s="653"/>
      <c r="CJ37" s="654"/>
      <c r="CK37" s="655" t="s">
        <v>1429</v>
      </c>
      <c r="CL37" s="653"/>
      <c r="CM37" s="653"/>
      <c r="CN37" s="653"/>
      <c r="CO37" s="653"/>
      <c r="CP37" s="653"/>
      <c r="CQ37" s="653"/>
      <c r="CR37" s="654"/>
      <c r="CS37" s="618" t="s">
        <v>679</v>
      </c>
      <c r="CT37" s="619"/>
      <c r="CU37" s="619"/>
      <c r="CV37" s="619"/>
      <c r="CW37" s="619"/>
      <c r="CX37" s="619"/>
      <c r="CY37" s="620"/>
      <c r="CZ37" s="618" t="s">
        <v>673</v>
      </c>
      <c r="DA37" s="619"/>
      <c r="DB37" s="619"/>
      <c r="DC37" s="619"/>
      <c r="DD37" s="619"/>
      <c r="DE37" s="619"/>
      <c r="DF37" s="620"/>
      <c r="DG37" s="720" t="s">
        <v>673</v>
      </c>
      <c r="DH37" s="721"/>
      <c r="DI37" s="721"/>
      <c r="DJ37" s="721"/>
      <c r="DK37" s="721"/>
      <c r="DL37" s="721"/>
      <c r="DM37" s="722"/>
      <c r="DN37" s="720" t="s">
        <v>673</v>
      </c>
      <c r="DO37" s="721"/>
      <c r="DP37" s="721"/>
      <c r="DQ37" s="721"/>
      <c r="DR37" s="721"/>
      <c r="DS37" s="721"/>
      <c r="DT37" s="723"/>
      <c r="DU37" s="51"/>
      <c r="DV37" s="51"/>
    </row>
    <row r="38" spans="1:126" ht="7.25" customHeight="1">
      <c r="A38" s="676" t="str">
        <f>'8a-Weapons'!AS118</f>
        <v/>
      </c>
      <c r="B38" s="677"/>
      <c r="C38" s="677"/>
      <c r="D38" s="677"/>
      <c r="E38" s="677"/>
      <c r="F38" s="677"/>
      <c r="G38" s="677"/>
      <c r="H38" s="677"/>
      <c r="I38" s="677"/>
      <c r="J38" s="677"/>
      <c r="K38" s="677"/>
      <c r="L38" s="677"/>
      <c r="M38" s="677"/>
      <c r="N38" s="677"/>
      <c r="O38" s="677"/>
      <c r="P38" s="677"/>
      <c r="Q38" s="677"/>
      <c r="R38" s="677"/>
      <c r="S38" s="677"/>
      <c r="T38" s="677"/>
      <c r="U38" s="677"/>
      <c r="V38" s="677"/>
      <c r="W38" s="677"/>
      <c r="X38" s="677"/>
      <c r="Y38" s="677"/>
      <c r="Z38" s="677"/>
      <c r="AA38" s="677"/>
      <c r="AB38" s="677"/>
      <c r="AC38" s="678"/>
      <c r="AD38" s="682" t="str">
        <f>'8a-Weapons'!AQ33</f>
        <v/>
      </c>
      <c r="AE38" s="683"/>
      <c r="AF38" s="683"/>
      <c r="AG38" s="683"/>
      <c r="AH38" s="683"/>
      <c r="AI38" s="683"/>
      <c r="AJ38" s="683"/>
      <c r="AK38" s="683"/>
      <c r="AL38" s="683"/>
      <c r="AM38" s="683"/>
      <c r="AN38" s="684"/>
      <c r="AO38" s="688" t="str">
        <f>'8a-Weapons'!AR33</f>
        <v/>
      </c>
      <c r="AP38" s="689"/>
      <c r="AQ38" s="689"/>
      <c r="AR38" s="689"/>
      <c r="AS38" s="689"/>
      <c r="AT38" s="689"/>
      <c r="AU38" s="689"/>
      <c r="AV38" s="689"/>
      <c r="AW38" s="689"/>
      <c r="AX38" s="690"/>
      <c r="AY38" s="688" t="str">
        <f>'8a-Weapons'!AU118</f>
        <v/>
      </c>
      <c r="AZ38" s="689"/>
      <c r="BA38" s="689"/>
      <c r="BB38" s="689"/>
      <c r="BC38" s="689"/>
      <c r="BD38" s="689"/>
      <c r="BE38" s="689"/>
      <c r="BF38" s="689"/>
      <c r="BG38" s="689"/>
      <c r="BH38" s="689"/>
      <c r="BI38" s="689"/>
      <c r="BJ38" s="689"/>
      <c r="BK38" s="689"/>
      <c r="BL38" s="689"/>
      <c r="BM38" s="689"/>
      <c r="BN38" s="689"/>
      <c r="BO38" s="689"/>
      <c r="BP38" s="689"/>
      <c r="BQ38" s="689"/>
      <c r="BR38" s="690"/>
      <c r="BS38" s="638">
        <v>6</v>
      </c>
      <c r="BT38" s="639"/>
      <c r="BU38" s="642" t="s">
        <v>577</v>
      </c>
      <c r="BV38" s="642"/>
      <c r="BW38" s="642"/>
      <c r="BX38" s="642"/>
      <c r="BY38" s="642"/>
      <c r="BZ38" s="642"/>
      <c r="CA38" s="642"/>
      <c r="CB38" s="642"/>
      <c r="CC38" s="643"/>
      <c r="CD38" s="646" t="s">
        <v>680</v>
      </c>
      <c r="CE38" s="546"/>
      <c r="CF38" s="546"/>
      <c r="CG38" s="546"/>
      <c r="CH38" s="546"/>
      <c r="CI38" s="546"/>
      <c r="CJ38" s="547"/>
      <c r="CK38" s="545" t="s">
        <v>681</v>
      </c>
      <c r="CL38" s="546"/>
      <c r="CM38" s="546"/>
      <c r="CN38" s="546"/>
      <c r="CO38" s="546"/>
      <c r="CP38" s="546"/>
      <c r="CQ38" s="546"/>
      <c r="CR38" s="547"/>
      <c r="CS38" s="545" t="s">
        <v>682</v>
      </c>
      <c r="CT38" s="546"/>
      <c r="CU38" s="546"/>
      <c r="CV38" s="546"/>
      <c r="CW38" s="546"/>
      <c r="CX38" s="546"/>
      <c r="CY38" s="547"/>
      <c r="CZ38" s="545" t="s">
        <v>682</v>
      </c>
      <c r="DA38" s="546"/>
      <c r="DB38" s="546"/>
      <c r="DC38" s="546"/>
      <c r="DD38" s="546"/>
      <c r="DE38" s="546"/>
      <c r="DF38" s="547"/>
      <c r="DG38" s="545" t="s">
        <v>1434</v>
      </c>
      <c r="DH38" s="546"/>
      <c r="DI38" s="546"/>
      <c r="DJ38" s="546"/>
      <c r="DK38" s="546"/>
      <c r="DL38" s="546"/>
      <c r="DM38" s="547"/>
      <c r="DN38" s="545" t="s">
        <v>1434</v>
      </c>
      <c r="DO38" s="546"/>
      <c r="DP38" s="546"/>
      <c r="DQ38" s="546"/>
      <c r="DR38" s="546"/>
      <c r="DS38" s="546"/>
      <c r="DT38" s="575"/>
      <c r="DU38" s="51"/>
      <c r="DV38" s="51"/>
    </row>
    <row r="39" spans="1:126" ht="7.25" customHeight="1">
      <c r="A39" s="679"/>
      <c r="B39" s="680"/>
      <c r="C39" s="680"/>
      <c r="D39" s="680"/>
      <c r="E39" s="680"/>
      <c r="F39" s="680"/>
      <c r="G39" s="680"/>
      <c r="H39" s="680"/>
      <c r="I39" s="680"/>
      <c r="J39" s="680"/>
      <c r="K39" s="680"/>
      <c r="L39" s="680"/>
      <c r="M39" s="680"/>
      <c r="N39" s="680"/>
      <c r="O39" s="680"/>
      <c r="P39" s="680"/>
      <c r="Q39" s="680"/>
      <c r="R39" s="680"/>
      <c r="S39" s="680"/>
      <c r="T39" s="680"/>
      <c r="U39" s="680"/>
      <c r="V39" s="680"/>
      <c r="W39" s="680"/>
      <c r="X39" s="680"/>
      <c r="Y39" s="680"/>
      <c r="Z39" s="680"/>
      <c r="AA39" s="680"/>
      <c r="AB39" s="680"/>
      <c r="AC39" s="681"/>
      <c r="AD39" s="685"/>
      <c r="AE39" s="686"/>
      <c r="AF39" s="686"/>
      <c r="AG39" s="686"/>
      <c r="AH39" s="686"/>
      <c r="AI39" s="686"/>
      <c r="AJ39" s="686"/>
      <c r="AK39" s="686"/>
      <c r="AL39" s="686"/>
      <c r="AM39" s="686"/>
      <c r="AN39" s="687"/>
      <c r="AO39" s="691"/>
      <c r="AP39" s="692"/>
      <c r="AQ39" s="692"/>
      <c r="AR39" s="692"/>
      <c r="AS39" s="692"/>
      <c r="AT39" s="692"/>
      <c r="AU39" s="692"/>
      <c r="AV39" s="692"/>
      <c r="AW39" s="692"/>
      <c r="AX39" s="693"/>
      <c r="AY39" s="691"/>
      <c r="AZ39" s="692"/>
      <c r="BA39" s="692"/>
      <c r="BB39" s="692"/>
      <c r="BC39" s="692"/>
      <c r="BD39" s="692"/>
      <c r="BE39" s="692"/>
      <c r="BF39" s="692"/>
      <c r="BG39" s="692"/>
      <c r="BH39" s="692"/>
      <c r="BI39" s="692"/>
      <c r="BJ39" s="692"/>
      <c r="BK39" s="692"/>
      <c r="BL39" s="692"/>
      <c r="BM39" s="692"/>
      <c r="BN39" s="692"/>
      <c r="BO39" s="692"/>
      <c r="BP39" s="692"/>
      <c r="BQ39" s="692"/>
      <c r="BR39" s="693"/>
      <c r="BS39" s="640"/>
      <c r="BT39" s="641"/>
      <c r="BU39" s="644"/>
      <c r="BV39" s="644"/>
      <c r="BW39" s="644"/>
      <c r="BX39" s="644"/>
      <c r="BY39" s="644"/>
      <c r="BZ39" s="644"/>
      <c r="CA39" s="644"/>
      <c r="CB39" s="644"/>
      <c r="CC39" s="645"/>
      <c r="CD39" s="647"/>
      <c r="CE39" s="577"/>
      <c r="CF39" s="577"/>
      <c r="CG39" s="577"/>
      <c r="CH39" s="577"/>
      <c r="CI39" s="577"/>
      <c r="CJ39" s="648"/>
      <c r="CK39" s="576"/>
      <c r="CL39" s="577"/>
      <c r="CM39" s="577"/>
      <c r="CN39" s="577"/>
      <c r="CO39" s="577"/>
      <c r="CP39" s="577"/>
      <c r="CQ39" s="577"/>
      <c r="CR39" s="648"/>
      <c r="CS39" s="576"/>
      <c r="CT39" s="577"/>
      <c r="CU39" s="577"/>
      <c r="CV39" s="577"/>
      <c r="CW39" s="577"/>
      <c r="CX39" s="577"/>
      <c r="CY39" s="648"/>
      <c r="CZ39" s="576"/>
      <c r="DA39" s="577"/>
      <c r="DB39" s="577"/>
      <c r="DC39" s="577"/>
      <c r="DD39" s="577"/>
      <c r="DE39" s="577"/>
      <c r="DF39" s="648"/>
      <c r="DG39" s="666" t="s">
        <v>673</v>
      </c>
      <c r="DH39" s="667"/>
      <c r="DI39" s="667"/>
      <c r="DJ39" s="667"/>
      <c r="DK39" s="667"/>
      <c r="DL39" s="667"/>
      <c r="DM39" s="668"/>
      <c r="DN39" s="666" t="s">
        <v>673</v>
      </c>
      <c r="DO39" s="667"/>
      <c r="DP39" s="667"/>
      <c r="DQ39" s="667"/>
      <c r="DR39" s="667"/>
      <c r="DS39" s="667"/>
      <c r="DT39" s="669"/>
      <c r="DU39" s="51"/>
      <c r="DV39" s="51"/>
    </row>
    <row r="40" spans="1:126">
      <c r="A40" s="579" t="str">
        <f>'8a-Weapons'!AS119</f>
        <v/>
      </c>
      <c r="B40" s="580"/>
      <c r="C40" s="580"/>
      <c r="D40" s="580"/>
      <c r="E40" s="580"/>
      <c r="F40" s="580"/>
      <c r="G40" s="580"/>
      <c r="H40" s="580"/>
      <c r="I40" s="580"/>
      <c r="J40" s="580"/>
      <c r="K40" s="580"/>
      <c r="L40" s="580"/>
      <c r="M40" s="580"/>
      <c r="N40" s="580"/>
      <c r="O40" s="580"/>
      <c r="P40" s="580"/>
      <c r="Q40" s="580"/>
      <c r="R40" s="580"/>
      <c r="S40" s="580"/>
      <c r="T40" s="580"/>
      <c r="U40" s="580"/>
      <c r="V40" s="580"/>
      <c r="W40" s="580"/>
      <c r="X40" s="580"/>
      <c r="Y40" s="580"/>
      <c r="Z40" s="580"/>
      <c r="AA40" s="580"/>
      <c r="AB40" s="580"/>
      <c r="AC40" s="581"/>
      <c r="AD40" s="598" t="str">
        <f>'8a-Weapons'!AQ34</f>
        <v/>
      </c>
      <c r="AE40" s="599"/>
      <c r="AF40" s="599"/>
      <c r="AG40" s="599"/>
      <c r="AH40" s="599"/>
      <c r="AI40" s="599"/>
      <c r="AJ40" s="599"/>
      <c r="AK40" s="599"/>
      <c r="AL40" s="599"/>
      <c r="AM40" s="599"/>
      <c r="AN40" s="600"/>
      <c r="AO40" s="604" t="str">
        <f>'8a-Weapons'!AR34</f>
        <v/>
      </c>
      <c r="AP40" s="605"/>
      <c r="AQ40" s="605"/>
      <c r="AR40" s="605"/>
      <c r="AS40" s="605"/>
      <c r="AT40" s="605"/>
      <c r="AU40" s="605"/>
      <c r="AV40" s="605"/>
      <c r="AW40" s="605"/>
      <c r="AX40" s="606"/>
      <c r="AY40" s="604" t="str">
        <f>'8a-Weapons'!AU119</f>
        <v/>
      </c>
      <c r="AZ40" s="605"/>
      <c r="BA40" s="605"/>
      <c r="BB40" s="605"/>
      <c r="BC40" s="605"/>
      <c r="BD40" s="605"/>
      <c r="BE40" s="605"/>
      <c r="BF40" s="605"/>
      <c r="BG40" s="605"/>
      <c r="BH40" s="605"/>
      <c r="BI40" s="605"/>
      <c r="BJ40" s="605"/>
      <c r="BK40" s="605"/>
      <c r="BL40" s="605"/>
      <c r="BM40" s="605"/>
      <c r="BN40" s="605"/>
      <c r="BO40" s="605"/>
      <c r="BP40" s="605"/>
      <c r="BQ40" s="605"/>
      <c r="BR40" s="606"/>
      <c r="BS40" s="556">
        <v>7</v>
      </c>
      <c r="BT40" s="557"/>
      <c r="BU40" s="570" t="s">
        <v>574</v>
      </c>
      <c r="BV40" s="571"/>
      <c r="BW40" s="571"/>
      <c r="BX40" s="571"/>
      <c r="BY40" s="571"/>
      <c r="BZ40" s="571"/>
      <c r="CA40" s="571"/>
      <c r="CB40" s="571"/>
      <c r="CC40" s="572"/>
      <c r="CD40" s="573" t="s">
        <v>683</v>
      </c>
      <c r="CE40" s="549"/>
      <c r="CF40" s="549"/>
      <c r="CG40" s="549"/>
      <c r="CH40" s="549"/>
      <c r="CI40" s="549"/>
      <c r="CJ40" s="550"/>
      <c r="CK40" s="548" t="s">
        <v>684</v>
      </c>
      <c r="CL40" s="549"/>
      <c r="CM40" s="549"/>
      <c r="CN40" s="549"/>
      <c r="CO40" s="549"/>
      <c r="CP40" s="549"/>
      <c r="CQ40" s="549"/>
      <c r="CR40" s="550"/>
      <c r="CS40" s="548" t="s">
        <v>685</v>
      </c>
      <c r="CT40" s="549"/>
      <c r="CU40" s="549"/>
      <c r="CV40" s="549"/>
      <c r="CW40" s="549"/>
      <c r="CX40" s="549"/>
      <c r="CY40" s="550"/>
      <c r="CZ40" s="548" t="s">
        <v>686</v>
      </c>
      <c r="DA40" s="549"/>
      <c r="DB40" s="549"/>
      <c r="DC40" s="549"/>
      <c r="DD40" s="549"/>
      <c r="DE40" s="549"/>
      <c r="DF40" s="550"/>
      <c r="DG40" s="548" t="s">
        <v>687</v>
      </c>
      <c r="DH40" s="549"/>
      <c r="DI40" s="549"/>
      <c r="DJ40" s="549"/>
      <c r="DK40" s="549"/>
      <c r="DL40" s="549"/>
      <c r="DM40" s="550"/>
      <c r="DN40" s="548" t="s">
        <v>688</v>
      </c>
      <c r="DO40" s="549"/>
      <c r="DP40" s="549"/>
      <c r="DQ40" s="549"/>
      <c r="DR40" s="549"/>
      <c r="DS40" s="549"/>
      <c r="DT40" s="565"/>
      <c r="DU40" s="51"/>
      <c r="DV40" s="51"/>
    </row>
    <row r="41" spans="1:126">
      <c r="A41" s="582" t="str">
        <f>'8a-Weapons'!AS120</f>
        <v/>
      </c>
      <c r="B41" s="583"/>
      <c r="C41" s="583"/>
      <c r="D41" s="583"/>
      <c r="E41" s="583"/>
      <c r="F41" s="583"/>
      <c r="G41" s="583"/>
      <c r="H41" s="583"/>
      <c r="I41" s="583"/>
      <c r="J41" s="583"/>
      <c r="K41" s="583"/>
      <c r="L41" s="583"/>
      <c r="M41" s="583"/>
      <c r="N41" s="583"/>
      <c r="O41" s="583"/>
      <c r="P41" s="583"/>
      <c r="Q41" s="583"/>
      <c r="R41" s="583"/>
      <c r="S41" s="583"/>
      <c r="T41" s="583"/>
      <c r="U41" s="583"/>
      <c r="V41" s="583"/>
      <c r="W41" s="583"/>
      <c r="X41" s="583"/>
      <c r="Y41" s="583"/>
      <c r="Z41" s="583"/>
      <c r="AA41" s="583"/>
      <c r="AB41" s="583"/>
      <c r="AC41" s="584"/>
      <c r="AD41" s="595" t="str">
        <f>'8a-Weapons'!AQ35</f>
        <v/>
      </c>
      <c r="AE41" s="596"/>
      <c r="AF41" s="596"/>
      <c r="AG41" s="596"/>
      <c r="AH41" s="596"/>
      <c r="AI41" s="596"/>
      <c r="AJ41" s="596"/>
      <c r="AK41" s="596"/>
      <c r="AL41" s="596"/>
      <c r="AM41" s="596"/>
      <c r="AN41" s="597"/>
      <c r="AO41" s="607" t="str">
        <f>'8a-Weapons'!AR35</f>
        <v/>
      </c>
      <c r="AP41" s="608"/>
      <c r="AQ41" s="608"/>
      <c r="AR41" s="608"/>
      <c r="AS41" s="608"/>
      <c r="AT41" s="608"/>
      <c r="AU41" s="608"/>
      <c r="AV41" s="608"/>
      <c r="AW41" s="608"/>
      <c r="AX41" s="609"/>
      <c r="AY41" s="607" t="str">
        <f>'8a-Weapons'!AU120</f>
        <v/>
      </c>
      <c r="AZ41" s="608"/>
      <c r="BA41" s="608"/>
      <c r="BB41" s="608"/>
      <c r="BC41" s="608"/>
      <c r="BD41" s="608"/>
      <c r="BE41" s="608"/>
      <c r="BF41" s="608"/>
      <c r="BG41" s="608"/>
      <c r="BH41" s="608"/>
      <c r="BI41" s="608"/>
      <c r="BJ41" s="608"/>
      <c r="BK41" s="608"/>
      <c r="BL41" s="608"/>
      <c r="BM41" s="608"/>
      <c r="BN41" s="608"/>
      <c r="BO41" s="608"/>
      <c r="BP41" s="608"/>
      <c r="BQ41" s="608"/>
      <c r="BR41" s="609"/>
      <c r="BS41" s="558">
        <v>8</v>
      </c>
      <c r="BT41" s="559"/>
      <c r="BU41" s="712" t="str">
        <f>"M-Drive"&amp;IF('2-Drives'!C13="No",""," (CS-1)")</f>
        <v>M-Drive</v>
      </c>
      <c r="BV41" s="712"/>
      <c r="BW41" s="712"/>
      <c r="BX41" s="712"/>
      <c r="BY41" s="712"/>
      <c r="BZ41" s="712"/>
      <c r="CA41" s="712"/>
      <c r="CB41" s="712"/>
      <c r="CC41" s="713"/>
      <c r="CD41" s="574" t="s">
        <v>689</v>
      </c>
      <c r="CE41" s="552"/>
      <c r="CF41" s="552"/>
      <c r="CG41" s="552"/>
      <c r="CH41" s="552"/>
      <c r="CI41" s="552"/>
      <c r="CJ41" s="553"/>
      <c r="CK41" s="551" t="s">
        <v>690</v>
      </c>
      <c r="CL41" s="552"/>
      <c r="CM41" s="552"/>
      <c r="CN41" s="552"/>
      <c r="CO41" s="552"/>
      <c r="CP41" s="552"/>
      <c r="CQ41" s="552"/>
      <c r="CR41" s="553"/>
      <c r="CS41" s="551" t="s">
        <v>691</v>
      </c>
      <c r="CT41" s="552"/>
      <c r="CU41" s="552"/>
      <c r="CV41" s="552"/>
      <c r="CW41" s="552"/>
      <c r="CX41" s="552"/>
      <c r="CY41" s="553"/>
      <c r="CZ41" s="551" t="s">
        <v>692</v>
      </c>
      <c r="DA41" s="552"/>
      <c r="DB41" s="552"/>
      <c r="DC41" s="552"/>
      <c r="DD41" s="552"/>
      <c r="DE41" s="552"/>
      <c r="DF41" s="553"/>
      <c r="DG41" s="551" t="s">
        <v>693</v>
      </c>
      <c r="DH41" s="552"/>
      <c r="DI41" s="552"/>
      <c r="DJ41" s="552"/>
      <c r="DK41" s="552"/>
      <c r="DL41" s="552"/>
      <c r="DM41" s="553"/>
      <c r="DN41" s="551" t="s">
        <v>673</v>
      </c>
      <c r="DO41" s="552"/>
      <c r="DP41" s="552"/>
      <c r="DQ41" s="552"/>
      <c r="DR41" s="552"/>
      <c r="DS41" s="552"/>
      <c r="DT41" s="566"/>
      <c r="DU41" s="51"/>
      <c r="DV41" s="51"/>
    </row>
    <row r="42" spans="1:126">
      <c r="A42" s="579" t="str">
        <f>'8a-Weapons'!AS121</f>
        <v/>
      </c>
      <c r="B42" s="580"/>
      <c r="C42" s="580"/>
      <c r="D42" s="580"/>
      <c r="E42" s="580"/>
      <c r="F42" s="580"/>
      <c r="G42" s="580"/>
      <c r="H42" s="580"/>
      <c r="I42" s="580"/>
      <c r="J42" s="580"/>
      <c r="K42" s="580"/>
      <c r="L42" s="580"/>
      <c r="M42" s="580"/>
      <c r="N42" s="580"/>
      <c r="O42" s="580"/>
      <c r="P42" s="580"/>
      <c r="Q42" s="580"/>
      <c r="R42" s="580"/>
      <c r="S42" s="580"/>
      <c r="T42" s="580"/>
      <c r="U42" s="580"/>
      <c r="V42" s="580"/>
      <c r="W42" s="580"/>
      <c r="X42" s="580"/>
      <c r="Y42" s="580"/>
      <c r="Z42" s="580"/>
      <c r="AA42" s="580"/>
      <c r="AB42" s="580"/>
      <c r="AC42" s="581"/>
      <c r="AD42" s="598" t="str">
        <f>'8a-Weapons'!AQ36</f>
        <v/>
      </c>
      <c r="AE42" s="599"/>
      <c r="AF42" s="599"/>
      <c r="AG42" s="599"/>
      <c r="AH42" s="599"/>
      <c r="AI42" s="599"/>
      <c r="AJ42" s="599"/>
      <c r="AK42" s="599"/>
      <c r="AL42" s="599"/>
      <c r="AM42" s="599"/>
      <c r="AN42" s="600"/>
      <c r="AO42" s="604" t="str">
        <f>'8a-Weapons'!AR36</f>
        <v/>
      </c>
      <c r="AP42" s="605"/>
      <c r="AQ42" s="605"/>
      <c r="AR42" s="605"/>
      <c r="AS42" s="605"/>
      <c r="AT42" s="605"/>
      <c r="AU42" s="605"/>
      <c r="AV42" s="605"/>
      <c r="AW42" s="605"/>
      <c r="AX42" s="606"/>
      <c r="AY42" s="604" t="str">
        <f>'8a-Weapons'!AU121</f>
        <v/>
      </c>
      <c r="AZ42" s="605"/>
      <c r="BA42" s="605"/>
      <c r="BB42" s="605"/>
      <c r="BC42" s="605"/>
      <c r="BD42" s="605"/>
      <c r="BE42" s="605"/>
      <c r="BF42" s="605"/>
      <c r="BG42" s="605"/>
      <c r="BH42" s="605"/>
      <c r="BI42" s="605"/>
      <c r="BJ42" s="605"/>
      <c r="BK42" s="605"/>
      <c r="BL42" s="605"/>
      <c r="BM42" s="605"/>
      <c r="BN42" s="605"/>
      <c r="BO42" s="605"/>
      <c r="BP42" s="605"/>
      <c r="BQ42" s="605"/>
      <c r="BR42" s="606"/>
      <c r="BS42" s="556">
        <v>9</v>
      </c>
      <c r="BT42" s="557"/>
      <c r="BU42" s="583" t="str">
        <f>"Cargo"&amp;IF('12-Cargo'!D50="Yes"," (CS-1*)","")</f>
        <v>Cargo</v>
      </c>
      <c r="BV42" s="583"/>
      <c r="BW42" s="583"/>
      <c r="BX42" s="583"/>
      <c r="BY42" s="583"/>
      <c r="BZ42" s="583"/>
      <c r="CA42" s="583"/>
      <c r="CB42" s="583"/>
      <c r="CC42" s="584"/>
      <c r="CD42" s="573" t="s">
        <v>694</v>
      </c>
      <c r="CE42" s="549"/>
      <c r="CF42" s="549"/>
      <c r="CG42" s="549"/>
      <c r="CH42" s="549"/>
      <c r="CI42" s="549"/>
      <c r="CJ42" s="550"/>
      <c r="CK42" s="548" t="str">
        <f>"- 1D*10%"</f>
        <v>- 1D*10%</v>
      </c>
      <c r="CL42" s="549"/>
      <c r="CM42" s="549"/>
      <c r="CN42" s="549"/>
      <c r="CO42" s="549"/>
      <c r="CP42" s="549"/>
      <c r="CQ42" s="549"/>
      <c r="CR42" s="550"/>
      <c r="CS42" s="548" t="str">
        <f>"-2D*10%"</f>
        <v>-2D*10%</v>
      </c>
      <c r="CT42" s="549"/>
      <c r="CU42" s="549"/>
      <c r="CV42" s="549"/>
      <c r="CW42" s="549"/>
      <c r="CX42" s="549"/>
      <c r="CY42" s="550"/>
      <c r="CZ42" s="548" t="str">
        <f>"- All Cargo"</f>
        <v>- All Cargo</v>
      </c>
      <c r="DA42" s="549"/>
      <c r="DB42" s="549"/>
      <c r="DC42" s="549"/>
      <c r="DD42" s="549"/>
      <c r="DE42" s="549"/>
      <c r="DF42" s="550"/>
      <c r="DG42" s="548" t="s">
        <v>673</v>
      </c>
      <c r="DH42" s="549"/>
      <c r="DI42" s="549"/>
      <c r="DJ42" s="549"/>
      <c r="DK42" s="549"/>
      <c r="DL42" s="549"/>
      <c r="DM42" s="550"/>
      <c r="DN42" s="548" t="s">
        <v>673</v>
      </c>
      <c r="DO42" s="549"/>
      <c r="DP42" s="549"/>
      <c r="DQ42" s="549"/>
      <c r="DR42" s="549"/>
      <c r="DS42" s="549"/>
      <c r="DT42" s="565"/>
      <c r="DU42" s="51"/>
      <c r="DV42" s="51"/>
    </row>
    <row r="43" spans="1:126">
      <c r="A43" s="582" t="str">
        <f>'8a-Weapons'!AS122</f>
        <v/>
      </c>
      <c r="B43" s="583"/>
      <c r="C43" s="583"/>
      <c r="D43" s="583"/>
      <c r="E43" s="583"/>
      <c r="F43" s="583"/>
      <c r="G43" s="583"/>
      <c r="H43" s="583"/>
      <c r="I43" s="583"/>
      <c r="J43" s="583"/>
      <c r="K43" s="583"/>
      <c r="L43" s="583"/>
      <c r="M43" s="583"/>
      <c r="N43" s="583"/>
      <c r="O43" s="583"/>
      <c r="P43" s="583"/>
      <c r="Q43" s="583"/>
      <c r="R43" s="583"/>
      <c r="S43" s="583"/>
      <c r="T43" s="583"/>
      <c r="U43" s="583"/>
      <c r="V43" s="583"/>
      <c r="W43" s="583"/>
      <c r="X43" s="583"/>
      <c r="Y43" s="583"/>
      <c r="Z43" s="583"/>
      <c r="AA43" s="583"/>
      <c r="AB43" s="583"/>
      <c r="AC43" s="584"/>
      <c r="AD43" s="595" t="str">
        <f>'8a-Weapons'!AQ37</f>
        <v/>
      </c>
      <c r="AE43" s="596"/>
      <c r="AF43" s="596"/>
      <c r="AG43" s="596"/>
      <c r="AH43" s="596"/>
      <c r="AI43" s="596"/>
      <c r="AJ43" s="596"/>
      <c r="AK43" s="596"/>
      <c r="AL43" s="596"/>
      <c r="AM43" s="596"/>
      <c r="AN43" s="597"/>
      <c r="AO43" s="607" t="str">
        <f>'8a-Weapons'!AR37</f>
        <v/>
      </c>
      <c r="AP43" s="608"/>
      <c r="AQ43" s="608"/>
      <c r="AR43" s="608"/>
      <c r="AS43" s="608"/>
      <c r="AT43" s="608"/>
      <c r="AU43" s="608"/>
      <c r="AV43" s="608"/>
      <c r="AW43" s="608"/>
      <c r="AX43" s="609"/>
      <c r="AY43" s="607" t="str">
        <f>'8a-Weapons'!AU122</f>
        <v/>
      </c>
      <c r="AZ43" s="608"/>
      <c r="BA43" s="608"/>
      <c r="BB43" s="608"/>
      <c r="BC43" s="608"/>
      <c r="BD43" s="608"/>
      <c r="BE43" s="608"/>
      <c r="BF43" s="608"/>
      <c r="BG43" s="608"/>
      <c r="BH43" s="608"/>
      <c r="BI43" s="608"/>
      <c r="BJ43" s="608"/>
      <c r="BK43" s="608"/>
      <c r="BL43" s="608"/>
      <c r="BM43" s="608"/>
      <c r="BN43" s="608"/>
      <c r="BO43" s="608"/>
      <c r="BP43" s="608"/>
      <c r="BQ43" s="608"/>
      <c r="BR43" s="609"/>
      <c r="BS43" s="724">
        <v>10</v>
      </c>
      <c r="BT43" s="725"/>
      <c r="BU43" s="580" t="str">
        <f>"J-Drive"&amp;IF('2-Drives'!C27="No",""," (CS-1)")</f>
        <v>J-Drive</v>
      </c>
      <c r="BV43" s="580"/>
      <c r="BW43" s="580"/>
      <c r="BX43" s="580"/>
      <c r="BY43" s="580"/>
      <c r="BZ43" s="580"/>
      <c r="CA43" s="580"/>
      <c r="CB43" s="580"/>
      <c r="CC43" s="581"/>
      <c r="CD43" s="755" t="s">
        <v>695</v>
      </c>
      <c r="CE43" s="715"/>
      <c r="CF43" s="715"/>
      <c r="CG43" s="715"/>
      <c r="CH43" s="715"/>
      <c r="CI43" s="715"/>
      <c r="CJ43" s="726"/>
      <c r="CK43" s="727" t="s">
        <v>672</v>
      </c>
      <c r="CL43" s="728"/>
      <c r="CM43" s="728"/>
      <c r="CN43" s="728"/>
      <c r="CO43" s="728"/>
      <c r="CP43" s="728"/>
      <c r="CQ43" s="728"/>
      <c r="CR43" s="729"/>
      <c r="CS43" s="714" t="s">
        <v>679</v>
      </c>
      <c r="CT43" s="715"/>
      <c r="CU43" s="715"/>
      <c r="CV43" s="715"/>
      <c r="CW43" s="715"/>
      <c r="CX43" s="715"/>
      <c r="CY43" s="726"/>
      <c r="CZ43" s="714" t="s">
        <v>673</v>
      </c>
      <c r="DA43" s="715"/>
      <c r="DB43" s="715"/>
      <c r="DC43" s="715"/>
      <c r="DD43" s="715"/>
      <c r="DE43" s="715"/>
      <c r="DF43" s="726"/>
      <c r="DG43" s="714" t="s">
        <v>673</v>
      </c>
      <c r="DH43" s="715"/>
      <c r="DI43" s="715"/>
      <c r="DJ43" s="715"/>
      <c r="DK43" s="715"/>
      <c r="DL43" s="715"/>
      <c r="DM43" s="726"/>
      <c r="DN43" s="714" t="s">
        <v>673</v>
      </c>
      <c r="DO43" s="715"/>
      <c r="DP43" s="715"/>
      <c r="DQ43" s="715"/>
      <c r="DR43" s="715"/>
      <c r="DS43" s="715"/>
      <c r="DT43" s="716"/>
      <c r="DU43" s="51"/>
      <c r="DV43" s="51"/>
    </row>
    <row r="44" spans="1:126" ht="7.25" customHeight="1">
      <c r="A44" s="706" t="str">
        <f>'8a-Weapons'!AS123</f>
        <v/>
      </c>
      <c r="B44" s="707"/>
      <c r="C44" s="707"/>
      <c r="D44" s="707"/>
      <c r="E44" s="707"/>
      <c r="F44" s="707"/>
      <c r="G44" s="707"/>
      <c r="H44" s="707"/>
      <c r="I44" s="707"/>
      <c r="J44" s="707"/>
      <c r="K44" s="707"/>
      <c r="L44" s="707"/>
      <c r="M44" s="707"/>
      <c r="N44" s="707"/>
      <c r="O44" s="707"/>
      <c r="P44" s="707"/>
      <c r="Q44" s="707"/>
      <c r="R44" s="707"/>
      <c r="S44" s="707"/>
      <c r="T44" s="707"/>
      <c r="U44" s="707"/>
      <c r="V44" s="707"/>
      <c r="W44" s="707"/>
      <c r="X44" s="707"/>
      <c r="Y44" s="707"/>
      <c r="Z44" s="707"/>
      <c r="AA44" s="707"/>
      <c r="AB44" s="707"/>
      <c r="AC44" s="708"/>
      <c r="AD44" s="694" t="str">
        <f>'8a-Weapons'!AQ38</f>
        <v/>
      </c>
      <c r="AE44" s="695"/>
      <c r="AF44" s="695"/>
      <c r="AG44" s="695"/>
      <c r="AH44" s="695"/>
      <c r="AI44" s="695"/>
      <c r="AJ44" s="695"/>
      <c r="AK44" s="695"/>
      <c r="AL44" s="695"/>
      <c r="AM44" s="695"/>
      <c r="AN44" s="696"/>
      <c r="AO44" s="623" t="str">
        <f>'8a-Weapons'!AR38</f>
        <v/>
      </c>
      <c r="AP44" s="624"/>
      <c r="AQ44" s="624"/>
      <c r="AR44" s="624"/>
      <c r="AS44" s="624"/>
      <c r="AT44" s="624"/>
      <c r="AU44" s="624"/>
      <c r="AV44" s="624"/>
      <c r="AW44" s="624"/>
      <c r="AX44" s="625"/>
      <c r="AY44" s="623" t="str">
        <f>'8a-Weapons'!AU123</f>
        <v/>
      </c>
      <c r="AZ44" s="624"/>
      <c r="BA44" s="624"/>
      <c r="BB44" s="624"/>
      <c r="BC44" s="624"/>
      <c r="BD44" s="624"/>
      <c r="BE44" s="624"/>
      <c r="BF44" s="624"/>
      <c r="BG44" s="624"/>
      <c r="BH44" s="624"/>
      <c r="BI44" s="624"/>
      <c r="BJ44" s="624"/>
      <c r="BK44" s="624"/>
      <c r="BL44" s="624"/>
      <c r="BM44" s="624"/>
      <c r="BN44" s="624"/>
      <c r="BO44" s="624"/>
      <c r="BP44" s="624"/>
      <c r="BQ44" s="624"/>
      <c r="BR44" s="625"/>
      <c r="BS44" s="748">
        <v>11</v>
      </c>
      <c r="BT44" s="749"/>
      <c r="BU44" s="677" t="str">
        <f>"Crew"&amp;IF('11-Staterooms'!C58="No",""," (CS-1)")</f>
        <v>Crew</v>
      </c>
      <c r="BV44" s="677"/>
      <c r="BW44" s="677"/>
      <c r="BX44" s="677"/>
      <c r="BY44" s="677"/>
      <c r="BZ44" s="677"/>
      <c r="CA44" s="677"/>
      <c r="CB44" s="677"/>
      <c r="CC44" s="678"/>
      <c r="CD44" s="756" t="s">
        <v>1437</v>
      </c>
      <c r="CE44" s="757"/>
      <c r="CF44" s="757"/>
      <c r="CG44" s="757"/>
      <c r="CH44" s="757"/>
      <c r="CI44" s="757"/>
      <c r="CJ44" s="758"/>
      <c r="CK44" s="670" t="s">
        <v>696</v>
      </c>
      <c r="CL44" s="671"/>
      <c r="CM44" s="671"/>
      <c r="CN44" s="671"/>
      <c r="CO44" s="671"/>
      <c r="CP44" s="671"/>
      <c r="CQ44" s="671"/>
      <c r="CR44" s="672"/>
      <c r="CS44" s="779" t="s">
        <v>1435</v>
      </c>
      <c r="CT44" s="757"/>
      <c r="CU44" s="757"/>
      <c r="CV44" s="757"/>
      <c r="CW44" s="757"/>
      <c r="CX44" s="757"/>
      <c r="CY44" s="758"/>
      <c r="CZ44" s="670" t="s">
        <v>697</v>
      </c>
      <c r="DA44" s="671"/>
      <c r="DB44" s="671"/>
      <c r="DC44" s="671"/>
      <c r="DD44" s="671"/>
      <c r="DE44" s="671"/>
      <c r="DF44" s="672"/>
      <c r="DG44" s="779" t="s">
        <v>1436</v>
      </c>
      <c r="DH44" s="757"/>
      <c r="DI44" s="757"/>
      <c r="DJ44" s="757"/>
      <c r="DK44" s="757"/>
      <c r="DL44" s="757"/>
      <c r="DM44" s="758"/>
      <c r="DN44" s="670" t="s">
        <v>698</v>
      </c>
      <c r="DO44" s="671"/>
      <c r="DP44" s="671"/>
      <c r="DQ44" s="671"/>
      <c r="DR44" s="671"/>
      <c r="DS44" s="671"/>
      <c r="DT44" s="700"/>
      <c r="DU44" s="51"/>
      <c r="DV44" s="51"/>
    </row>
    <row r="45" spans="1:126" ht="7.25" customHeight="1">
      <c r="A45" s="709"/>
      <c r="B45" s="710"/>
      <c r="C45" s="710"/>
      <c r="D45" s="710"/>
      <c r="E45" s="710"/>
      <c r="F45" s="710"/>
      <c r="G45" s="710"/>
      <c r="H45" s="710"/>
      <c r="I45" s="710"/>
      <c r="J45" s="710"/>
      <c r="K45" s="710"/>
      <c r="L45" s="710"/>
      <c r="M45" s="710"/>
      <c r="N45" s="710"/>
      <c r="O45" s="710"/>
      <c r="P45" s="710"/>
      <c r="Q45" s="710"/>
      <c r="R45" s="710"/>
      <c r="S45" s="710"/>
      <c r="T45" s="710"/>
      <c r="U45" s="710"/>
      <c r="V45" s="710"/>
      <c r="W45" s="710"/>
      <c r="X45" s="710"/>
      <c r="Y45" s="710"/>
      <c r="Z45" s="710"/>
      <c r="AA45" s="710"/>
      <c r="AB45" s="710"/>
      <c r="AC45" s="711"/>
      <c r="AD45" s="697"/>
      <c r="AE45" s="698"/>
      <c r="AF45" s="698"/>
      <c r="AG45" s="698"/>
      <c r="AH45" s="698"/>
      <c r="AI45" s="698"/>
      <c r="AJ45" s="698"/>
      <c r="AK45" s="698"/>
      <c r="AL45" s="698"/>
      <c r="AM45" s="698"/>
      <c r="AN45" s="699"/>
      <c r="AO45" s="626"/>
      <c r="AP45" s="627"/>
      <c r="AQ45" s="627"/>
      <c r="AR45" s="627"/>
      <c r="AS45" s="627"/>
      <c r="AT45" s="627"/>
      <c r="AU45" s="627"/>
      <c r="AV45" s="627"/>
      <c r="AW45" s="627"/>
      <c r="AX45" s="628"/>
      <c r="AY45" s="626"/>
      <c r="AZ45" s="627"/>
      <c r="BA45" s="627"/>
      <c r="BB45" s="627"/>
      <c r="BC45" s="627"/>
      <c r="BD45" s="627"/>
      <c r="BE45" s="627"/>
      <c r="BF45" s="627"/>
      <c r="BG45" s="627"/>
      <c r="BH45" s="627"/>
      <c r="BI45" s="627"/>
      <c r="BJ45" s="627"/>
      <c r="BK45" s="627"/>
      <c r="BL45" s="627"/>
      <c r="BM45" s="627"/>
      <c r="BN45" s="627"/>
      <c r="BO45" s="627"/>
      <c r="BP45" s="627"/>
      <c r="BQ45" s="627"/>
      <c r="BR45" s="628"/>
      <c r="BS45" s="750"/>
      <c r="BT45" s="751"/>
      <c r="BU45" s="680"/>
      <c r="BV45" s="680"/>
      <c r="BW45" s="680"/>
      <c r="BX45" s="680"/>
      <c r="BY45" s="680"/>
      <c r="BZ45" s="680"/>
      <c r="CA45" s="680"/>
      <c r="CB45" s="680"/>
      <c r="CC45" s="681"/>
      <c r="CD45" s="747" t="s">
        <v>683</v>
      </c>
      <c r="CE45" s="704"/>
      <c r="CF45" s="704"/>
      <c r="CG45" s="704"/>
      <c r="CH45" s="704"/>
      <c r="CI45" s="704"/>
      <c r="CJ45" s="705"/>
      <c r="CK45" s="673"/>
      <c r="CL45" s="674"/>
      <c r="CM45" s="674"/>
      <c r="CN45" s="674"/>
      <c r="CO45" s="674"/>
      <c r="CP45" s="674"/>
      <c r="CQ45" s="674"/>
      <c r="CR45" s="675"/>
      <c r="CS45" s="703" t="s">
        <v>684</v>
      </c>
      <c r="CT45" s="704"/>
      <c r="CU45" s="704"/>
      <c r="CV45" s="704"/>
      <c r="CW45" s="704"/>
      <c r="CX45" s="704"/>
      <c r="CY45" s="705"/>
      <c r="CZ45" s="673"/>
      <c r="DA45" s="674"/>
      <c r="DB45" s="674"/>
      <c r="DC45" s="674"/>
      <c r="DD45" s="674"/>
      <c r="DE45" s="674"/>
      <c r="DF45" s="675"/>
      <c r="DG45" s="703" t="s">
        <v>685</v>
      </c>
      <c r="DH45" s="704"/>
      <c r="DI45" s="704"/>
      <c r="DJ45" s="704"/>
      <c r="DK45" s="704"/>
      <c r="DL45" s="704"/>
      <c r="DM45" s="705"/>
      <c r="DN45" s="673"/>
      <c r="DO45" s="674"/>
      <c r="DP45" s="674"/>
      <c r="DQ45" s="674"/>
      <c r="DR45" s="674"/>
      <c r="DS45" s="674"/>
      <c r="DT45" s="701"/>
      <c r="DU45" s="51"/>
      <c r="DV45" s="51"/>
    </row>
    <row r="46" spans="1:126" ht="7.25" customHeight="1">
      <c r="A46" s="676" t="str">
        <f>'8a-Weapons'!AS124</f>
        <v/>
      </c>
      <c r="B46" s="677"/>
      <c r="C46" s="677"/>
      <c r="D46" s="677"/>
      <c r="E46" s="677"/>
      <c r="F46" s="677"/>
      <c r="G46" s="677"/>
      <c r="H46" s="677"/>
      <c r="I46" s="677"/>
      <c r="J46" s="677"/>
      <c r="K46" s="677"/>
      <c r="L46" s="677"/>
      <c r="M46" s="677"/>
      <c r="N46" s="677"/>
      <c r="O46" s="677"/>
      <c r="P46" s="677"/>
      <c r="Q46" s="677"/>
      <c r="R46" s="677"/>
      <c r="S46" s="677"/>
      <c r="T46" s="677"/>
      <c r="U46" s="677"/>
      <c r="V46" s="677"/>
      <c r="W46" s="677"/>
      <c r="X46" s="677"/>
      <c r="Y46" s="677"/>
      <c r="Z46" s="677"/>
      <c r="AA46" s="677"/>
      <c r="AB46" s="677"/>
      <c r="AC46" s="678"/>
      <c r="AD46" s="682" t="str">
        <f>'8a-Weapons'!AQ39</f>
        <v/>
      </c>
      <c r="AE46" s="683"/>
      <c r="AF46" s="683"/>
      <c r="AG46" s="683"/>
      <c r="AH46" s="683"/>
      <c r="AI46" s="683"/>
      <c r="AJ46" s="683"/>
      <c r="AK46" s="683"/>
      <c r="AL46" s="683"/>
      <c r="AM46" s="683"/>
      <c r="AN46" s="684"/>
      <c r="AO46" s="688" t="str">
        <f>'8a-Weapons'!AR39</f>
        <v/>
      </c>
      <c r="AP46" s="689"/>
      <c r="AQ46" s="689"/>
      <c r="AR46" s="689"/>
      <c r="AS46" s="689"/>
      <c r="AT46" s="689"/>
      <c r="AU46" s="689"/>
      <c r="AV46" s="689"/>
      <c r="AW46" s="689"/>
      <c r="AX46" s="690"/>
      <c r="AY46" s="688" t="str">
        <f>'8a-Weapons'!AU124</f>
        <v/>
      </c>
      <c r="AZ46" s="689"/>
      <c r="BA46" s="689"/>
      <c r="BB46" s="689"/>
      <c r="BC46" s="689"/>
      <c r="BD46" s="689"/>
      <c r="BE46" s="689"/>
      <c r="BF46" s="689"/>
      <c r="BG46" s="689"/>
      <c r="BH46" s="689"/>
      <c r="BI46" s="689"/>
      <c r="BJ46" s="689"/>
      <c r="BK46" s="689"/>
      <c r="BL46" s="689"/>
      <c r="BM46" s="689"/>
      <c r="BN46" s="689"/>
      <c r="BO46" s="689"/>
      <c r="BP46" s="689"/>
      <c r="BQ46" s="689"/>
      <c r="BR46" s="690"/>
      <c r="BS46" s="780">
        <v>12</v>
      </c>
      <c r="BT46" s="781"/>
      <c r="BU46" s="707" t="str">
        <f>"Bridge"&amp;IF('5-Bridge'!C22="Yes"," (CS-1)","")</f>
        <v>Bridge</v>
      </c>
      <c r="BV46" s="707"/>
      <c r="BW46" s="707"/>
      <c r="BX46" s="707"/>
      <c r="BY46" s="707"/>
      <c r="BZ46" s="707"/>
      <c r="CA46" s="707"/>
      <c r="CB46" s="707"/>
      <c r="CC46" s="707"/>
      <c r="CD46" s="759" t="s">
        <v>1438</v>
      </c>
      <c r="CE46" s="717"/>
      <c r="CF46" s="717"/>
      <c r="CG46" s="717"/>
      <c r="CH46" s="717"/>
      <c r="CI46" s="717"/>
      <c r="CJ46" s="717"/>
      <c r="CK46" s="717" t="s">
        <v>1440</v>
      </c>
      <c r="CL46" s="717"/>
      <c r="CM46" s="717"/>
      <c r="CN46" s="717"/>
      <c r="CO46" s="717"/>
      <c r="CP46" s="717"/>
      <c r="CQ46" s="717"/>
      <c r="CR46" s="717"/>
      <c r="CS46" s="717" t="s">
        <v>1441</v>
      </c>
      <c r="CT46" s="717"/>
      <c r="CU46" s="717"/>
      <c r="CV46" s="717"/>
      <c r="CW46" s="717"/>
      <c r="CX46" s="717"/>
      <c r="CY46" s="717"/>
      <c r="CZ46" s="717" t="s">
        <v>1443</v>
      </c>
      <c r="DA46" s="717"/>
      <c r="DB46" s="717"/>
      <c r="DC46" s="717"/>
      <c r="DD46" s="717"/>
      <c r="DE46" s="717"/>
      <c r="DF46" s="717"/>
      <c r="DG46" s="717" t="s">
        <v>90</v>
      </c>
      <c r="DH46" s="717"/>
      <c r="DI46" s="717"/>
      <c r="DJ46" s="717"/>
      <c r="DK46" s="717"/>
      <c r="DL46" s="717"/>
      <c r="DM46" s="717"/>
      <c r="DN46" s="717" t="s">
        <v>1443</v>
      </c>
      <c r="DO46" s="717"/>
      <c r="DP46" s="717"/>
      <c r="DQ46" s="717"/>
      <c r="DR46" s="717"/>
      <c r="DS46" s="717"/>
      <c r="DT46" s="718"/>
      <c r="DU46" s="51"/>
      <c r="DV46" s="51"/>
    </row>
    <row r="47" spans="1:126" ht="7.25" customHeight="1" thickBot="1">
      <c r="A47" s="679"/>
      <c r="B47" s="680"/>
      <c r="C47" s="680"/>
      <c r="D47" s="680"/>
      <c r="E47" s="680"/>
      <c r="F47" s="680"/>
      <c r="G47" s="680"/>
      <c r="H47" s="680"/>
      <c r="I47" s="680"/>
      <c r="J47" s="680"/>
      <c r="K47" s="680"/>
      <c r="L47" s="680"/>
      <c r="M47" s="680"/>
      <c r="N47" s="680"/>
      <c r="O47" s="680"/>
      <c r="P47" s="680"/>
      <c r="Q47" s="680"/>
      <c r="R47" s="680"/>
      <c r="S47" s="680"/>
      <c r="T47" s="680"/>
      <c r="U47" s="680"/>
      <c r="V47" s="680"/>
      <c r="W47" s="680"/>
      <c r="X47" s="680"/>
      <c r="Y47" s="680"/>
      <c r="Z47" s="680"/>
      <c r="AA47" s="680"/>
      <c r="AB47" s="680"/>
      <c r="AC47" s="681"/>
      <c r="AD47" s="685"/>
      <c r="AE47" s="686"/>
      <c r="AF47" s="686"/>
      <c r="AG47" s="686"/>
      <c r="AH47" s="686"/>
      <c r="AI47" s="686"/>
      <c r="AJ47" s="686"/>
      <c r="AK47" s="686"/>
      <c r="AL47" s="686"/>
      <c r="AM47" s="686"/>
      <c r="AN47" s="687"/>
      <c r="AO47" s="691"/>
      <c r="AP47" s="692"/>
      <c r="AQ47" s="692"/>
      <c r="AR47" s="692"/>
      <c r="AS47" s="692"/>
      <c r="AT47" s="692"/>
      <c r="AU47" s="692"/>
      <c r="AV47" s="692"/>
      <c r="AW47" s="692"/>
      <c r="AX47" s="693"/>
      <c r="AY47" s="691"/>
      <c r="AZ47" s="692"/>
      <c r="BA47" s="692"/>
      <c r="BB47" s="692"/>
      <c r="BC47" s="692"/>
      <c r="BD47" s="692"/>
      <c r="BE47" s="692"/>
      <c r="BF47" s="692"/>
      <c r="BG47" s="692"/>
      <c r="BH47" s="692"/>
      <c r="BI47" s="692"/>
      <c r="BJ47" s="692"/>
      <c r="BK47" s="692"/>
      <c r="BL47" s="692"/>
      <c r="BM47" s="692"/>
      <c r="BN47" s="692"/>
      <c r="BO47" s="692"/>
      <c r="BP47" s="692"/>
      <c r="BQ47" s="692"/>
      <c r="BR47" s="693"/>
      <c r="BS47" s="782"/>
      <c r="BT47" s="783"/>
      <c r="BU47" s="772"/>
      <c r="BV47" s="772"/>
      <c r="BW47" s="772"/>
      <c r="BX47" s="772"/>
      <c r="BY47" s="772"/>
      <c r="BZ47" s="772"/>
      <c r="CA47" s="772"/>
      <c r="CB47" s="772"/>
      <c r="CC47" s="772"/>
      <c r="CD47" s="621" t="s">
        <v>672</v>
      </c>
      <c r="CE47" s="622"/>
      <c r="CF47" s="622"/>
      <c r="CG47" s="622"/>
      <c r="CH47" s="622"/>
      <c r="CI47" s="622"/>
      <c r="CJ47" s="622"/>
      <c r="CK47" s="622" t="s">
        <v>1439</v>
      </c>
      <c r="CL47" s="622"/>
      <c r="CM47" s="622"/>
      <c r="CN47" s="622"/>
      <c r="CO47" s="622"/>
      <c r="CP47" s="622"/>
      <c r="CQ47" s="622"/>
      <c r="CR47" s="622"/>
      <c r="CS47" s="637">
        <v>-0.5</v>
      </c>
      <c r="CT47" s="622"/>
      <c r="CU47" s="622"/>
      <c r="CV47" s="622"/>
      <c r="CW47" s="622"/>
      <c r="CX47" s="622"/>
      <c r="CY47" s="622"/>
      <c r="CZ47" s="622" t="s">
        <v>1442</v>
      </c>
      <c r="DA47" s="622"/>
      <c r="DB47" s="622"/>
      <c r="DC47" s="622"/>
      <c r="DD47" s="622"/>
      <c r="DE47" s="622"/>
      <c r="DF47" s="622"/>
      <c r="DG47" s="622" t="s">
        <v>679</v>
      </c>
      <c r="DH47" s="622"/>
      <c r="DI47" s="622"/>
      <c r="DJ47" s="622"/>
      <c r="DK47" s="622"/>
      <c r="DL47" s="622"/>
      <c r="DM47" s="622"/>
      <c r="DN47" s="622" t="s">
        <v>1444</v>
      </c>
      <c r="DO47" s="622"/>
      <c r="DP47" s="622"/>
      <c r="DQ47" s="622"/>
      <c r="DR47" s="622"/>
      <c r="DS47" s="622"/>
      <c r="DT47" s="702"/>
      <c r="DU47" s="51"/>
      <c r="DV47" s="51"/>
    </row>
    <row r="48" spans="1:126" ht="16" thickBot="1">
      <c r="A48" s="579" t="str">
        <f>'8a-Weapons'!AS125</f>
        <v/>
      </c>
      <c r="B48" s="580"/>
      <c r="C48" s="580"/>
      <c r="D48" s="580"/>
      <c r="E48" s="580"/>
      <c r="F48" s="580"/>
      <c r="G48" s="580"/>
      <c r="H48" s="580"/>
      <c r="I48" s="580"/>
      <c r="J48" s="580"/>
      <c r="K48" s="580"/>
      <c r="L48" s="580"/>
      <c r="M48" s="580"/>
      <c r="N48" s="580"/>
      <c r="O48" s="580"/>
      <c r="P48" s="580"/>
      <c r="Q48" s="580"/>
      <c r="R48" s="580"/>
      <c r="S48" s="580"/>
      <c r="T48" s="580"/>
      <c r="U48" s="580"/>
      <c r="V48" s="580"/>
      <c r="W48" s="580"/>
      <c r="X48" s="580"/>
      <c r="Y48" s="580"/>
      <c r="Z48" s="580"/>
      <c r="AA48" s="580"/>
      <c r="AB48" s="580"/>
      <c r="AC48" s="581"/>
      <c r="AD48" s="598" t="str">
        <f>'8a-Weapons'!AQ40</f>
        <v/>
      </c>
      <c r="AE48" s="599"/>
      <c r="AF48" s="599"/>
      <c r="AG48" s="599"/>
      <c r="AH48" s="599"/>
      <c r="AI48" s="599"/>
      <c r="AJ48" s="599"/>
      <c r="AK48" s="599"/>
      <c r="AL48" s="599"/>
      <c r="AM48" s="599"/>
      <c r="AN48" s="600"/>
      <c r="AO48" s="604" t="str">
        <f>'8a-Weapons'!AR40</f>
        <v/>
      </c>
      <c r="AP48" s="605"/>
      <c r="AQ48" s="605"/>
      <c r="AR48" s="605"/>
      <c r="AS48" s="605"/>
      <c r="AT48" s="605"/>
      <c r="AU48" s="605"/>
      <c r="AV48" s="605"/>
      <c r="AW48" s="605"/>
      <c r="AX48" s="606"/>
      <c r="AY48" s="604" t="str">
        <f>'8a-Weapons'!AU125</f>
        <v/>
      </c>
      <c r="AZ48" s="605"/>
      <c r="BA48" s="605"/>
      <c r="BB48" s="605"/>
      <c r="BC48" s="605"/>
      <c r="BD48" s="605"/>
      <c r="BE48" s="605"/>
      <c r="BF48" s="605"/>
      <c r="BG48" s="605"/>
      <c r="BH48" s="605"/>
      <c r="BI48" s="605"/>
      <c r="BJ48" s="605"/>
      <c r="BK48" s="605"/>
      <c r="BL48" s="605"/>
      <c r="BM48" s="605"/>
      <c r="BN48" s="605"/>
      <c r="BO48" s="605"/>
      <c r="BP48" s="605"/>
      <c r="BQ48" s="605"/>
      <c r="BR48" s="606"/>
      <c r="BS48" s="763" t="s">
        <v>741</v>
      </c>
      <c r="BT48" s="763"/>
      <c r="BU48" s="763"/>
      <c r="BV48" s="763"/>
      <c r="BW48" s="763"/>
      <c r="BX48" s="763"/>
      <c r="BY48" s="763"/>
      <c r="BZ48" s="763"/>
      <c r="CA48" s="763"/>
      <c r="CB48" s="763"/>
      <c r="CC48" s="763"/>
      <c r="CD48" s="763"/>
      <c r="CE48" s="763"/>
      <c r="CF48" s="763"/>
      <c r="CG48" s="763"/>
      <c r="CH48" s="763"/>
      <c r="CI48" s="763"/>
      <c r="CJ48" s="763"/>
      <c r="CK48" s="763"/>
      <c r="CL48" s="763"/>
      <c r="CM48" s="763"/>
      <c r="CN48" s="763"/>
      <c r="CO48" s="763"/>
      <c r="CP48" s="763"/>
      <c r="CQ48" s="763"/>
      <c r="CR48" s="763"/>
      <c r="CS48" s="763"/>
      <c r="CT48" s="763"/>
      <c r="CU48" s="763"/>
      <c r="CV48" s="763"/>
      <c r="CW48" s="763"/>
      <c r="CX48" s="763"/>
      <c r="CY48" s="763"/>
      <c r="CZ48" s="763"/>
      <c r="DA48" s="763"/>
      <c r="DB48" s="763"/>
      <c r="DC48" s="763"/>
      <c r="DD48" s="763"/>
      <c r="DE48" s="763"/>
      <c r="DF48" s="763"/>
      <c r="DG48" s="763"/>
      <c r="DH48" s="763"/>
      <c r="DI48" s="763"/>
      <c r="DJ48" s="763"/>
      <c r="DK48" s="763"/>
      <c r="DL48" s="763"/>
      <c r="DM48" s="763"/>
      <c r="DN48" s="763"/>
      <c r="DO48" s="763"/>
      <c r="DP48" s="763"/>
      <c r="DQ48" s="763"/>
      <c r="DR48" s="763"/>
      <c r="DS48" s="763"/>
      <c r="DT48" s="763"/>
      <c r="DU48" s="51"/>
      <c r="DV48" s="51"/>
    </row>
    <row r="49" spans="1:126" ht="15" customHeight="1" thickBot="1">
      <c r="A49" s="582" t="str">
        <f>'8a-Weapons'!AS126</f>
        <v/>
      </c>
      <c r="B49" s="583"/>
      <c r="C49" s="583"/>
      <c r="D49" s="583"/>
      <c r="E49" s="583"/>
      <c r="F49" s="583"/>
      <c r="G49" s="583"/>
      <c r="H49" s="583"/>
      <c r="I49" s="583"/>
      <c r="J49" s="583"/>
      <c r="K49" s="583"/>
      <c r="L49" s="583"/>
      <c r="M49" s="583"/>
      <c r="N49" s="583"/>
      <c r="O49" s="583"/>
      <c r="P49" s="583"/>
      <c r="Q49" s="583"/>
      <c r="R49" s="583"/>
      <c r="S49" s="583"/>
      <c r="T49" s="583"/>
      <c r="U49" s="583"/>
      <c r="V49" s="583"/>
      <c r="W49" s="583"/>
      <c r="X49" s="583"/>
      <c r="Y49" s="583"/>
      <c r="Z49" s="583"/>
      <c r="AA49" s="583"/>
      <c r="AB49" s="583"/>
      <c r="AC49" s="584"/>
      <c r="AD49" s="595" t="str">
        <f>'8a-Weapons'!AQ41</f>
        <v/>
      </c>
      <c r="AE49" s="596"/>
      <c r="AF49" s="596"/>
      <c r="AG49" s="596"/>
      <c r="AH49" s="596"/>
      <c r="AI49" s="596"/>
      <c r="AJ49" s="596"/>
      <c r="AK49" s="596"/>
      <c r="AL49" s="596"/>
      <c r="AM49" s="596"/>
      <c r="AN49" s="597"/>
      <c r="AO49" s="607" t="str">
        <f>'8a-Weapons'!AR41</f>
        <v/>
      </c>
      <c r="AP49" s="608"/>
      <c r="AQ49" s="608"/>
      <c r="AR49" s="608"/>
      <c r="AS49" s="608"/>
      <c r="AT49" s="608"/>
      <c r="AU49" s="608"/>
      <c r="AV49" s="608"/>
      <c r="AW49" s="608"/>
      <c r="AX49" s="609"/>
      <c r="AY49" s="607" t="str">
        <f>'8a-Weapons'!AU126</f>
        <v/>
      </c>
      <c r="AZ49" s="608"/>
      <c r="BA49" s="608"/>
      <c r="BB49" s="608"/>
      <c r="BC49" s="608"/>
      <c r="BD49" s="608"/>
      <c r="BE49" s="608"/>
      <c r="BF49" s="608"/>
      <c r="BG49" s="608"/>
      <c r="BH49" s="608"/>
      <c r="BI49" s="608"/>
      <c r="BJ49" s="608"/>
      <c r="BK49" s="608"/>
      <c r="BL49" s="608"/>
      <c r="BM49" s="608"/>
      <c r="BN49" s="608"/>
      <c r="BO49" s="608"/>
      <c r="BP49" s="608"/>
      <c r="BQ49" s="608"/>
      <c r="BR49" s="609"/>
      <c r="BS49" s="766" t="s">
        <v>742</v>
      </c>
      <c r="BT49" s="767"/>
      <c r="BU49" s="767"/>
      <c r="BV49" s="767"/>
      <c r="BW49" s="767"/>
      <c r="BX49" s="767"/>
      <c r="BY49" s="767"/>
      <c r="BZ49" s="767"/>
      <c r="CA49" s="767"/>
      <c r="CB49" s="767"/>
      <c r="CC49" s="767"/>
      <c r="CD49" s="767"/>
      <c r="CE49" s="767"/>
      <c r="CF49" s="767"/>
      <c r="CG49" s="767"/>
      <c r="CH49" s="767"/>
      <c r="CI49" s="767"/>
      <c r="CJ49" s="767"/>
      <c r="CK49" s="767"/>
      <c r="CL49" s="767"/>
      <c r="CM49" s="767"/>
      <c r="CN49" s="767"/>
      <c r="CO49" s="767"/>
      <c r="CP49" s="767"/>
      <c r="CQ49" s="767"/>
      <c r="CR49" s="767"/>
      <c r="CS49" s="767"/>
      <c r="CT49" s="767"/>
      <c r="CU49" s="767"/>
      <c r="CV49" s="767"/>
      <c r="CW49" s="767"/>
      <c r="CX49" s="767"/>
      <c r="CY49" s="767"/>
      <c r="CZ49" s="51"/>
      <c r="DA49" s="742" t="s">
        <v>582</v>
      </c>
      <c r="DB49" s="742"/>
      <c r="DC49" s="742"/>
      <c r="DD49" s="742"/>
      <c r="DE49" s="742"/>
      <c r="DF49" s="742"/>
      <c r="DG49" s="742"/>
      <c r="DH49" s="742"/>
      <c r="DI49" s="742"/>
      <c r="DJ49" s="742"/>
      <c r="DK49" s="742" t="str">
        <f>"Sensors (x"&amp;'7-Sensors'!C13&amp;")"</f>
        <v>Sensors (x2)</v>
      </c>
      <c r="DL49" s="742"/>
      <c r="DM49" s="742"/>
      <c r="DN49" s="742"/>
      <c r="DO49" s="742"/>
      <c r="DP49" s="742"/>
      <c r="DQ49" s="742"/>
      <c r="DR49" s="742"/>
      <c r="DS49" s="742"/>
      <c r="DT49" s="742"/>
      <c r="DU49" s="51"/>
      <c r="DV49" s="51"/>
    </row>
    <row r="50" spans="1:126" ht="15" customHeight="1" thickBot="1">
      <c r="A50" s="579" t="str">
        <f>'8a-Weapons'!AS127</f>
        <v/>
      </c>
      <c r="B50" s="580"/>
      <c r="C50" s="580"/>
      <c r="D50" s="580"/>
      <c r="E50" s="580"/>
      <c r="F50" s="580"/>
      <c r="G50" s="580"/>
      <c r="H50" s="580"/>
      <c r="I50" s="580"/>
      <c r="J50" s="580"/>
      <c r="K50" s="580"/>
      <c r="L50" s="580"/>
      <c r="M50" s="580"/>
      <c r="N50" s="580"/>
      <c r="O50" s="580"/>
      <c r="P50" s="580"/>
      <c r="Q50" s="580"/>
      <c r="R50" s="580"/>
      <c r="S50" s="580"/>
      <c r="T50" s="580"/>
      <c r="U50" s="580"/>
      <c r="V50" s="580"/>
      <c r="W50" s="580"/>
      <c r="X50" s="580"/>
      <c r="Y50" s="580"/>
      <c r="Z50" s="580"/>
      <c r="AA50" s="580"/>
      <c r="AB50" s="580"/>
      <c r="AC50" s="581"/>
      <c r="AD50" s="598" t="str">
        <f>'8a-Weapons'!AQ42</f>
        <v/>
      </c>
      <c r="AE50" s="599"/>
      <c r="AF50" s="599"/>
      <c r="AG50" s="599"/>
      <c r="AH50" s="599"/>
      <c r="AI50" s="599"/>
      <c r="AJ50" s="599"/>
      <c r="AK50" s="599"/>
      <c r="AL50" s="599"/>
      <c r="AM50" s="599"/>
      <c r="AN50" s="600"/>
      <c r="AO50" s="604" t="str">
        <f>'8a-Weapons'!AR42</f>
        <v/>
      </c>
      <c r="AP50" s="605"/>
      <c r="AQ50" s="605"/>
      <c r="AR50" s="605"/>
      <c r="AS50" s="605"/>
      <c r="AT50" s="605"/>
      <c r="AU50" s="605"/>
      <c r="AV50" s="605"/>
      <c r="AW50" s="605"/>
      <c r="AX50" s="606"/>
      <c r="AY50" s="604" t="str">
        <f>'8a-Weapons'!AU127</f>
        <v/>
      </c>
      <c r="AZ50" s="605"/>
      <c r="BA50" s="605"/>
      <c r="BB50" s="605"/>
      <c r="BC50" s="605"/>
      <c r="BD50" s="605"/>
      <c r="BE50" s="605"/>
      <c r="BF50" s="605"/>
      <c r="BG50" s="605"/>
      <c r="BH50" s="605"/>
      <c r="BI50" s="605"/>
      <c r="BJ50" s="605"/>
      <c r="BK50" s="605"/>
      <c r="BL50" s="605"/>
      <c r="BM50" s="605"/>
      <c r="BN50" s="605"/>
      <c r="BO50" s="605"/>
      <c r="BP50" s="605"/>
      <c r="BQ50" s="605"/>
      <c r="BR50" s="606"/>
      <c r="BS50" s="760" t="s">
        <v>408</v>
      </c>
      <c r="BT50" s="760"/>
      <c r="BU50" s="760"/>
      <c r="BV50" s="760"/>
      <c r="BW50" s="760"/>
      <c r="BX50" s="760"/>
      <c r="BY50" s="760"/>
      <c r="BZ50" s="760"/>
      <c r="CA50" s="760"/>
      <c r="CB50" s="760"/>
      <c r="CC50" s="760"/>
      <c r="CD50" s="760"/>
      <c r="CE50" s="760"/>
      <c r="CF50" s="761"/>
      <c r="CG50" s="743" t="s">
        <v>699</v>
      </c>
      <c r="CH50" s="743"/>
      <c r="CI50" s="743"/>
      <c r="CJ50" s="743"/>
      <c r="CK50" s="743" t="s">
        <v>123</v>
      </c>
      <c r="CL50" s="743"/>
      <c r="CM50" s="743"/>
      <c r="CN50" s="743"/>
      <c r="CO50" s="743"/>
      <c r="CP50" s="743"/>
      <c r="CQ50" s="743"/>
      <c r="CR50" s="743"/>
      <c r="CS50" s="743"/>
      <c r="CT50" s="743"/>
      <c r="CU50" s="743"/>
      <c r="CV50" s="743"/>
      <c r="CW50" s="743"/>
      <c r="CX50" s="743"/>
      <c r="CY50" s="744"/>
      <c r="CZ50" s="51"/>
      <c r="DA50" s="764" t="s">
        <v>700</v>
      </c>
      <c r="DB50" s="765"/>
      <c r="DC50" s="765"/>
      <c r="DD50" s="765"/>
      <c r="DE50" s="765"/>
      <c r="DF50" s="765"/>
      <c r="DG50" s="738" t="str">
        <f>'6-Comp'!Y5</f>
        <v>Bsc+1</v>
      </c>
      <c r="DH50" s="738"/>
      <c r="DI50" s="738"/>
      <c r="DJ50" s="739"/>
      <c r="DK50" s="764" t="s">
        <v>709</v>
      </c>
      <c r="DL50" s="765"/>
      <c r="DM50" s="765"/>
      <c r="DN50" s="765"/>
      <c r="DO50" s="765"/>
      <c r="DP50" s="765"/>
      <c r="DQ50" s="738" t="str">
        <f>'7-Sensors'!T24</f>
        <v>+1</v>
      </c>
      <c r="DR50" s="738"/>
      <c r="DS50" s="738"/>
      <c r="DT50" s="739"/>
      <c r="DU50" s="51"/>
      <c r="DV50" s="51"/>
    </row>
    <row r="51" spans="1:126" ht="15" customHeight="1">
      <c r="A51" s="582" t="str">
        <f>'8a-Weapons'!AS128</f>
        <v/>
      </c>
      <c r="B51" s="583"/>
      <c r="C51" s="583"/>
      <c r="D51" s="583"/>
      <c r="E51" s="583"/>
      <c r="F51" s="583"/>
      <c r="G51" s="583"/>
      <c r="H51" s="583"/>
      <c r="I51" s="583"/>
      <c r="J51" s="583"/>
      <c r="K51" s="583"/>
      <c r="L51" s="583"/>
      <c r="M51" s="583"/>
      <c r="N51" s="583"/>
      <c r="O51" s="583"/>
      <c r="P51" s="583"/>
      <c r="Q51" s="583"/>
      <c r="R51" s="583"/>
      <c r="S51" s="583"/>
      <c r="T51" s="583"/>
      <c r="U51" s="583"/>
      <c r="V51" s="583"/>
      <c r="W51" s="583"/>
      <c r="X51" s="583"/>
      <c r="Y51" s="583"/>
      <c r="Z51" s="583"/>
      <c r="AA51" s="583"/>
      <c r="AB51" s="583"/>
      <c r="AC51" s="584"/>
      <c r="AD51" s="595" t="str">
        <f>'8a-Weapons'!AQ43</f>
        <v/>
      </c>
      <c r="AE51" s="596"/>
      <c r="AF51" s="596"/>
      <c r="AG51" s="596"/>
      <c r="AH51" s="596"/>
      <c r="AI51" s="596"/>
      <c r="AJ51" s="596"/>
      <c r="AK51" s="596"/>
      <c r="AL51" s="596"/>
      <c r="AM51" s="596"/>
      <c r="AN51" s="597"/>
      <c r="AO51" s="607" t="str">
        <f>'8a-Weapons'!AR43</f>
        <v/>
      </c>
      <c r="AP51" s="608"/>
      <c r="AQ51" s="608"/>
      <c r="AR51" s="608"/>
      <c r="AS51" s="608"/>
      <c r="AT51" s="608"/>
      <c r="AU51" s="608"/>
      <c r="AV51" s="608"/>
      <c r="AW51" s="608"/>
      <c r="AX51" s="609"/>
      <c r="AY51" s="607" t="str">
        <f>'8a-Weapons'!AU128</f>
        <v/>
      </c>
      <c r="AZ51" s="608"/>
      <c r="BA51" s="608"/>
      <c r="BB51" s="608"/>
      <c r="BC51" s="608"/>
      <c r="BD51" s="608"/>
      <c r="BE51" s="608"/>
      <c r="BF51" s="608"/>
      <c r="BG51" s="608"/>
      <c r="BH51" s="608"/>
      <c r="BI51" s="608"/>
      <c r="BJ51" s="608"/>
      <c r="BK51" s="608"/>
      <c r="BL51" s="608"/>
      <c r="BM51" s="608"/>
      <c r="BN51" s="608"/>
      <c r="BO51" s="608"/>
      <c r="BP51" s="608"/>
      <c r="BQ51" s="608"/>
      <c r="BR51" s="609"/>
      <c r="BS51" s="762" t="str">
        <f>'8b-Screens'!B9</f>
        <v/>
      </c>
      <c r="BT51" s="745"/>
      <c r="BU51" s="745"/>
      <c r="BV51" s="745"/>
      <c r="BW51" s="745"/>
      <c r="BX51" s="745"/>
      <c r="BY51" s="745"/>
      <c r="BZ51" s="745"/>
      <c r="CA51" s="745"/>
      <c r="CB51" s="745"/>
      <c r="CC51" s="745"/>
      <c r="CD51" s="745"/>
      <c r="CE51" s="745"/>
      <c r="CF51" s="745"/>
      <c r="CG51" s="745">
        <f>'8b-Screens'!E9</f>
        <v>0</v>
      </c>
      <c r="CH51" s="745"/>
      <c r="CI51" s="745"/>
      <c r="CJ51" s="745"/>
      <c r="CK51" s="745" t="str">
        <f>'8b-Screens'!T60</f>
        <v xml:space="preserve">  </v>
      </c>
      <c r="CL51" s="745"/>
      <c r="CM51" s="745"/>
      <c r="CN51" s="745"/>
      <c r="CO51" s="745"/>
      <c r="CP51" s="745"/>
      <c r="CQ51" s="745"/>
      <c r="CR51" s="745"/>
      <c r="CS51" s="745"/>
      <c r="CT51" s="745"/>
      <c r="CU51" s="745"/>
      <c r="CV51" s="745"/>
      <c r="CW51" s="745"/>
      <c r="CX51" s="745"/>
      <c r="CY51" s="746"/>
      <c r="CZ51" s="51"/>
      <c r="DA51" s="610" t="s">
        <v>705</v>
      </c>
      <c r="DB51" s="611"/>
      <c r="DC51" s="611"/>
      <c r="DD51" s="611"/>
      <c r="DE51" s="611"/>
      <c r="DF51" s="611"/>
      <c r="DG51" s="731" t="str">
        <f>'6-Comp'!Y6</f>
        <v>N/A</v>
      </c>
      <c r="DH51" s="731"/>
      <c r="DI51" s="731"/>
      <c r="DJ51" s="735"/>
      <c r="DK51" s="610" t="s">
        <v>710</v>
      </c>
      <c r="DL51" s="611"/>
      <c r="DM51" s="611"/>
      <c r="DN51" s="611"/>
      <c r="DO51" s="611"/>
      <c r="DP51" s="611"/>
      <c r="DQ51" s="731" t="str">
        <f>'7-Sensors'!T25</f>
        <v>0</v>
      </c>
      <c r="DR51" s="731"/>
      <c r="DS51" s="731"/>
      <c r="DT51" s="735"/>
      <c r="DU51" s="51"/>
      <c r="DV51" s="51"/>
    </row>
    <row r="52" spans="1:126" ht="15" customHeight="1">
      <c r="A52" s="579" t="str">
        <f>'8a-Weapons'!AS129</f>
        <v/>
      </c>
      <c r="B52" s="580"/>
      <c r="C52" s="580"/>
      <c r="D52" s="580"/>
      <c r="E52" s="580"/>
      <c r="F52" s="580"/>
      <c r="G52" s="580"/>
      <c r="H52" s="580"/>
      <c r="I52" s="580"/>
      <c r="J52" s="580"/>
      <c r="K52" s="580"/>
      <c r="L52" s="580"/>
      <c r="M52" s="580"/>
      <c r="N52" s="580"/>
      <c r="O52" s="580"/>
      <c r="P52" s="580"/>
      <c r="Q52" s="580"/>
      <c r="R52" s="580"/>
      <c r="S52" s="580"/>
      <c r="T52" s="580"/>
      <c r="U52" s="580"/>
      <c r="V52" s="580"/>
      <c r="W52" s="580"/>
      <c r="X52" s="580"/>
      <c r="Y52" s="580"/>
      <c r="Z52" s="580"/>
      <c r="AA52" s="580"/>
      <c r="AB52" s="580"/>
      <c r="AC52" s="581"/>
      <c r="AD52" s="598" t="str">
        <f>'8a-Weapons'!AQ44</f>
        <v/>
      </c>
      <c r="AE52" s="599"/>
      <c r="AF52" s="599"/>
      <c r="AG52" s="599"/>
      <c r="AH52" s="599"/>
      <c r="AI52" s="599"/>
      <c r="AJ52" s="599"/>
      <c r="AK52" s="599"/>
      <c r="AL52" s="599"/>
      <c r="AM52" s="599"/>
      <c r="AN52" s="600"/>
      <c r="AO52" s="604" t="str">
        <f>'8a-Weapons'!AR44</f>
        <v/>
      </c>
      <c r="AP52" s="605"/>
      <c r="AQ52" s="605"/>
      <c r="AR52" s="605"/>
      <c r="AS52" s="605"/>
      <c r="AT52" s="605"/>
      <c r="AU52" s="605"/>
      <c r="AV52" s="605"/>
      <c r="AW52" s="605"/>
      <c r="AX52" s="606"/>
      <c r="AY52" s="604" t="str">
        <f>'8a-Weapons'!AU129</f>
        <v/>
      </c>
      <c r="AZ52" s="605"/>
      <c r="BA52" s="605"/>
      <c r="BB52" s="605"/>
      <c r="BC52" s="605"/>
      <c r="BD52" s="605"/>
      <c r="BE52" s="605"/>
      <c r="BF52" s="605"/>
      <c r="BG52" s="605"/>
      <c r="BH52" s="605"/>
      <c r="BI52" s="605"/>
      <c r="BJ52" s="605"/>
      <c r="BK52" s="605"/>
      <c r="BL52" s="605"/>
      <c r="BM52" s="605"/>
      <c r="BN52" s="605"/>
      <c r="BO52" s="605"/>
      <c r="BP52" s="605"/>
      <c r="BQ52" s="605"/>
      <c r="BR52" s="606"/>
      <c r="BS52" s="730" t="str">
        <f>'8b-Screens'!B14</f>
        <v/>
      </c>
      <c r="BT52" s="731"/>
      <c r="BU52" s="731"/>
      <c r="BV52" s="731"/>
      <c r="BW52" s="731"/>
      <c r="BX52" s="731"/>
      <c r="BY52" s="731"/>
      <c r="BZ52" s="731"/>
      <c r="CA52" s="731"/>
      <c r="CB52" s="731"/>
      <c r="CC52" s="731"/>
      <c r="CD52" s="731"/>
      <c r="CE52" s="731"/>
      <c r="CF52" s="731"/>
      <c r="CG52" s="731">
        <f>'8b-Screens'!E14</f>
        <v>0</v>
      </c>
      <c r="CH52" s="731"/>
      <c r="CI52" s="731"/>
      <c r="CJ52" s="731"/>
      <c r="CK52" s="731" t="str">
        <f>'8b-Screens'!V60</f>
        <v xml:space="preserve">  </v>
      </c>
      <c r="CL52" s="731"/>
      <c r="CM52" s="731"/>
      <c r="CN52" s="731"/>
      <c r="CO52" s="731"/>
      <c r="CP52" s="731"/>
      <c r="CQ52" s="731"/>
      <c r="CR52" s="731"/>
      <c r="CS52" s="731"/>
      <c r="CT52" s="731"/>
      <c r="CU52" s="731"/>
      <c r="CV52" s="731"/>
      <c r="CW52" s="731"/>
      <c r="CX52" s="731"/>
      <c r="CY52" s="735"/>
      <c r="DA52" s="610" t="s">
        <v>708</v>
      </c>
      <c r="DB52" s="611"/>
      <c r="DC52" s="611"/>
      <c r="DD52" s="611"/>
      <c r="DE52" s="611"/>
      <c r="DF52" s="611"/>
      <c r="DG52" s="731" t="str">
        <f>'6-Comp'!Y7</f>
        <v>N/A</v>
      </c>
      <c r="DH52" s="731"/>
      <c r="DI52" s="731"/>
      <c r="DJ52" s="735"/>
      <c r="DK52" s="610" t="s">
        <v>711</v>
      </c>
      <c r="DL52" s="611"/>
      <c r="DM52" s="611"/>
      <c r="DN52" s="611"/>
      <c r="DO52" s="611"/>
      <c r="DP52" s="611"/>
      <c r="DQ52" s="731" t="str">
        <f>'7-Sensors'!T26</f>
        <v>+4</v>
      </c>
      <c r="DR52" s="731"/>
      <c r="DS52" s="731"/>
      <c r="DT52" s="735"/>
    </row>
    <row r="53" spans="1:126" ht="15" customHeight="1" thickBot="1">
      <c r="A53" s="582" t="str">
        <f>'8a-Weapons'!AS130</f>
        <v/>
      </c>
      <c r="B53" s="583"/>
      <c r="C53" s="583"/>
      <c r="D53" s="583"/>
      <c r="E53" s="583"/>
      <c r="F53" s="583"/>
      <c r="G53" s="583"/>
      <c r="H53" s="583"/>
      <c r="I53" s="583"/>
      <c r="J53" s="583"/>
      <c r="K53" s="583"/>
      <c r="L53" s="583"/>
      <c r="M53" s="583"/>
      <c r="N53" s="583"/>
      <c r="O53" s="583"/>
      <c r="P53" s="583"/>
      <c r="Q53" s="583"/>
      <c r="R53" s="583"/>
      <c r="S53" s="583"/>
      <c r="T53" s="583"/>
      <c r="U53" s="583"/>
      <c r="V53" s="583"/>
      <c r="W53" s="583"/>
      <c r="X53" s="583"/>
      <c r="Y53" s="583"/>
      <c r="Z53" s="583"/>
      <c r="AA53" s="583"/>
      <c r="AB53" s="583"/>
      <c r="AC53" s="584"/>
      <c r="AD53" s="595" t="str">
        <f>'8a-Weapons'!AQ45</f>
        <v/>
      </c>
      <c r="AE53" s="596"/>
      <c r="AF53" s="596"/>
      <c r="AG53" s="596"/>
      <c r="AH53" s="596"/>
      <c r="AI53" s="596"/>
      <c r="AJ53" s="596"/>
      <c r="AK53" s="596"/>
      <c r="AL53" s="596"/>
      <c r="AM53" s="596"/>
      <c r="AN53" s="597"/>
      <c r="AO53" s="607" t="str">
        <f>'8a-Weapons'!AR45</f>
        <v/>
      </c>
      <c r="AP53" s="608"/>
      <c r="AQ53" s="608"/>
      <c r="AR53" s="608"/>
      <c r="AS53" s="608"/>
      <c r="AT53" s="608"/>
      <c r="AU53" s="608"/>
      <c r="AV53" s="608"/>
      <c r="AW53" s="608"/>
      <c r="AX53" s="609"/>
      <c r="AY53" s="607" t="str">
        <f>'8a-Weapons'!AU130</f>
        <v/>
      </c>
      <c r="AZ53" s="608"/>
      <c r="BA53" s="608"/>
      <c r="BB53" s="608"/>
      <c r="BC53" s="608"/>
      <c r="BD53" s="608"/>
      <c r="BE53" s="608"/>
      <c r="BF53" s="608"/>
      <c r="BG53" s="608"/>
      <c r="BH53" s="608"/>
      <c r="BI53" s="608"/>
      <c r="BJ53" s="608"/>
      <c r="BK53" s="608"/>
      <c r="BL53" s="608"/>
      <c r="BM53" s="608"/>
      <c r="BN53" s="608"/>
      <c r="BO53" s="608"/>
      <c r="BP53" s="608"/>
      <c r="BQ53" s="608"/>
      <c r="BR53" s="609"/>
      <c r="BS53" s="730" t="str">
        <f>'8b-Screens'!B19</f>
        <v/>
      </c>
      <c r="BT53" s="731"/>
      <c r="BU53" s="731"/>
      <c r="BV53" s="731"/>
      <c r="BW53" s="731"/>
      <c r="BX53" s="731"/>
      <c r="BY53" s="731"/>
      <c r="BZ53" s="731"/>
      <c r="CA53" s="731"/>
      <c r="CB53" s="731"/>
      <c r="CC53" s="731"/>
      <c r="CD53" s="731"/>
      <c r="CE53" s="731"/>
      <c r="CF53" s="731"/>
      <c r="CG53" s="731">
        <f>'8b-Screens'!E19</f>
        <v>0</v>
      </c>
      <c r="CH53" s="731"/>
      <c r="CI53" s="731"/>
      <c r="CJ53" s="731"/>
      <c r="CK53" s="731" t="str">
        <f>'8b-Screens'!X60</f>
        <v xml:space="preserve">  </v>
      </c>
      <c r="CL53" s="731"/>
      <c r="CM53" s="731"/>
      <c r="CN53" s="731"/>
      <c r="CO53" s="731"/>
      <c r="CP53" s="731"/>
      <c r="CQ53" s="731"/>
      <c r="CR53" s="731"/>
      <c r="CS53" s="731"/>
      <c r="CT53" s="731"/>
      <c r="CU53" s="731"/>
      <c r="CV53" s="731"/>
      <c r="CW53" s="731"/>
      <c r="CX53" s="731"/>
      <c r="CY53" s="735"/>
      <c r="DA53" s="610" t="s">
        <v>253</v>
      </c>
      <c r="DB53" s="611"/>
      <c r="DC53" s="611"/>
      <c r="DD53" s="611"/>
      <c r="DE53" s="611"/>
      <c r="DF53" s="611"/>
      <c r="DG53" s="731" t="str">
        <f>'6-Comp'!Y8</f>
        <v>-1</v>
      </c>
      <c r="DH53" s="731"/>
      <c r="DI53" s="731"/>
      <c r="DJ53" s="735"/>
      <c r="DK53" s="740" t="s">
        <v>712</v>
      </c>
      <c r="DL53" s="741"/>
      <c r="DM53" s="741"/>
      <c r="DN53" s="741"/>
      <c r="DO53" s="741"/>
      <c r="DP53" s="741"/>
      <c r="DQ53" s="736" t="str">
        <f>'7-Sensors'!T27</f>
        <v>+Rng</v>
      </c>
      <c r="DR53" s="736"/>
      <c r="DS53" s="736"/>
      <c r="DT53" s="737"/>
    </row>
    <row r="54" spans="1:126" ht="15" customHeight="1">
      <c r="A54" s="579" t="str">
        <f>'8a-Weapons'!AS131</f>
        <v/>
      </c>
      <c r="B54" s="580"/>
      <c r="C54" s="580"/>
      <c r="D54" s="580"/>
      <c r="E54" s="580"/>
      <c r="F54" s="580"/>
      <c r="G54" s="580"/>
      <c r="H54" s="580"/>
      <c r="I54" s="580"/>
      <c r="J54" s="580"/>
      <c r="K54" s="580"/>
      <c r="L54" s="580"/>
      <c r="M54" s="580"/>
      <c r="N54" s="580"/>
      <c r="O54" s="580"/>
      <c r="P54" s="580"/>
      <c r="Q54" s="580"/>
      <c r="R54" s="580"/>
      <c r="S54" s="580"/>
      <c r="T54" s="580"/>
      <c r="U54" s="580"/>
      <c r="V54" s="580"/>
      <c r="W54" s="580"/>
      <c r="X54" s="580"/>
      <c r="Y54" s="580"/>
      <c r="Z54" s="580"/>
      <c r="AA54" s="580"/>
      <c r="AB54" s="580"/>
      <c r="AC54" s="581"/>
      <c r="AD54" s="598" t="str">
        <f>'8a-Weapons'!AQ46</f>
        <v/>
      </c>
      <c r="AE54" s="599"/>
      <c r="AF54" s="599"/>
      <c r="AG54" s="599"/>
      <c r="AH54" s="599"/>
      <c r="AI54" s="599"/>
      <c r="AJ54" s="599"/>
      <c r="AK54" s="599"/>
      <c r="AL54" s="599"/>
      <c r="AM54" s="599"/>
      <c r="AN54" s="600"/>
      <c r="AO54" s="604" t="str">
        <f>'8a-Weapons'!AR46</f>
        <v/>
      </c>
      <c r="AP54" s="605"/>
      <c r="AQ54" s="605"/>
      <c r="AR54" s="605"/>
      <c r="AS54" s="605"/>
      <c r="AT54" s="605"/>
      <c r="AU54" s="605"/>
      <c r="AV54" s="605"/>
      <c r="AW54" s="605"/>
      <c r="AX54" s="606"/>
      <c r="AY54" s="604" t="str">
        <f>'8a-Weapons'!AU131</f>
        <v/>
      </c>
      <c r="AZ54" s="605"/>
      <c r="BA54" s="605"/>
      <c r="BB54" s="605"/>
      <c r="BC54" s="605"/>
      <c r="BD54" s="605"/>
      <c r="BE54" s="605"/>
      <c r="BF54" s="605"/>
      <c r="BG54" s="605"/>
      <c r="BH54" s="605"/>
      <c r="BI54" s="605"/>
      <c r="BJ54" s="605"/>
      <c r="BK54" s="605"/>
      <c r="BL54" s="605"/>
      <c r="BM54" s="605"/>
      <c r="BN54" s="605"/>
      <c r="BO54" s="605"/>
      <c r="BP54" s="605"/>
      <c r="BQ54" s="605"/>
      <c r="BR54" s="606"/>
      <c r="BS54" s="730" t="str">
        <f>'8b-Screens'!B24</f>
        <v/>
      </c>
      <c r="BT54" s="731"/>
      <c r="BU54" s="731"/>
      <c r="BV54" s="731"/>
      <c r="BW54" s="731"/>
      <c r="BX54" s="731"/>
      <c r="BY54" s="731"/>
      <c r="BZ54" s="731"/>
      <c r="CA54" s="731"/>
      <c r="CB54" s="731"/>
      <c r="CC54" s="731"/>
      <c r="CD54" s="731"/>
      <c r="CE54" s="731"/>
      <c r="CF54" s="731"/>
      <c r="CG54" s="731">
        <f>'8b-Screens'!E24</f>
        <v>0</v>
      </c>
      <c r="CH54" s="731"/>
      <c r="CI54" s="731"/>
      <c r="CJ54" s="731"/>
      <c r="CK54" s="731" t="str">
        <f>'8b-Screens'!Z60</f>
        <v xml:space="preserve">  </v>
      </c>
      <c r="CL54" s="731"/>
      <c r="CM54" s="731"/>
      <c r="CN54" s="731"/>
      <c r="CO54" s="731"/>
      <c r="CP54" s="731"/>
      <c r="CQ54" s="731"/>
      <c r="CR54" s="731"/>
      <c r="CS54" s="731"/>
      <c r="CT54" s="731"/>
      <c r="CU54" s="731"/>
      <c r="CV54" s="731"/>
      <c r="CW54" s="731"/>
      <c r="CX54" s="731"/>
      <c r="CY54" s="735"/>
      <c r="DA54" s="610" t="s">
        <v>703</v>
      </c>
      <c r="DB54" s="611"/>
      <c r="DC54" s="611"/>
      <c r="DD54" s="611"/>
      <c r="DE54" s="611"/>
      <c r="DF54" s="611"/>
      <c r="DG54" s="731" t="str">
        <f>'6-Comp'!Y9</f>
        <v>N/A</v>
      </c>
      <c r="DH54" s="731"/>
      <c r="DI54" s="731"/>
      <c r="DJ54" s="735"/>
      <c r="DL54" s="774" t="s">
        <v>756</v>
      </c>
      <c r="DM54" s="775"/>
      <c r="DN54" s="775"/>
      <c r="DO54" s="775"/>
      <c r="DP54" s="775"/>
      <c r="DQ54" s="775"/>
      <c r="DR54" s="775"/>
      <c r="DS54" s="775"/>
      <c r="DT54" s="776"/>
    </row>
    <row r="55" spans="1:126" ht="16" thickBot="1">
      <c r="A55" s="582" t="str">
        <f>'8a-Weapons'!AS132</f>
        <v/>
      </c>
      <c r="B55" s="583"/>
      <c r="C55" s="583"/>
      <c r="D55" s="583"/>
      <c r="E55" s="583"/>
      <c r="F55" s="583"/>
      <c r="G55" s="583"/>
      <c r="H55" s="583"/>
      <c r="I55" s="583"/>
      <c r="J55" s="583"/>
      <c r="K55" s="583"/>
      <c r="L55" s="583"/>
      <c r="M55" s="583"/>
      <c r="N55" s="583"/>
      <c r="O55" s="583"/>
      <c r="P55" s="583"/>
      <c r="Q55" s="583"/>
      <c r="R55" s="583"/>
      <c r="S55" s="583"/>
      <c r="T55" s="583"/>
      <c r="U55" s="583"/>
      <c r="V55" s="583"/>
      <c r="W55" s="583"/>
      <c r="X55" s="583"/>
      <c r="Y55" s="583"/>
      <c r="Z55" s="583"/>
      <c r="AA55" s="583"/>
      <c r="AB55" s="583"/>
      <c r="AC55" s="584"/>
      <c r="AD55" s="595" t="str">
        <f>'8a-Weapons'!AQ47</f>
        <v/>
      </c>
      <c r="AE55" s="596"/>
      <c r="AF55" s="596"/>
      <c r="AG55" s="596"/>
      <c r="AH55" s="596"/>
      <c r="AI55" s="596"/>
      <c r="AJ55" s="596"/>
      <c r="AK55" s="596"/>
      <c r="AL55" s="596"/>
      <c r="AM55" s="596"/>
      <c r="AN55" s="597"/>
      <c r="AO55" s="601" t="str">
        <f>'8a-Weapons'!AR47</f>
        <v/>
      </c>
      <c r="AP55" s="602"/>
      <c r="AQ55" s="602"/>
      <c r="AR55" s="602"/>
      <c r="AS55" s="602"/>
      <c r="AT55" s="602"/>
      <c r="AU55" s="602"/>
      <c r="AV55" s="602"/>
      <c r="AW55" s="602"/>
      <c r="AX55" s="603"/>
      <c r="AY55" s="601" t="str">
        <f>'8a-Weapons'!AU132</f>
        <v/>
      </c>
      <c r="AZ55" s="602"/>
      <c r="BA55" s="602"/>
      <c r="BB55" s="602"/>
      <c r="BC55" s="602"/>
      <c r="BD55" s="602"/>
      <c r="BE55" s="602"/>
      <c r="BF55" s="602"/>
      <c r="BG55" s="602"/>
      <c r="BH55" s="602"/>
      <c r="BI55" s="602"/>
      <c r="BJ55" s="602"/>
      <c r="BK55" s="602"/>
      <c r="BL55" s="602"/>
      <c r="BM55" s="602"/>
      <c r="BN55" s="602"/>
      <c r="BO55" s="602"/>
      <c r="BP55" s="602"/>
      <c r="BQ55" s="602"/>
      <c r="BR55" s="603"/>
      <c r="BS55" s="730" t="str">
        <f>IF('8b-Screens'!D34=0,"","Grav Shielding")</f>
        <v/>
      </c>
      <c r="BT55" s="731"/>
      <c r="BU55" s="731"/>
      <c r="BV55" s="731"/>
      <c r="BW55" s="731"/>
      <c r="BX55" s="731"/>
      <c r="BY55" s="731"/>
      <c r="BZ55" s="731"/>
      <c r="CA55" s="731"/>
      <c r="CB55" s="731"/>
      <c r="CC55" s="731"/>
      <c r="CD55" s="731"/>
      <c r="CE55" s="731"/>
      <c r="CF55" s="731"/>
      <c r="CG55" s="753" t="str">
        <f>INDEX('8b-Screens'!T64:V70,MATCH('8b-Screens'!D34,'8b-Screens'!T64:T70,0),3)</f>
        <v/>
      </c>
      <c r="CH55" s="753"/>
      <c r="CI55" s="753"/>
      <c r="CJ55" s="753"/>
      <c r="CK55" s="753" t="str">
        <f>'8b-Screens'!Y52</f>
        <v xml:space="preserve">  </v>
      </c>
      <c r="CL55" s="753"/>
      <c r="CM55" s="753"/>
      <c r="CN55" s="753"/>
      <c r="CO55" s="753"/>
      <c r="CP55" s="753"/>
      <c r="CQ55" s="753"/>
      <c r="CR55" s="753"/>
      <c r="CS55" s="753"/>
      <c r="CT55" s="753"/>
      <c r="CU55" s="753"/>
      <c r="CV55" s="753"/>
      <c r="CW55" s="753"/>
      <c r="CX55" s="753"/>
      <c r="CY55" s="777"/>
      <c r="DA55" s="610" t="s">
        <v>704</v>
      </c>
      <c r="DB55" s="611"/>
      <c r="DC55" s="611"/>
      <c r="DD55" s="611"/>
      <c r="DE55" s="611"/>
      <c r="DF55" s="611"/>
      <c r="DG55" s="731" t="str">
        <f>'6-Comp'!Y10</f>
        <v>N/A</v>
      </c>
      <c r="DH55" s="731"/>
      <c r="DI55" s="731"/>
      <c r="DJ55" s="735"/>
      <c r="DL55" s="732" t="s">
        <v>755</v>
      </c>
      <c r="DM55" s="733"/>
      <c r="DN55" s="733"/>
      <c r="DO55" s="733"/>
      <c r="DP55" s="733"/>
      <c r="DQ55" s="733"/>
      <c r="DR55" s="733"/>
      <c r="DS55" s="733"/>
      <c r="DT55" s="734"/>
    </row>
    <row r="56" spans="1:126" ht="17" thickTop="1" thickBot="1">
      <c r="A56" s="593" t="str">
        <f>'8a-Weapons'!AS136</f>
        <v/>
      </c>
      <c r="B56" s="593"/>
      <c r="C56" s="593"/>
      <c r="D56" s="593"/>
      <c r="E56" s="593"/>
      <c r="F56" s="593"/>
      <c r="G56" s="593"/>
      <c r="H56" s="593"/>
      <c r="I56" s="593"/>
      <c r="J56" s="593"/>
      <c r="K56" s="593"/>
      <c r="L56" s="593"/>
      <c r="M56" s="593"/>
      <c r="N56" s="593"/>
      <c r="O56" s="593"/>
      <c r="P56" s="593"/>
      <c r="Q56" s="593"/>
      <c r="R56" s="593"/>
      <c r="S56" s="593"/>
      <c r="T56" s="593"/>
      <c r="U56" s="593"/>
      <c r="V56" s="593"/>
      <c r="W56" s="593"/>
      <c r="X56" s="593"/>
      <c r="Y56" s="593"/>
      <c r="Z56" s="593"/>
      <c r="AA56" s="593"/>
      <c r="AB56" s="593"/>
      <c r="AC56" s="593"/>
      <c r="AD56" s="594" t="str">
        <f>'8a-Weapons'!AW136</f>
        <v/>
      </c>
      <c r="AE56" s="594"/>
      <c r="AF56" s="594"/>
      <c r="AG56" s="594"/>
      <c r="AH56" s="594"/>
      <c r="AI56" s="594"/>
      <c r="AJ56" s="594"/>
      <c r="AK56" s="594"/>
      <c r="AL56" s="594"/>
      <c r="AM56" s="594"/>
      <c r="AN56" s="594"/>
      <c r="AO56" s="594" t="str">
        <f>'8a-Weapons'!AX136</f>
        <v>0DD (xK)</v>
      </c>
      <c r="AP56" s="594"/>
      <c r="AQ56" s="594"/>
      <c r="AR56" s="594"/>
      <c r="AS56" s="594"/>
      <c r="AT56" s="594"/>
      <c r="AU56" s="594"/>
      <c r="AV56" s="594"/>
      <c r="AW56" s="594"/>
      <c r="AX56" s="594"/>
      <c r="AY56" s="594" t="str">
        <f>'8a-Weapons'!AU136</f>
        <v/>
      </c>
      <c r="AZ56" s="594"/>
      <c r="BA56" s="594"/>
      <c r="BB56" s="594"/>
      <c r="BC56" s="594"/>
      <c r="BD56" s="594"/>
      <c r="BE56" s="594"/>
      <c r="BF56" s="594"/>
      <c r="BG56" s="594"/>
      <c r="BH56" s="594"/>
      <c r="BI56" s="594"/>
      <c r="BJ56" s="594"/>
      <c r="BK56" s="594"/>
      <c r="BL56" s="594"/>
      <c r="BM56" s="594"/>
      <c r="BN56" s="594"/>
      <c r="BO56" s="594"/>
      <c r="BP56" s="594"/>
      <c r="BQ56" s="594"/>
      <c r="BR56" s="594"/>
      <c r="BS56" s="752" t="str">
        <f>IF('8b-Screens'!C39='8b-Screens'!S6,"",'8b-Screens'!B39)</f>
        <v/>
      </c>
      <c r="BT56" s="736"/>
      <c r="BU56" s="736"/>
      <c r="BV56" s="736"/>
      <c r="BW56" s="736"/>
      <c r="BX56" s="736"/>
      <c r="BY56" s="736"/>
      <c r="BZ56" s="736"/>
      <c r="CA56" s="736"/>
      <c r="CB56" s="736"/>
      <c r="CC56" s="736"/>
      <c r="CD56" s="736"/>
      <c r="CE56" s="736"/>
      <c r="CF56" s="736"/>
      <c r="CG56" s="754">
        <f>'8b-Screens'!E39</f>
        <v>0</v>
      </c>
      <c r="CH56" s="754"/>
      <c r="CI56" s="754"/>
      <c r="CJ56" s="754"/>
      <c r="CK56" s="754" t="str">
        <f>IF(CG49&gt;0,"Dmg Cap:"&amp;'8b-Screens'!D42,"")</f>
        <v/>
      </c>
      <c r="CL56" s="754"/>
      <c r="CM56" s="754"/>
      <c r="CN56" s="754"/>
      <c r="CO56" s="754"/>
      <c r="CP56" s="754"/>
      <c r="CQ56" s="754"/>
      <c r="CR56" s="754"/>
      <c r="CS56" s="754"/>
      <c r="CT56" s="754"/>
      <c r="CU56" s="754"/>
      <c r="CV56" s="754"/>
      <c r="CW56" s="754"/>
      <c r="CX56" s="754"/>
      <c r="CY56" s="778"/>
      <c r="DA56" s="740" t="s">
        <v>707</v>
      </c>
      <c r="DB56" s="741"/>
      <c r="DC56" s="741"/>
      <c r="DD56" s="741"/>
      <c r="DE56" s="741"/>
      <c r="DF56" s="741"/>
      <c r="DG56" s="736" t="str">
        <f>'6-Comp'!Y11</f>
        <v>X</v>
      </c>
      <c r="DH56" s="736"/>
      <c r="DI56" s="736"/>
      <c r="DJ56" s="737"/>
      <c r="DL56" s="771">
        <f>SUM('12-Cargo'!D38:'12-Cargo'!D48)</f>
        <v>0</v>
      </c>
      <c r="DM56" s="772"/>
      <c r="DN56" s="772"/>
      <c r="DO56" s="772"/>
      <c r="DP56" s="772"/>
      <c r="DQ56" s="772"/>
      <c r="DR56" s="772"/>
      <c r="DS56" s="772"/>
      <c r="DT56" s="773"/>
    </row>
  </sheetData>
  <sheetProtection algorithmName="SHA-512" hashValue="spLN2ZyFjRh7S/aRUryLZWFJf+3N03HFOLNCTn5TsVDpL4jDUi/SnA+sgnrIcQgyNsRzBePM3TGPRAb+dnnECQ==" saltValue="81+K/0gWyrPlIkt2B0+Uqg==" spinCount="100000" sheet="1" selectLockedCells="1"/>
  <mergeCells count="292">
    <mergeCell ref="A41:AC41"/>
    <mergeCell ref="A44:AC45"/>
    <mergeCell ref="A46:AC47"/>
    <mergeCell ref="AD46:AN47"/>
    <mergeCell ref="AO46:AX47"/>
    <mergeCell ref="AY46:BR47"/>
    <mergeCell ref="BS46:BT47"/>
    <mergeCell ref="BU46:CC47"/>
    <mergeCell ref="A32:AC33"/>
    <mergeCell ref="AD32:AN33"/>
    <mergeCell ref="AO32:AX33"/>
    <mergeCell ref="AY32:BR33"/>
    <mergeCell ref="AO36:AX37"/>
    <mergeCell ref="CK33:CR33"/>
    <mergeCell ref="CS33:CY33"/>
    <mergeCell ref="CZ33:DF33"/>
    <mergeCell ref="DG33:DM33"/>
    <mergeCell ref="DL56:DT56"/>
    <mergeCell ref="DL54:DT54"/>
    <mergeCell ref="DG53:DJ53"/>
    <mergeCell ref="DA56:DF56"/>
    <mergeCell ref="CK55:CY55"/>
    <mergeCell ref="CK56:CY56"/>
    <mergeCell ref="DA50:DF50"/>
    <mergeCell ref="CS42:CY42"/>
    <mergeCell ref="CS43:CY43"/>
    <mergeCell ref="CS44:CY44"/>
    <mergeCell ref="CS46:CY46"/>
    <mergeCell ref="DG44:DM44"/>
    <mergeCell ref="DG46:DM46"/>
    <mergeCell ref="DG50:DJ50"/>
    <mergeCell ref="DA51:DF51"/>
    <mergeCell ref="DG51:DJ51"/>
    <mergeCell ref="CK54:CY54"/>
    <mergeCell ref="DK49:DT49"/>
    <mergeCell ref="DG54:DJ54"/>
    <mergeCell ref="DA54:DF54"/>
    <mergeCell ref="BS56:CF56"/>
    <mergeCell ref="CG50:CJ50"/>
    <mergeCell ref="CG51:CJ51"/>
    <mergeCell ref="CG52:CJ52"/>
    <mergeCell ref="CG53:CJ53"/>
    <mergeCell ref="CG54:CJ54"/>
    <mergeCell ref="CG55:CJ55"/>
    <mergeCell ref="CG56:CJ56"/>
    <mergeCell ref="CD41:CJ41"/>
    <mergeCell ref="CD42:CJ42"/>
    <mergeCell ref="CD43:CJ43"/>
    <mergeCell ref="CD44:CJ44"/>
    <mergeCell ref="CD46:CJ46"/>
    <mergeCell ref="BS50:CF50"/>
    <mergeCell ref="BS51:CF51"/>
    <mergeCell ref="BS52:CF52"/>
    <mergeCell ref="BS48:DT48"/>
    <mergeCell ref="DG55:DJ55"/>
    <mergeCell ref="DA55:DF55"/>
    <mergeCell ref="CS45:CY45"/>
    <mergeCell ref="DK50:DP50"/>
    <mergeCell ref="BS49:CY49"/>
    <mergeCell ref="BU43:CC43"/>
    <mergeCell ref="DG56:DJ56"/>
    <mergeCell ref="AD49:AN49"/>
    <mergeCell ref="AD50:AN50"/>
    <mergeCell ref="DA49:DJ49"/>
    <mergeCell ref="AO53:AX53"/>
    <mergeCell ref="AO52:AX52"/>
    <mergeCell ref="AO51:AX51"/>
    <mergeCell ref="AO50:AX50"/>
    <mergeCell ref="AO49:AX49"/>
    <mergeCell ref="CD40:CJ40"/>
    <mergeCell ref="BS53:CF53"/>
    <mergeCell ref="CK42:CR42"/>
    <mergeCell ref="CK50:CY50"/>
    <mergeCell ref="CK51:CY51"/>
    <mergeCell ref="CK52:CY52"/>
    <mergeCell ref="CK53:CY53"/>
    <mergeCell ref="CD45:CJ45"/>
    <mergeCell ref="AY44:BR45"/>
    <mergeCell ref="BS44:BT45"/>
    <mergeCell ref="BU44:CC45"/>
    <mergeCell ref="CK44:CR45"/>
    <mergeCell ref="CZ40:DF40"/>
    <mergeCell ref="CZ41:DF41"/>
    <mergeCell ref="DG52:DJ52"/>
    <mergeCell ref="DA52:DF52"/>
    <mergeCell ref="BS54:CF54"/>
    <mergeCell ref="BS55:CF55"/>
    <mergeCell ref="DL55:DT55"/>
    <mergeCell ref="DQ51:DT51"/>
    <mergeCell ref="DQ52:DT52"/>
    <mergeCell ref="DQ53:DT53"/>
    <mergeCell ref="DK52:DP52"/>
    <mergeCell ref="DQ50:DT50"/>
    <mergeCell ref="DK53:DP53"/>
    <mergeCell ref="DK51:DP51"/>
    <mergeCell ref="DG42:DM42"/>
    <mergeCell ref="CS40:CY40"/>
    <mergeCell ref="CS41:CY41"/>
    <mergeCell ref="BS43:BT43"/>
    <mergeCell ref="CZ46:DF46"/>
    <mergeCell ref="DG43:DM43"/>
    <mergeCell ref="CK43:CR43"/>
    <mergeCell ref="CK46:CR46"/>
    <mergeCell ref="CZ43:DF43"/>
    <mergeCell ref="DG40:DM40"/>
    <mergeCell ref="DG41:DM41"/>
    <mergeCell ref="CK40:CR40"/>
    <mergeCell ref="CK41:CR41"/>
    <mergeCell ref="DN41:DT41"/>
    <mergeCell ref="DN42:DT42"/>
    <mergeCell ref="CZ42:DF42"/>
    <mergeCell ref="DN44:DT45"/>
    <mergeCell ref="CZ47:DF47"/>
    <mergeCell ref="DG47:DM47"/>
    <mergeCell ref="DN47:DT47"/>
    <mergeCell ref="DG45:DM45"/>
    <mergeCell ref="A36:AC37"/>
    <mergeCell ref="AD36:AN37"/>
    <mergeCell ref="BU40:CC40"/>
    <mergeCell ref="BU41:CC41"/>
    <mergeCell ref="BU42:CC42"/>
    <mergeCell ref="BS40:BT40"/>
    <mergeCell ref="AY42:BR42"/>
    <mergeCell ref="DN43:DT43"/>
    <mergeCell ref="DN46:DT46"/>
    <mergeCell ref="DG38:DM38"/>
    <mergeCell ref="DG36:DM36"/>
    <mergeCell ref="DN36:DT36"/>
    <mergeCell ref="CZ37:DF37"/>
    <mergeCell ref="DG37:DM37"/>
    <mergeCell ref="DN37:DT37"/>
    <mergeCell ref="CZ38:DF39"/>
    <mergeCell ref="DG39:DM39"/>
    <mergeCell ref="DN39:DT39"/>
    <mergeCell ref="CZ44:DF45"/>
    <mergeCell ref="DN40:DT40"/>
    <mergeCell ref="A38:AC39"/>
    <mergeCell ref="AD38:AN39"/>
    <mergeCell ref="AO38:AX39"/>
    <mergeCell ref="AY38:BR39"/>
    <mergeCell ref="A48:AC48"/>
    <mergeCell ref="A43:AC43"/>
    <mergeCell ref="AD41:AN41"/>
    <mergeCell ref="AD42:AN42"/>
    <mergeCell ref="AD43:AN43"/>
    <mergeCell ref="AD48:AN48"/>
    <mergeCell ref="A40:AC40"/>
    <mergeCell ref="AD40:AN40"/>
    <mergeCell ref="AO40:AX40"/>
    <mergeCell ref="AO43:AX43"/>
    <mergeCell ref="AO42:AX42"/>
    <mergeCell ref="A42:AC42"/>
    <mergeCell ref="AO41:AX41"/>
    <mergeCell ref="AD44:AN45"/>
    <mergeCell ref="AO44:AX45"/>
    <mergeCell ref="AO48:AX48"/>
    <mergeCell ref="AY31:BR31"/>
    <mergeCell ref="BS41:BT41"/>
    <mergeCell ref="CD37:CJ37"/>
    <mergeCell ref="CK37:CR37"/>
    <mergeCell ref="AY30:BR30"/>
    <mergeCell ref="A30:AC30"/>
    <mergeCell ref="AO34:AX34"/>
    <mergeCell ref="AO35:AX35"/>
    <mergeCell ref="A31:AC31"/>
    <mergeCell ref="AO30:AX30"/>
    <mergeCell ref="AO31:AX31"/>
    <mergeCell ref="AD31:AN31"/>
    <mergeCell ref="AD30:AN30"/>
    <mergeCell ref="AY35:BR35"/>
    <mergeCell ref="AY34:BR34"/>
    <mergeCell ref="AD35:AN35"/>
    <mergeCell ref="AD34:AN34"/>
    <mergeCell ref="A34:AC34"/>
    <mergeCell ref="A35:AC35"/>
    <mergeCell ref="BS32:BT33"/>
    <mergeCell ref="BU32:CC33"/>
    <mergeCell ref="CD32:CJ33"/>
    <mergeCell ref="AY41:BR41"/>
    <mergeCell ref="CD36:CJ36"/>
    <mergeCell ref="AY50:BR50"/>
    <mergeCell ref="AY49:BR49"/>
    <mergeCell ref="AY48:BR48"/>
    <mergeCell ref="DA53:DF53"/>
    <mergeCell ref="CS36:CY36"/>
    <mergeCell ref="CK36:CR36"/>
    <mergeCell ref="BS42:BT42"/>
    <mergeCell ref="CZ36:DF36"/>
    <mergeCell ref="CS37:CY37"/>
    <mergeCell ref="CD47:CJ47"/>
    <mergeCell ref="CK47:CR47"/>
    <mergeCell ref="AY43:BR43"/>
    <mergeCell ref="AY36:BR37"/>
    <mergeCell ref="BS36:BT37"/>
    <mergeCell ref="BU36:CC37"/>
    <mergeCell ref="AY40:BR40"/>
    <mergeCell ref="CS47:CY47"/>
    <mergeCell ref="BS38:BT39"/>
    <mergeCell ref="BU38:CC39"/>
    <mergeCell ref="CD38:CJ39"/>
    <mergeCell ref="CK38:CR39"/>
    <mergeCell ref="CS38:CY39"/>
    <mergeCell ref="A56:AC56"/>
    <mergeCell ref="AD56:AN56"/>
    <mergeCell ref="AO56:AX56"/>
    <mergeCell ref="AY56:BR56"/>
    <mergeCell ref="AD51:AN51"/>
    <mergeCell ref="AD52:AN52"/>
    <mergeCell ref="AD53:AN53"/>
    <mergeCell ref="AD54:AN54"/>
    <mergeCell ref="AD55:AN55"/>
    <mergeCell ref="A55:AC55"/>
    <mergeCell ref="A54:AC54"/>
    <mergeCell ref="A53:AC53"/>
    <mergeCell ref="A52:AC52"/>
    <mergeCell ref="A51:AC51"/>
    <mergeCell ref="AO55:AX55"/>
    <mergeCell ref="AO54:AX54"/>
    <mergeCell ref="AY55:BR55"/>
    <mergeCell ref="AY54:BR54"/>
    <mergeCell ref="AY53:BR53"/>
    <mergeCell ref="AY52:BR52"/>
    <mergeCell ref="AY51:BR51"/>
    <mergeCell ref="A50:AC50"/>
    <mergeCell ref="A49:AC49"/>
    <mergeCell ref="CK34:CR34"/>
    <mergeCell ref="CK35:CR35"/>
    <mergeCell ref="CS32:CY32"/>
    <mergeCell ref="DN38:DT38"/>
    <mergeCell ref="DN31:DT31"/>
    <mergeCell ref="A1:AD1"/>
    <mergeCell ref="AG1:BZ1"/>
    <mergeCell ref="CC1:DU1"/>
    <mergeCell ref="A3:T3"/>
    <mergeCell ref="X3:AX3"/>
    <mergeCell ref="AZ3:BW3"/>
    <mergeCell ref="BY3:DA3"/>
    <mergeCell ref="A2:T2"/>
    <mergeCell ref="CL2:DJ2"/>
    <mergeCell ref="AP2:BE2"/>
    <mergeCell ref="V2:AN2"/>
    <mergeCell ref="DC3:DH3"/>
    <mergeCell ref="DI3:DT3"/>
    <mergeCell ref="BZ2:CH2"/>
    <mergeCell ref="CK32:CR32"/>
    <mergeCell ref="CZ34:DF34"/>
    <mergeCell ref="CZ35:DF35"/>
    <mergeCell ref="BS30:CC30"/>
    <mergeCell ref="CD31:CJ31"/>
    <mergeCell ref="DG32:DM32"/>
    <mergeCell ref="DG34:DM34"/>
    <mergeCell ref="DG35:DM35"/>
    <mergeCell ref="BS31:BT31"/>
    <mergeCell ref="BS34:BT34"/>
    <mergeCell ref="BS35:BT35"/>
    <mergeCell ref="BU35:CC35"/>
    <mergeCell ref="CD30:DT30"/>
    <mergeCell ref="DN34:DT34"/>
    <mergeCell ref="DN35:DT35"/>
    <mergeCell ref="DG31:DM31"/>
    <mergeCell ref="CZ32:DF32"/>
    <mergeCell ref="CZ31:DF31"/>
    <mergeCell ref="CS31:CY31"/>
    <mergeCell ref="CK31:CR31"/>
    <mergeCell ref="BU31:CC31"/>
    <mergeCell ref="BU34:CC34"/>
    <mergeCell ref="CD34:CJ34"/>
    <mergeCell ref="CD35:CJ35"/>
    <mergeCell ref="CS34:CY34"/>
    <mergeCell ref="CS35:CY35"/>
    <mergeCell ref="DN32:DT33"/>
    <mergeCell ref="BS29:DF29"/>
    <mergeCell ref="DR22:DS23"/>
    <mergeCell ref="DR24:DS25"/>
    <mergeCell ref="DT6:DU7"/>
    <mergeCell ref="DT8:DU9"/>
    <mergeCell ref="DT10:DU11"/>
    <mergeCell ref="DT12:DU13"/>
    <mergeCell ref="DT14:DU15"/>
    <mergeCell ref="DT16:DU17"/>
    <mergeCell ref="DT18:DU19"/>
    <mergeCell ref="DT20:DU21"/>
    <mergeCell ref="DT22:DU23"/>
    <mergeCell ref="DT24:DU25"/>
    <mergeCell ref="DR6:DS7"/>
    <mergeCell ref="DR8:DS9"/>
    <mergeCell ref="DR10:DS11"/>
    <mergeCell ref="DR12:DS13"/>
    <mergeCell ref="DR14:DS15"/>
    <mergeCell ref="DR16:DS17"/>
    <mergeCell ref="DR18:DS19"/>
    <mergeCell ref="DR20:DS21"/>
  </mergeCells>
  <pageMargins left="0.5" right="0.5" top="0.5" bottom="0.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ellIs" priority="903" operator="equal" id="{2990ADC8-3FFC-4027-BDEE-96635F59FB48}">
            <xm:f>'1-Hull'!$AA$62</xm:f>
            <x14:dxf>
              <fill>
                <patternFill patternType="lightUp"/>
              </fill>
            </x14:dxf>
          </x14:cfRule>
          <x14:cfRule type="cellIs" priority="904" operator="equal" id="{F2FB2DCB-C3D3-4865-9702-04CA4D09D766}">
            <xm:f>'1-Hull'!$Z$62</xm:f>
            <x14:dxf>
              <fill>
                <patternFill patternType="lightUp"/>
              </fill>
            </x14:dxf>
          </x14:cfRule>
          <x14:cfRule type="cellIs" priority="905" operator="equal" id="{65FB2519-F8E8-46B1-9BE9-06D1E70D05F7}">
            <xm:f>'1-Hull'!$Y$62</xm:f>
            <x14:dxf>
              <fill>
                <patternFill patternType="lightUp"/>
              </fill>
            </x14:dxf>
          </x14:cfRule>
          <x14:cfRule type="cellIs" priority="906" operator="equal" id="{9E07C7CA-A4DA-4572-B54B-0BC99CFB03EC}">
            <xm:f>'1-Hull'!$X$62</xm:f>
            <x14:dxf>
              <fill>
                <patternFill patternType="lightUp"/>
              </fill>
            </x14:dxf>
          </x14:cfRule>
          <x14:cfRule type="cellIs" priority="907" operator="equal" id="{0E24A3B6-A2C4-4265-92E6-185327F81846}">
            <xm:f>'1-Hull'!$W$62</xm:f>
            <x14:dxf>
              <fill>
                <patternFill patternType="lightUp"/>
              </fill>
            </x14:dxf>
          </x14:cfRule>
          <x14:cfRule type="cellIs" priority="908" operator="equal" id="{8A70CAEE-6272-4E77-85A5-978B080608FE}">
            <xm:f>'1-Hull'!$V$62</xm:f>
            <x14:dxf>
              <fill>
                <patternFill patternType="lightUp"/>
              </fill>
            </x14:dxf>
          </x14:cfRule>
          <x14:cfRule type="cellIs" priority="909" operator="equal" id="{34DC8DDF-9203-4773-9019-54681488DBCC}">
            <xm:f>'1-Hull'!$U$62</xm:f>
            <x14:dxf>
              <fill>
                <patternFill patternType="lightUp"/>
              </fill>
            </x14:dxf>
          </x14:cfRule>
          <x14:cfRule type="cellIs" priority="910" operator="equal" id="{7581758E-A91C-4621-8E1E-369153023414}">
            <xm:f>'1-Hull'!$T$62</xm:f>
            <x14:dxf>
              <fill>
                <patternFill patternType="lightUp"/>
              </fill>
            </x14:dxf>
          </x14:cfRule>
          <x14:cfRule type="cellIs" priority="911" operator="equal" id="{798A12A7-CB60-4AA7-8F7B-160DD877683C}">
            <xm:f>'1-Hull'!$S$62</xm:f>
            <x14:dxf>
              <fill>
                <patternFill patternType="lightUp"/>
              </fill>
            </x14:dxf>
          </x14:cfRule>
          <x14:cfRule type="cellIs" priority="912" operator="greaterThan" id="{161FBEF1-AFDD-448F-99D4-77AE0D0BEB45}">
            <xm:f>'1-Hull'!$S$60</xm:f>
            <x14:dxf>
              <font>
                <color theme="0" tint="-0.24994659260841701"/>
              </font>
              <fill>
                <patternFill>
                  <bgColor theme="0" tint="-0.24994659260841701"/>
                </patternFill>
              </fill>
            </x14:dxf>
          </x14:cfRule>
          <xm:sqref>A4:DP28</xm:sqref>
        </x14:conditionalFormatting>
        <x14:conditionalFormatting xmlns:xm="http://schemas.microsoft.com/office/excel/2006/main">
          <x14:cfRule type="expression" priority="1" id="{04080096-B8F3-4E7B-814F-83FFB884DBD1}">
            <xm:f>'1-Hull'!$D$7&lt;31000</xm:f>
            <x14:dxf>
              <fill>
                <patternFill>
                  <bgColor theme="0" tint="-0.499984740745262"/>
                </patternFill>
              </fill>
            </x14:dxf>
          </x14:cfRule>
          <xm:sqref>DR6:DS25</xm:sqref>
        </x14:conditionalFormatting>
        <x14:conditionalFormatting xmlns:xm="http://schemas.microsoft.com/office/excel/2006/main">
          <x14:cfRule type="expression" priority="2" id="{E2D67B7A-B2DB-4E6A-BE69-7D0D3D06F623}">
            <xm:f>'1-Hull'!$D$7&lt;3100</xm:f>
            <x14:dxf>
              <fill>
                <patternFill>
                  <bgColor theme="0" tint="-0.499984740745262"/>
                </patternFill>
              </fill>
            </x14:dxf>
          </x14:cfRule>
          <xm:sqref>DT6:DU25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A653-63AA-4017-8998-E2E85094350F}">
  <sheetPr>
    <tabColor rgb="FF00B050"/>
  </sheetPr>
  <dimension ref="A1:S76"/>
  <sheetViews>
    <sheetView workbookViewId="0">
      <selection activeCell="B4" sqref="B4"/>
    </sheetView>
  </sheetViews>
  <sheetFormatPr baseColWidth="10" defaultColWidth="8.83203125" defaultRowHeight="15"/>
  <cols>
    <col min="1" max="1" width="24.1640625" customWidth="1"/>
    <col min="2" max="2" width="32.1640625" customWidth="1"/>
    <col min="3" max="3" width="13.33203125" customWidth="1"/>
    <col min="4" max="4" width="9.1640625" customWidth="1"/>
    <col min="5" max="5" width="17.1640625" customWidth="1"/>
    <col min="6" max="6" width="3.6640625" customWidth="1"/>
    <col min="7" max="7" width="20.6640625" customWidth="1"/>
    <col min="8" max="8" width="13" customWidth="1"/>
    <col min="9" max="9" width="12.6640625" customWidth="1"/>
    <col min="10" max="10" width="10.33203125" customWidth="1"/>
    <col min="12" max="13" width="9.1640625" customWidth="1"/>
    <col min="17" max="17" width="9.1640625" customWidth="1"/>
  </cols>
  <sheetData>
    <row r="1" spans="1:19" ht="16" thickBot="1">
      <c r="A1" s="3" t="str">
        <f>IF($F$5,"Ship's Class Name",IF($F$6,"Station's Class Name",IF($F$7,"Module's Class Name","Ship's Class Name")))</f>
        <v>Ship's Class Name</v>
      </c>
      <c r="B1" s="197" t="s">
        <v>2456</v>
      </c>
      <c r="G1" s="6" t="s">
        <v>1</v>
      </c>
      <c r="I1" s="787" t="s">
        <v>46</v>
      </c>
      <c r="J1" s="787"/>
      <c r="L1" s="787" t="s">
        <v>47</v>
      </c>
      <c r="M1" s="787"/>
      <c r="S1" s="119" t="s">
        <v>99</v>
      </c>
    </row>
    <row r="2" spans="1:19" ht="16" thickBot="1">
      <c r="A2" s="3" t="s">
        <v>432</v>
      </c>
      <c r="B2" s="197" t="s">
        <v>2458</v>
      </c>
      <c r="E2" s="7" t="s">
        <v>0</v>
      </c>
      <c r="F2" s="198">
        <v>14</v>
      </c>
      <c r="G2" s="4">
        <f>SUM('1-Hull'!F4,'2-Drives'!F5,'3-Pwr Plant'!F5,'4-Fuel'!F5,'5-Bridge'!F5,'6-Comp'!F5,'7-Sensors'!F5,'8a-Weapons'!L5,'8b-Screens'!F5,'9a-Optional'!F5,'9b-Optional'!F5,'11-Staterooms'!F5,'12-Cargo'!F5)*IF(F3="No",1,0.9)</f>
        <v>621511800.00000012</v>
      </c>
      <c r="I2" s="1" t="s">
        <v>403</v>
      </c>
      <c r="J2" s="1" t="s">
        <v>27</v>
      </c>
      <c r="L2" s="1" t="s">
        <v>403</v>
      </c>
      <c r="M2" s="800" t="s">
        <v>27</v>
      </c>
      <c r="N2" s="800"/>
      <c r="S2" s="119" t="s">
        <v>100</v>
      </c>
    </row>
    <row r="3" spans="1:19" ht="16" thickBot="1">
      <c r="E3" s="7" t="s">
        <v>1067</v>
      </c>
      <c r="F3" s="197" t="s">
        <v>100</v>
      </c>
      <c r="I3" s="10">
        <f>J3-'1-Hull'!S57-'2-Drives'!S63-'3-Pwr Plant'!S38-'4-Fuel'!S20-'5-Bridge'!S17-'7-Sensors'!S14-'8a-Weapons'!N9-'8b-Screens'!S40-'9a-Optional'!S29-'9b-Optional'!S10-'11-Staterooms'!S26-'12-Cargo'!S19</f>
        <v>2.6000000000000227</v>
      </c>
      <c r="J3" s="270">
        <f>'1-Hull'!I6</f>
        <v>300</v>
      </c>
      <c r="L3" s="270">
        <f>M3-'2-Drives'!S66-'7-Sensors'!S17-'8a-Weapons'!Q9-'8b-Screens'!S43-'1-Hull'!T57-'9a-Optional'!S32-'9b-Optional'!S13-'11-Staterooms'!S30-'12-Cargo'!S22-'4-Fuel'!S23-'6-Comp'!S101</f>
        <v>7</v>
      </c>
      <c r="M3" s="801">
        <f>'3-Pwr Plant'!L6</f>
        <v>250</v>
      </c>
      <c r="N3" s="801"/>
    </row>
    <row r="4" spans="1:19" ht="16" thickBot="1">
      <c r="A4" s="3" t="str">
        <f>IF($F$5,"Ship's Name",IF($F$6,"Station's Name",IF($F$7,"Base Ship's Class Name","Ship's Name")))</f>
        <v>Ship's Name</v>
      </c>
      <c r="B4" s="199"/>
      <c r="L4" s="7" t="s">
        <v>406</v>
      </c>
      <c r="M4" s="801" t="str">
        <f>'3-Pwr Plant'!L15</f>
        <v xml:space="preserve"> </v>
      </c>
      <c r="N4" s="801"/>
    </row>
    <row r="5" spans="1:19" ht="16" thickBot="1">
      <c r="B5" s="7" t="s">
        <v>1468</v>
      </c>
      <c r="C5" s="198">
        <v>1500</v>
      </c>
      <c r="E5" t="s">
        <v>1463</v>
      </c>
      <c r="F5" s="119">
        <f>IF(E6="Ship",1,0)</f>
        <v>1</v>
      </c>
      <c r="L5" s="7" t="s">
        <v>407</v>
      </c>
      <c r="M5" s="801">
        <f>'3-Pwr Plant'!L18</f>
        <v>0</v>
      </c>
      <c r="N5" s="801"/>
    </row>
    <row r="6" spans="1:19" ht="16" thickBot="1">
      <c r="B6" s="7" t="s">
        <v>1464</v>
      </c>
      <c r="C6" s="198">
        <v>6</v>
      </c>
      <c r="E6" s="197" t="s">
        <v>1561</v>
      </c>
      <c r="F6" s="119">
        <f>IF(E6="Station",1,0)</f>
        <v>0</v>
      </c>
      <c r="G6" s="494"/>
      <c r="H6" s="495" t="str">
        <f>"* Is module a fully spaceworthy pod?"</f>
        <v>* Is module a fully spaceworthy pod?</v>
      </c>
      <c r="I6" s="496" t="s">
        <v>99</v>
      </c>
    </row>
    <row r="7" spans="1:19" ht="15" customHeight="1" thickBot="1">
      <c r="A7" s="3" t="s">
        <v>583</v>
      </c>
      <c r="D7" s="113"/>
      <c r="F7" s="119">
        <f>IF(E6="Module",1,0)</f>
        <v>0</v>
      </c>
      <c r="G7" s="1" t="s">
        <v>1004</v>
      </c>
    </row>
    <row r="8" spans="1:19" ht="15" customHeight="1" thickTop="1">
      <c r="A8" s="804"/>
      <c r="B8" s="805"/>
      <c r="C8" s="806"/>
      <c r="D8" s="113"/>
      <c r="E8" s="192" t="s">
        <v>1002</v>
      </c>
      <c r="F8" s="193"/>
      <c r="G8" s="194" t="s">
        <v>1</v>
      </c>
      <c r="H8" s="194" t="s">
        <v>117</v>
      </c>
      <c r="I8" s="194" t="s">
        <v>55</v>
      </c>
      <c r="K8" s="275" t="s">
        <v>1469</v>
      </c>
      <c r="L8" s="788" t="s">
        <v>1486</v>
      </c>
      <c r="M8" s="789"/>
      <c r="N8" s="789"/>
      <c r="O8" s="789"/>
      <c r="P8" s="789"/>
      <c r="Q8" s="790"/>
    </row>
    <row r="9" spans="1:19">
      <c r="A9" s="807"/>
      <c r="B9" s="808"/>
      <c r="C9" s="809"/>
      <c r="D9" s="113"/>
      <c r="E9" s="136" t="s">
        <v>574</v>
      </c>
      <c r="F9" s="137"/>
      <c r="G9" s="189">
        <f>'1-Hull'!F4</f>
        <v>51000000</v>
      </c>
      <c r="H9" s="318">
        <f>'1-Hull'!S57</f>
        <v>0</v>
      </c>
      <c r="I9" s="318">
        <f>'1-Hull'!T57</f>
        <v>60</v>
      </c>
      <c r="K9" s="276" t="s">
        <v>1483</v>
      </c>
      <c r="L9" s="791"/>
      <c r="M9" s="792"/>
      <c r="N9" s="792"/>
      <c r="O9" s="792"/>
      <c r="P9" s="792"/>
      <c r="Q9" s="793"/>
    </row>
    <row r="10" spans="1:19">
      <c r="A10" s="807"/>
      <c r="B10" s="808"/>
      <c r="C10" s="809"/>
      <c r="D10" s="113"/>
      <c r="E10" s="92" t="s">
        <v>1003</v>
      </c>
      <c r="F10" s="46"/>
      <c r="G10" s="190">
        <f>'2-Drives'!F5</f>
        <v>144750000</v>
      </c>
      <c r="H10" s="319">
        <f>'2-Drives'!S63</f>
        <v>32.9</v>
      </c>
      <c r="I10" s="319">
        <f>'2-Drives'!S66</f>
        <v>135</v>
      </c>
      <c r="K10" s="277" t="str">
        <f>IF(K21=5,"*A*","A")</f>
        <v>A</v>
      </c>
      <c r="L10" s="123"/>
      <c r="M10" s="123"/>
      <c r="N10" s="123"/>
      <c r="O10" s="123"/>
      <c r="P10" s="123"/>
      <c r="Q10" s="284"/>
    </row>
    <row r="11" spans="1:19">
      <c r="A11" s="807"/>
      <c r="B11" s="808"/>
      <c r="C11" s="809"/>
      <c r="D11" s="113"/>
      <c r="E11" s="136" t="s">
        <v>64</v>
      </c>
      <c r="F11" s="137"/>
      <c r="G11" s="189">
        <f>'3-Pwr Plant'!F5</f>
        <v>41666666.666666672</v>
      </c>
      <c r="H11" s="318">
        <f>'3-Pwr Plant'!S38</f>
        <v>15</v>
      </c>
      <c r="I11" s="318" t="s">
        <v>579</v>
      </c>
      <c r="K11" s="278" t="str">
        <f>IF(K21=4,"*B*","B")</f>
        <v>B</v>
      </c>
      <c r="L11" s="123"/>
      <c r="M11" s="123"/>
      <c r="N11" s="123"/>
      <c r="O11" s="123"/>
      <c r="P11" s="123"/>
      <c r="Q11" s="282"/>
    </row>
    <row r="12" spans="1:19">
      <c r="A12" s="807"/>
      <c r="B12" s="808"/>
      <c r="C12" s="809"/>
      <c r="D12" s="113"/>
      <c r="E12" s="92" t="s">
        <v>67</v>
      </c>
      <c r="F12" s="46"/>
      <c r="G12" s="190">
        <f>'4-Fuel'!F5</f>
        <v>250000</v>
      </c>
      <c r="H12" s="319">
        <f>'4-Fuel'!S20</f>
        <v>97</v>
      </c>
      <c r="I12" s="319">
        <f>'4-Fuel'!S23</f>
        <v>5</v>
      </c>
      <c r="K12" s="279" t="str">
        <f>IF(K21=3,"*C*","C")</f>
        <v>C</v>
      </c>
      <c r="L12" s="123"/>
      <c r="M12" s="123"/>
      <c r="N12" s="123"/>
      <c r="O12" s="123"/>
      <c r="P12" s="123"/>
      <c r="Q12" s="282"/>
    </row>
    <row r="13" spans="1:19">
      <c r="A13" s="807"/>
      <c r="B13" s="808"/>
      <c r="C13" s="809"/>
      <c r="D13" s="113"/>
      <c r="E13" s="136" t="s">
        <v>78</v>
      </c>
      <c r="F13" s="137"/>
      <c r="G13" s="189">
        <f>'5-Bridge'!F5</f>
        <v>1875000</v>
      </c>
      <c r="H13" s="318">
        <f>'5-Bridge'!S17</f>
        <v>20</v>
      </c>
      <c r="I13" s="318">
        <v>0</v>
      </c>
      <c r="K13" s="280" t="str">
        <f>IF(K21=2,"*D*","D")</f>
        <v>D</v>
      </c>
      <c r="L13" s="123"/>
      <c r="M13" s="123"/>
      <c r="N13" s="123"/>
      <c r="O13" s="123"/>
      <c r="P13" s="123"/>
      <c r="Q13" s="282"/>
    </row>
    <row r="14" spans="1:19">
      <c r="A14" s="807"/>
      <c r="B14" s="808"/>
      <c r="C14" s="809"/>
      <c r="D14" s="113"/>
      <c r="E14" s="92" t="s">
        <v>90</v>
      </c>
      <c r="F14" s="46"/>
      <c r="G14" s="190">
        <f>'6-Comp'!F5</f>
        <v>209000000</v>
      </c>
      <c r="H14" s="319">
        <v>0</v>
      </c>
      <c r="I14" s="319">
        <v>0</v>
      </c>
      <c r="K14" s="281" t="str">
        <f>IF(K21=1,"*E*","E")</f>
        <v>*E*</v>
      </c>
      <c r="L14" s="123"/>
      <c r="M14" s="123"/>
      <c r="N14" s="123"/>
      <c r="O14" s="123"/>
      <c r="P14" s="123"/>
      <c r="Q14" s="283"/>
    </row>
    <row r="15" spans="1:19" ht="15" customHeight="1">
      <c r="A15" s="807"/>
      <c r="B15" s="808"/>
      <c r="C15" s="809"/>
      <c r="D15" s="113"/>
      <c r="E15" s="136" t="s">
        <v>609</v>
      </c>
      <c r="F15" s="137"/>
      <c r="G15" s="189">
        <f>'7-Sensors'!F5</f>
        <v>49500000</v>
      </c>
      <c r="H15" s="318">
        <f>'7-Sensors'!S14</f>
        <v>32</v>
      </c>
      <c r="I15" s="318">
        <f>'7-Sensors'!S17</f>
        <v>21</v>
      </c>
      <c r="K15" s="273"/>
      <c r="L15" s="794" t="s">
        <v>609</v>
      </c>
      <c r="M15" s="797" t="s">
        <v>639</v>
      </c>
      <c r="N15" s="794" t="s">
        <v>1484</v>
      </c>
      <c r="O15" s="797" t="s">
        <v>1460</v>
      </c>
      <c r="P15" s="794" t="s">
        <v>1454</v>
      </c>
      <c r="Q15" s="784" t="s">
        <v>1485</v>
      </c>
    </row>
    <row r="16" spans="1:19" ht="15" customHeight="1">
      <c r="A16" s="807"/>
      <c r="B16" s="808"/>
      <c r="C16" s="809"/>
      <c r="D16" s="113"/>
      <c r="E16" s="92" t="s">
        <v>307</v>
      </c>
      <c r="F16" s="46"/>
      <c r="G16" s="190">
        <f>'8a-Weapons'!L5</f>
        <v>15750000</v>
      </c>
      <c r="H16" s="319">
        <f>'8a-Weapons'!N9</f>
        <v>3</v>
      </c>
      <c r="I16" s="319">
        <f>'8a-Weapons'!Q9</f>
        <v>21</v>
      </c>
      <c r="K16" s="273"/>
      <c r="L16" s="795"/>
      <c r="M16" s="798"/>
      <c r="N16" s="795"/>
      <c r="O16" s="798"/>
      <c r="P16" s="795"/>
      <c r="Q16" s="785"/>
    </row>
    <row r="17" spans="1:18">
      <c r="A17" s="807"/>
      <c r="B17" s="808"/>
      <c r="C17" s="809"/>
      <c r="D17" s="113"/>
      <c r="E17" s="136" t="s">
        <v>936</v>
      </c>
      <c r="F17" s="137"/>
      <c r="G17" s="189">
        <f>'8b-Screens'!F5</f>
        <v>0</v>
      </c>
      <c r="H17" s="318">
        <f>'8b-Screens'!S40</f>
        <v>0</v>
      </c>
      <c r="I17" s="318">
        <f>'8b-Screens'!S43</f>
        <v>0</v>
      </c>
      <c r="K17" s="273"/>
      <c r="L17" s="795"/>
      <c r="M17" s="798"/>
      <c r="N17" s="795"/>
      <c r="O17" s="798"/>
      <c r="P17" s="795"/>
      <c r="Q17" s="785"/>
    </row>
    <row r="18" spans="1:18">
      <c r="A18" s="807"/>
      <c r="B18" s="808"/>
      <c r="C18" s="809"/>
      <c r="D18" s="113"/>
      <c r="E18" s="92" t="s">
        <v>637</v>
      </c>
      <c r="F18" s="46"/>
      <c r="G18" s="190">
        <f>'9a-Optional'!F5+'9b-Optional'!F5</f>
        <v>171965000</v>
      </c>
      <c r="H18" s="319">
        <f>'9a-Optional'!S29+'9b-Optional'!S10</f>
        <v>49</v>
      </c>
      <c r="I18" s="319">
        <f>'9a-Optional'!S32+'9b-Optional'!S13</f>
        <v>1</v>
      </c>
      <c r="K18" s="273"/>
      <c r="L18" s="795"/>
      <c r="M18" s="798"/>
      <c r="N18" s="795"/>
      <c r="O18" s="798"/>
      <c r="P18" s="795"/>
      <c r="Q18" s="785"/>
    </row>
    <row r="19" spans="1:18" ht="15" customHeight="1" thickBot="1">
      <c r="A19" s="810"/>
      <c r="B19" s="811"/>
      <c r="C19" s="812"/>
      <c r="D19" s="29"/>
      <c r="E19" s="136" t="s">
        <v>613</v>
      </c>
      <c r="F19" s="137"/>
      <c r="G19" s="189">
        <f>'11-Staterooms'!F5</f>
        <v>4712000</v>
      </c>
      <c r="H19" s="318">
        <f>'11-Staterooms'!S26</f>
        <v>35</v>
      </c>
      <c r="I19" s="318">
        <f>'11-Staterooms'!S30</f>
        <v>0</v>
      </c>
      <c r="K19" s="273"/>
      <c r="L19" s="795"/>
      <c r="M19" s="798"/>
      <c r="N19" s="795"/>
      <c r="O19" s="798"/>
      <c r="P19" s="795"/>
      <c r="Q19" s="785"/>
      <c r="R19" s="271"/>
    </row>
    <row r="20" spans="1:18" ht="16" thickBot="1">
      <c r="A20" s="2"/>
      <c r="E20" s="141" t="s">
        <v>610</v>
      </c>
      <c r="F20" s="79"/>
      <c r="G20" s="191">
        <f>'12-Cargo'!F5</f>
        <v>100000</v>
      </c>
      <c r="H20" s="320">
        <f>'12-Cargo'!S19</f>
        <v>13.5</v>
      </c>
      <c r="I20" s="320">
        <f>'12-Cargo'!S22</f>
        <v>0</v>
      </c>
      <c r="K20" s="274"/>
      <c r="L20" s="796"/>
      <c r="M20" s="799"/>
      <c r="N20" s="796"/>
      <c r="O20" s="799"/>
      <c r="P20" s="796"/>
      <c r="Q20" s="786"/>
    </row>
    <row r="21" spans="1:18" ht="17" thickTop="1" thickBot="1">
      <c r="K21" s="119">
        <f>MIN(L21:Q21)</f>
        <v>1</v>
      </c>
      <c r="L21" s="119">
        <f>'7-Sensors'!W41</f>
        <v>5</v>
      </c>
      <c r="M21" s="119">
        <f>'9b-Optional'!T101</f>
        <v>1</v>
      </c>
      <c r="N21" s="119">
        <f>'9b-Optional'!T108</f>
        <v>3</v>
      </c>
      <c r="O21" s="119">
        <f>'9b-Optional'!T98</f>
        <v>1</v>
      </c>
      <c r="P21" s="119">
        <f>'9b-Optional'!T94</f>
        <v>2</v>
      </c>
      <c r="Q21" s="119">
        <f>'9b-Optional'!T115</f>
        <v>2</v>
      </c>
    </row>
    <row r="22" spans="1:18" ht="16" thickBot="1">
      <c r="A22" s="802" t="s">
        <v>2141</v>
      </c>
      <c r="B22" s="803"/>
      <c r="E22" s="3" t="s">
        <v>1566</v>
      </c>
      <c r="G22" s="197" t="s">
        <v>1572</v>
      </c>
    </row>
    <row r="23" spans="1:18" ht="16" thickBot="1">
      <c r="A23" s="479"/>
      <c r="B23" s="301"/>
      <c r="G23" s="1" t="s">
        <v>1573</v>
      </c>
      <c r="H23" s="285" t="s">
        <v>1574</v>
      </c>
    </row>
    <row r="24" spans="1:18">
      <c r="A24" s="480" t="s">
        <v>2140</v>
      </c>
      <c r="B24" s="483">
        <f>IF(C31="Yes",0,G2/240)</f>
        <v>2589632.5000000005</v>
      </c>
      <c r="E24" s="291" t="s">
        <v>1567</v>
      </c>
      <c r="F24" s="292"/>
      <c r="G24" s="293">
        <v>0.6</v>
      </c>
      <c r="H24" s="294">
        <v>2</v>
      </c>
      <c r="I24" s="295" t="s">
        <v>1575</v>
      </c>
      <c r="J24" s="292"/>
      <c r="K24" s="292"/>
      <c r="L24" s="292"/>
      <c r="M24" s="296"/>
    </row>
    <row r="25" spans="1:18">
      <c r="A25" s="480" t="s">
        <v>665</v>
      </c>
      <c r="B25" s="483">
        <f>ROUND(G2/12/1000,0)</f>
        <v>51793</v>
      </c>
      <c r="E25" s="297" t="s">
        <v>1568</v>
      </c>
      <c r="G25" s="90">
        <v>0.8</v>
      </c>
      <c r="H25" s="2">
        <v>1.4</v>
      </c>
      <c r="I25" s="78" t="s">
        <v>1576</v>
      </c>
      <c r="K25" s="272"/>
      <c r="L25" s="272"/>
      <c r="M25" s="298"/>
      <c r="O25" s="272"/>
      <c r="P25" s="272"/>
      <c r="Q25" s="272"/>
    </row>
    <row r="26" spans="1:18">
      <c r="A26" s="481" t="s">
        <v>2142</v>
      </c>
      <c r="B26" s="483">
        <f>'11-Staterooms'!F7</f>
        <v>21000</v>
      </c>
      <c r="E26" s="299" t="s">
        <v>1569</v>
      </c>
      <c r="F26" s="22"/>
      <c r="G26" s="188">
        <v>1</v>
      </c>
      <c r="H26" s="27">
        <v>1</v>
      </c>
      <c r="I26" s="80" t="str">
        <f>""</f>
        <v/>
      </c>
      <c r="J26" s="22"/>
      <c r="K26" s="290"/>
      <c r="L26" s="290"/>
      <c r="M26" s="300"/>
      <c r="O26" s="272"/>
      <c r="P26" s="272"/>
      <c r="Q26" s="272"/>
    </row>
    <row r="27" spans="1:18">
      <c r="A27" s="481" t="s">
        <v>2143</v>
      </c>
      <c r="B27" s="483">
        <f>'10-Crew'!G32</f>
        <v>56000</v>
      </c>
      <c r="E27" s="297" t="s">
        <v>1570</v>
      </c>
      <c r="G27" s="90">
        <v>1.25</v>
      </c>
      <c r="H27" s="2">
        <v>0.9</v>
      </c>
      <c r="I27" s="78" t="str">
        <f>""</f>
        <v/>
      </c>
      <c r="M27" s="301"/>
    </row>
    <row r="28" spans="1:18">
      <c r="A28" s="481"/>
      <c r="B28" s="483"/>
      <c r="E28" s="299" t="s">
        <v>1571</v>
      </c>
      <c r="F28" s="22"/>
      <c r="G28" s="188">
        <v>1.5</v>
      </c>
      <c r="H28" s="27">
        <v>0.75</v>
      </c>
      <c r="I28" s="80" t="s">
        <v>1577</v>
      </c>
      <c r="J28" s="22"/>
      <c r="K28" s="22"/>
      <c r="L28" s="22"/>
      <c r="M28" s="302"/>
    </row>
    <row r="29" spans="1:18" ht="16" thickBot="1">
      <c r="A29" s="482" t="s">
        <v>2144</v>
      </c>
      <c r="B29" s="484">
        <f>SUM(B24:B27)</f>
        <v>2718425.5000000005</v>
      </c>
      <c r="E29" s="303" t="s">
        <v>1572</v>
      </c>
      <c r="F29" s="304"/>
      <c r="G29" s="305">
        <v>2</v>
      </c>
      <c r="H29" s="306">
        <v>0.6</v>
      </c>
      <c r="I29" s="307" t="s">
        <v>1578</v>
      </c>
      <c r="J29" s="304"/>
      <c r="K29" s="304"/>
      <c r="L29" s="304"/>
      <c r="M29" s="308"/>
    </row>
    <row r="30" spans="1:18" ht="16" thickBot="1">
      <c r="A30" s="3"/>
    </row>
    <row r="31" spans="1:18" ht="16" thickBot="1">
      <c r="A31" s="501"/>
      <c r="B31" s="502" t="s">
        <v>2422</v>
      </c>
      <c r="C31" s="522" t="s">
        <v>99</v>
      </c>
      <c r="E31" s="3" t="s">
        <v>1579</v>
      </c>
      <c r="G31" s="1">
        <f>INDEX(E24:I29,MATCH(G22,E24:E29,0),3)</f>
        <v>2</v>
      </c>
      <c r="H31" s="1">
        <f>INDEX(E24:I29,MATCH(G22,E24:E29,0),4)</f>
        <v>0.6</v>
      </c>
      <c r="I31" s="3" t="str">
        <f>INDEX(E24:I29,MATCH(G22,E24:E29,0),5)</f>
        <v>DM+2 on all shipboard tasks</v>
      </c>
    </row>
    <row r="32" spans="1:18">
      <c r="A32" s="501"/>
      <c r="B32" s="502"/>
      <c r="C32" s="501"/>
    </row>
    <row r="33" spans="1:5">
      <c r="A33" s="501"/>
      <c r="B33" s="501"/>
      <c r="C33" s="501"/>
      <c r="E33" t="s">
        <v>1580</v>
      </c>
    </row>
    <row r="34" spans="1:5">
      <c r="A34" s="501"/>
      <c r="B34" s="501"/>
      <c r="C34" s="501"/>
    </row>
    <row r="35" spans="1:5">
      <c r="A35" s="501"/>
      <c r="B35" s="501"/>
      <c r="C35" s="501"/>
      <c r="E35" t="s">
        <v>2177</v>
      </c>
    </row>
    <row r="36" spans="1:5">
      <c r="A36" s="501"/>
      <c r="B36" s="501"/>
      <c r="C36" s="501"/>
      <c r="E36" t="s">
        <v>2179</v>
      </c>
    </row>
    <row r="37" spans="1:5">
      <c r="A37" s="501"/>
      <c r="B37" s="501"/>
      <c r="C37" s="501"/>
    </row>
    <row r="38" spans="1:5" hidden="1">
      <c r="A38" s="501" t="str">
        <f>LEFT(A8,C38)&amp;E38</f>
        <v/>
      </c>
      <c r="B38" s="501"/>
      <c r="C38" s="501">
        <f>IF(MID(A8,D38,1)=" ",D38,IF(MID(A8,D38-1,1)=" ",D38-1,IF(MID(A8,D38-2,1)=" ",D38-2,IF(MID(A8,D38-3,1)=" ",D38-3,IF(MID(A8,D38-4,1)=" ",D38-4,IF(MID(A8,D38-5,1)=" ",D38-5,IF(MID(A8,D38-6,1)=" ",D38-6,IF(MID(A8,D38-7,1)=" ",D38-7,IF(MID(A8,D38-8,1)=" ",D38-8,IF(MID(A8,D38-9,1)=" ",D38-9,IF(MID(A8,D38-10,1)=" ",D38-10,D38-1)))))))))))</f>
        <v>57</v>
      </c>
      <c r="D38">
        <v>58</v>
      </c>
      <c r="E38" t="str">
        <f>IF(D38&gt;LEN($A$8),"",IF(RIGHT(LEFT($A$8,C38),1)=" ","","-"))</f>
        <v/>
      </c>
    </row>
    <row r="39" spans="1:5" hidden="1">
      <c r="A39" s="501" t="str">
        <f>MID($A$8,C38+1,C39-C38)&amp;E39</f>
        <v/>
      </c>
      <c r="B39" s="501"/>
      <c r="C39" s="501">
        <f>IF(MID($A$8,D39,1)=" ",D39,IF(MID($A$8,D39-1,1)=" ",D39-1,IF(MID($A$8,D39-2,1)=" ",D39-2,IF(MID($A$8,D39-3,1)=" ",D39-3,IF(MID($A$8,D39-4,1)=" ",D39-4,IF(MID($A$8,D39-5,1)=" ",D39-5,IF(MID($A$8,D39-6,1)=" ",D39-6,IF(MID($A$8,D39-7,1)=" ",D39-7,IF(MID($A$8,D39-8,1)=" ",D39-8,IF(MID($A$8,D39-9,1)=" ",D39-9,IF(MID($A$8,D39-10,1)=" ",D39-10,D39-1)))))))))))</f>
        <v>115</v>
      </c>
      <c r="D39">
        <f>$D$38+C38+1</f>
        <v>116</v>
      </c>
      <c r="E39" t="str">
        <f t="shared" ref="E39:E57" si="0">IF(D39&gt;LEN($A$8),"",IF(RIGHT(LEFT($A$8,C39),1)=" ","","-"))</f>
        <v/>
      </c>
    </row>
    <row r="40" spans="1:5" hidden="1">
      <c r="A40" s="501" t="str">
        <f>MID($A$8,C39+1,C40-C39)&amp;E40</f>
        <v/>
      </c>
      <c r="B40" s="501"/>
      <c r="C40" s="501">
        <f>IF(MID($A$8,D40,1)=" ",D40,IF(MID($A$8,D40-1,1)=" ",D40-1,IF(MID($A$8,D40-2,1)=" ",D40-2,IF(MID($A$8,D40-3,1)=" ",D40-3,IF(MID($A$8,D40-4,1)=" ",D40-4,IF(MID($A$8,D40-5,1)=" ",D40-5,IF(MID($A$8,D40-6,1)=" ",D40-6,IF(MID($A$8,D40-7,1)=" ",D40-7,IF(MID($A$8,D40-8,1)=" ",D40-8,IF(MID($A$8,D40-9,1)=" ",D40-9,IF(MID($A$8,D40-10,1)=" ",D40-10,D40-1)))))))))))</f>
        <v>173</v>
      </c>
      <c r="D40">
        <f>$D$38+C39+1</f>
        <v>174</v>
      </c>
      <c r="E40" t="str">
        <f t="shared" si="0"/>
        <v/>
      </c>
    </row>
    <row r="41" spans="1:5" hidden="1">
      <c r="A41" s="501" t="str">
        <f t="shared" ref="A41:A57" si="1">MID($A$8,C40+1,C41-C40)&amp;E41</f>
        <v/>
      </c>
      <c r="B41" s="501"/>
      <c r="C41" s="501">
        <f t="shared" ref="C41:C57" si="2">IF(MID($A$8,D41,1)=" ",D41,IF(MID($A$8,D41-1,1)=" ",D41-1,IF(MID($A$8,D41-2,1)=" ",D41-2,IF(MID($A$8,D41-3,1)=" ",D41-3,IF(MID($A$8,D41-4,1)=" ",D41-4,IF(MID($A$8,D41-5,1)=" ",D41-5,IF(MID($A$8,D41-6,1)=" ",D41-6,IF(MID($A$8,D41-7,1)=" ",D41-7,IF(MID($A$8,D41-8,1)=" ",D41-8,IF(MID($A$8,D41-9,1)=" ",D41-9,IF(MID($A$8,D41-10,1)=" ",D41-10,D41-1)))))))))))</f>
        <v>231</v>
      </c>
      <c r="D41">
        <f t="shared" ref="D41:D57" si="3">$D$38+C40+1</f>
        <v>232</v>
      </c>
      <c r="E41" t="str">
        <f t="shared" si="0"/>
        <v/>
      </c>
    </row>
    <row r="42" spans="1:5" hidden="1">
      <c r="A42" s="501" t="str">
        <f t="shared" si="1"/>
        <v/>
      </c>
      <c r="B42" s="501"/>
      <c r="C42" s="501">
        <f t="shared" si="2"/>
        <v>289</v>
      </c>
      <c r="D42">
        <f t="shared" si="3"/>
        <v>290</v>
      </c>
      <c r="E42" t="str">
        <f t="shared" si="0"/>
        <v/>
      </c>
    </row>
    <row r="43" spans="1:5" hidden="1">
      <c r="A43" s="501" t="str">
        <f t="shared" si="1"/>
        <v/>
      </c>
      <c r="B43" s="501"/>
      <c r="C43" s="501">
        <f t="shared" si="2"/>
        <v>347</v>
      </c>
      <c r="D43">
        <f t="shared" si="3"/>
        <v>348</v>
      </c>
      <c r="E43" t="str">
        <f t="shared" si="0"/>
        <v/>
      </c>
    </row>
    <row r="44" spans="1:5" hidden="1">
      <c r="A44" s="501" t="str">
        <f t="shared" si="1"/>
        <v/>
      </c>
      <c r="B44" s="501"/>
      <c r="C44" s="501">
        <f t="shared" si="2"/>
        <v>405</v>
      </c>
      <c r="D44">
        <f t="shared" si="3"/>
        <v>406</v>
      </c>
      <c r="E44" t="str">
        <f t="shared" si="0"/>
        <v/>
      </c>
    </row>
    <row r="45" spans="1:5" hidden="1">
      <c r="A45" s="501" t="str">
        <f t="shared" si="1"/>
        <v/>
      </c>
      <c r="B45" s="501"/>
      <c r="C45" s="501">
        <f t="shared" si="2"/>
        <v>463</v>
      </c>
      <c r="D45">
        <f t="shared" si="3"/>
        <v>464</v>
      </c>
      <c r="E45" t="str">
        <f t="shared" si="0"/>
        <v/>
      </c>
    </row>
    <row r="46" spans="1:5" hidden="1">
      <c r="A46" s="501" t="str">
        <f t="shared" si="1"/>
        <v/>
      </c>
      <c r="B46" s="501"/>
      <c r="C46" s="501">
        <f t="shared" si="2"/>
        <v>521</v>
      </c>
      <c r="D46">
        <f t="shared" si="3"/>
        <v>522</v>
      </c>
      <c r="E46" t="str">
        <f t="shared" si="0"/>
        <v/>
      </c>
    </row>
    <row r="47" spans="1:5" hidden="1">
      <c r="A47" s="501" t="str">
        <f t="shared" si="1"/>
        <v/>
      </c>
      <c r="B47" s="501"/>
      <c r="C47" s="501">
        <f t="shared" si="2"/>
        <v>579</v>
      </c>
      <c r="D47">
        <f t="shared" si="3"/>
        <v>580</v>
      </c>
      <c r="E47" t="str">
        <f t="shared" si="0"/>
        <v/>
      </c>
    </row>
    <row r="48" spans="1:5" hidden="1">
      <c r="A48" s="501" t="str">
        <f t="shared" si="1"/>
        <v/>
      </c>
      <c r="B48" s="501"/>
      <c r="C48" s="501">
        <f t="shared" si="2"/>
        <v>637</v>
      </c>
      <c r="D48">
        <f t="shared" si="3"/>
        <v>638</v>
      </c>
      <c r="E48" t="str">
        <f t="shared" si="0"/>
        <v/>
      </c>
    </row>
    <row r="49" spans="1:5" hidden="1">
      <c r="A49" s="501" t="str">
        <f t="shared" si="1"/>
        <v/>
      </c>
      <c r="B49" s="501"/>
      <c r="C49" s="501">
        <f t="shared" si="2"/>
        <v>695</v>
      </c>
      <c r="D49">
        <f t="shared" si="3"/>
        <v>696</v>
      </c>
      <c r="E49" t="str">
        <f t="shared" si="0"/>
        <v/>
      </c>
    </row>
    <row r="50" spans="1:5" hidden="1">
      <c r="A50" s="501" t="str">
        <f t="shared" si="1"/>
        <v/>
      </c>
      <c r="B50" s="501"/>
      <c r="C50" s="501">
        <f t="shared" si="2"/>
        <v>753</v>
      </c>
      <c r="D50">
        <f t="shared" si="3"/>
        <v>754</v>
      </c>
      <c r="E50" t="str">
        <f t="shared" si="0"/>
        <v/>
      </c>
    </row>
    <row r="51" spans="1:5" hidden="1">
      <c r="A51" s="501" t="str">
        <f t="shared" si="1"/>
        <v/>
      </c>
      <c r="B51" s="501"/>
      <c r="C51" s="501">
        <f t="shared" si="2"/>
        <v>811</v>
      </c>
      <c r="D51">
        <f t="shared" si="3"/>
        <v>812</v>
      </c>
      <c r="E51" t="str">
        <f t="shared" si="0"/>
        <v/>
      </c>
    </row>
    <row r="52" spans="1:5" hidden="1">
      <c r="A52" s="501" t="str">
        <f t="shared" si="1"/>
        <v/>
      </c>
      <c r="B52" s="501"/>
      <c r="C52" s="501">
        <f t="shared" si="2"/>
        <v>869</v>
      </c>
      <c r="D52">
        <f t="shared" si="3"/>
        <v>870</v>
      </c>
      <c r="E52" t="str">
        <f t="shared" si="0"/>
        <v/>
      </c>
    </row>
    <row r="53" spans="1:5" hidden="1">
      <c r="A53" s="501" t="str">
        <f t="shared" si="1"/>
        <v/>
      </c>
      <c r="B53" s="501"/>
      <c r="C53" s="501">
        <f t="shared" si="2"/>
        <v>927</v>
      </c>
      <c r="D53">
        <f t="shared" si="3"/>
        <v>928</v>
      </c>
      <c r="E53" t="str">
        <f t="shared" si="0"/>
        <v/>
      </c>
    </row>
    <row r="54" spans="1:5" hidden="1">
      <c r="A54" s="501" t="str">
        <f t="shared" si="1"/>
        <v/>
      </c>
      <c r="B54" s="501"/>
      <c r="C54" s="501">
        <f t="shared" si="2"/>
        <v>985</v>
      </c>
      <c r="D54">
        <f t="shared" si="3"/>
        <v>986</v>
      </c>
      <c r="E54" t="str">
        <f t="shared" si="0"/>
        <v/>
      </c>
    </row>
    <row r="55" spans="1:5" hidden="1">
      <c r="A55" s="501" t="str">
        <f t="shared" si="1"/>
        <v/>
      </c>
      <c r="B55" s="501"/>
      <c r="C55" s="501">
        <f t="shared" si="2"/>
        <v>1043</v>
      </c>
      <c r="D55">
        <f t="shared" si="3"/>
        <v>1044</v>
      </c>
      <c r="E55" t="str">
        <f t="shared" si="0"/>
        <v/>
      </c>
    </row>
    <row r="56" spans="1:5" hidden="1">
      <c r="A56" s="501" t="str">
        <f t="shared" si="1"/>
        <v/>
      </c>
      <c r="B56" s="501"/>
      <c r="C56" s="501">
        <f t="shared" si="2"/>
        <v>1101</v>
      </c>
      <c r="D56">
        <f t="shared" si="3"/>
        <v>1102</v>
      </c>
      <c r="E56" t="str">
        <f t="shared" si="0"/>
        <v/>
      </c>
    </row>
    <row r="57" spans="1:5" hidden="1">
      <c r="A57" s="501" t="str">
        <f t="shared" si="1"/>
        <v/>
      </c>
      <c r="B57" s="501"/>
      <c r="C57" s="501">
        <f t="shared" si="2"/>
        <v>1159</v>
      </c>
      <c r="D57">
        <f t="shared" si="3"/>
        <v>1160</v>
      </c>
      <c r="E57" t="str">
        <f t="shared" si="0"/>
        <v/>
      </c>
    </row>
    <row r="58" spans="1:5">
      <c r="A58" s="501"/>
      <c r="B58" s="501"/>
      <c r="C58" s="501"/>
    </row>
    <row r="59" spans="1:5">
      <c r="A59" s="501"/>
      <c r="B59" s="501"/>
      <c r="C59" s="501"/>
    </row>
    <row r="60" spans="1:5">
      <c r="A60" s="501"/>
      <c r="B60" s="501"/>
      <c r="C60" s="501"/>
    </row>
    <row r="61" spans="1:5">
      <c r="A61" s="501"/>
      <c r="B61" s="501"/>
      <c r="C61" s="501"/>
    </row>
    <row r="62" spans="1:5">
      <c r="A62" s="501"/>
      <c r="B62" s="501"/>
      <c r="C62" s="501"/>
    </row>
    <row r="63" spans="1:5">
      <c r="A63" s="501"/>
      <c r="B63" s="501"/>
      <c r="C63" s="501"/>
    </row>
    <row r="64" spans="1:5">
      <c r="A64" s="501"/>
      <c r="B64" s="501"/>
      <c r="C64" s="501"/>
    </row>
    <row r="65" spans="1:3">
      <c r="A65" s="501"/>
      <c r="B65" s="501"/>
      <c r="C65" s="501"/>
    </row>
    <row r="66" spans="1:3">
      <c r="A66" s="501"/>
      <c r="B66" s="501"/>
      <c r="C66" s="501"/>
    </row>
    <row r="67" spans="1:3">
      <c r="A67" s="501"/>
      <c r="B67" s="501"/>
      <c r="C67" s="501"/>
    </row>
    <row r="68" spans="1:3">
      <c r="A68" s="501"/>
      <c r="B68" s="501"/>
      <c r="C68" s="501"/>
    </row>
    <row r="69" spans="1:3">
      <c r="A69" s="501"/>
      <c r="B69" s="501"/>
      <c r="C69" s="501"/>
    </row>
    <row r="70" spans="1:3">
      <c r="A70" s="501"/>
      <c r="B70" s="501"/>
      <c r="C70" s="501"/>
    </row>
    <row r="71" spans="1:3">
      <c r="A71" s="501"/>
      <c r="B71" s="501"/>
      <c r="C71" s="501"/>
    </row>
    <row r="72" spans="1:3">
      <c r="A72" s="501"/>
      <c r="B72" s="501"/>
      <c r="C72" s="501"/>
    </row>
    <row r="73" spans="1:3">
      <c r="A73" s="501"/>
      <c r="B73" s="501"/>
      <c r="C73" s="501"/>
    </row>
    <row r="74" spans="1:3">
      <c r="A74" s="501"/>
      <c r="B74" s="501"/>
      <c r="C74" s="501"/>
    </row>
    <row r="75" spans="1:3">
      <c r="A75" s="501"/>
      <c r="B75" s="501"/>
      <c r="C75" s="501"/>
    </row>
    <row r="76" spans="1:3">
      <c r="A76" s="501"/>
      <c r="B76" s="501"/>
      <c r="C76" s="501"/>
    </row>
  </sheetData>
  <sheetProtection algorithmName="SHA-512" hashValue="+PV5IwIsnFzomvUvLSxKVbk90NwtDSbqNw+Yzh91+pv+WeZgB59OOWhbIEOR+bwBj91Raqm03LicmqfbZwxvQg==" saltValue="KKVkTGNixYGSOxXs+xmhhw==" spinCount="100000" sheet="1" selectLockedCells="1"/>
  <mergeCells count="15">
    <mergeCell ref="A22:B22"/>
    <mergeCell ref="I1:J1"/>
    <mergeCell ref="A8:C19"/>
    <mergeCell ref="O15:O20"/>
    <mergeCell ref="P15:P20"/>
    <mergeCell ref="Q15:Q20"/>
    <mergeCell ref="L1:M1"/>
    <mergeCell ref="L8:Q9"/>
    <mergeCell ref="L15:L20"/>
    <mergeCell ref="M15:M20"/>
    <mergeCell ref="N15:N20"/>
    <mergeCell ref="M2:N2"/>
    <mergeCell ref="M3:N3"/>
    <mergeCell ref="M4:N4"/>
    <mergeCell ref="M5:N5"/>
  </mergeCells>
  <conditionalFormatting sqref="A24:B24 C31">
    <cfRule type="expression" dxfId="700" priority="1">
      <formula>$C$31="Yes"</formula>
    </cfRule>
  </conditionalFormatting>
  <conditionalFormatting sqref="A5:C6">
    <cfRule type="expression" dxfId="699" priority="19" stopIfTrue="1">
      <formula>OR($F$5,$F$6)</formula>
    </cfRule>
  </conditionalFormatting>
  <conditionalFormatting sqref="C6">
    <cfRule type="expression" dxfId="697" priority="20">
      <formula>OR(AND($C$5&lt;35,$C$6&gt;1),AND($C$5&lt;70,$C$6&gt;2),AND($C$5&lt;100,$C$6&gt;3),AND($C$5&gt;99.9,$C$6&gt;$C$5/100))</formula>
    </cfRule>
  </conditionalFormatting>
  <conditionalFormatting sqref="G6:I6">
    <cfRule type="expression" dxfId="696" priority="2">
      <formula>$E$6="Module"</formula>
    </cfRule>
  </conditionalFormatting>
  <conditionalFormatting sqref="I3">
    <cfRule type="expression" dxfId="695" priority="25">
      <formula>$I$3&lt;0</formula>
    </cfRule>
  </conditionalFormatting>
  <conditionalFormatting sqref="K8:L8 K9 K10:Q15 K16:K20">
    <cfRule type="expression" dxfId="694" priority="3" stopIfTrue="1">
      <formula>$F$7</formula>
    </cfRule>
    <cfRule type="expression" dxfId="693" priority="4" stopIfTrue="1">
      <formula>$F$5</formula>
    </cfRule>
  </conditionalFormatting>
  <conditionalFormatting sqref="L3">
    <cfRule type="expression" dxfId="692" priority="24">
      <formula>$L$3&lt;0</formula>
    </cfRule>
  </conditionalFormatting>
  <conditionalFormatting sqref="L10:L14">
    <cfRule type="expression" dxfId="691" priority="15">
      <formula>$L$21=5</formula>
    </cfRule>
  </conditionalFormatting>
  <conditionalFormatting sqref="L11:L14">
    <cfRule type="expression" dxfId="690" priority="16">
      <formula>$L$21=4</formula>
    </cfRule>
  </conditionalFormatting>
  <conditionalFormatting sqref="L13:L14">
    <cfRule type="expression" dxfId="689" priority="17">
      <formula>$L$21=2</formula>
    </cfRule>
  </conditionalFormatting>
  <conditionalFormatting sqref="M10:Q14">
    <cfRule type="expression" dxfId="688" priority="9">
      <formula>M$21=5</formula>
    </cfRule>
  </conditionalFormatting>
  <conditionalFormatting sqref="M11:Q14">
    <cfRule type="expression" dxfId="687" priority="8">
      <formula>M$21=4</formula>
    </cfRule>
  </conditionalFormatting>
  <conditionalFormatting sqref="M12:Q14">
    <cfRule type="expression" dxfId="686" priority="7">
      <formula>M$21=3</formula>
    </cfRule>
  </conditionalFormatting>
  <conditionalFormatting sqref="M13:Q14">
    <cfRule type="expression" dxfId="685" priority="6">
      <formula>M$21=2</formula>
    </cfRule>
  </conditionalFormatting>
  <conditionalFormatting sqref="M14:Q14">
    <cfRule type="expression" dxfId="684" priority="10">
      <formula>M$21=1</formula>
    </cfRule>
  </conditionalFormatting>
  <dataValidations count="5">
    <dataValidation type="list" allowBlank="1" showInputMessage="1" showErrorMessage="1" sqref="F3 I6" xr:uid="{3E48F0A7-BC4D-4CD6-82BA-5DB12EBB6B12}">
      <formula1>$S$1:$S$2</formula1>
    </dataValidation>
    <dataValidation type="whole" operator="greaterThanOrEqual" allowBlank="1" showInputMessage="1" showErrorMessage="1" sqref="F2 C5:C6" xr:uid="{7E28C80D-BB8B-442B-B911-C57DA8795D85}">
      <formula1>0</formula1>
    </dataValidation>
    <dataValidation type="list" allowBlank="1" showInputMessage="1" showErrorMessage="1" sqref="E6" xr:uid="{2C65085E-AEE0-4025-BCDA-B5DA9469CD99}">
      <formula1>"Ship,Station,Module"</formula1>
    </dataValidation>
    <dataValidation type="list" allowBlank="1" showInputMessage="1" showErrorMessage="1" sqref="G22" xr:uid="{B29BAF81-CA99-4907-8AED-E3C7A74EB8CB}">
      <formula1>$E$24:$E$29</formula1>
    </dataValidation>
    <dataValidation type="list" allowBlank="1" showInputMessage="1" showErrorMessage="1" sqref="C31" xr:uid="{B1EC7208-6D11-415C-9D13-FEB7EF19F83C}">
      <formula1>"No,Yes"</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1" id="{C3FC2013-9EF4-49CA-8FFB-58F80D328B26}">
            <xm:f>0.75*$C$5&lt;'1-Hull'!$B$4</xm:f>
            <x14:dxf>
              <fill>
                <patternFill>
                  <bgColor rgb="FFFFFF00"/>
                </patternFill>
              </fill>
            </x14:dxf>
          </x14:cfRule>
          <xm:sqref>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6D7E-BDA5-4857-A1BA-2162F12D6F9F}">
  <dimension ref="A1:AD73"/>
  <sheetViews>
    <sheetView workbookViewId="0">
      <selection activeCell="B6" sqref="B6"/>
    </sheetView>
  </sheetViews>
  <sheetFormatPr baseColWidth="10" defaultColWidth="8.83203125" defaultRowHeight="15"/>
  <cols>
    <col min="1" max="1" width="24.1640625" customWidth="1"/>
    <col min="2" max="2" width="32.1640625" customWidth="1"/>
    <col min="3" max="3" width="13.33203125" customWidth="1"/>
    <col min="4" max="4" width="17.1640625" style="2" customWidth="1"/>
    <col min="5" max="5" width="3.6640625" style="2" customWidth="1"/>
    <col min="6" max="6" width="18" customWidth="1"/>
    <col min="8" max="8" width="10.6640625" customWidth="1"/>
    <col min="10" max="10" width="9.6640625" customWidth="1"/>
    <col min="11" max="11" width="10.6640625" customWidth="1"/>
    <col min="12" max="12" width="11.6640625" customWidth="1"/>
    <col min="13" max="13" width="2.33203125" style="67" customWidth="1"/>
    <col min="14" max="14" width="1.33203125" style="67" customWidth="1"/>
    <col min="15" max="15" width="1" style="67" customWidth="1"/>
    <col min="16" max="17" width="1.33203125" style="67" customWidth="1"/>
    <col min="18" max="18" width="1.1640625" style="67" customWidth="1"/>
    <col min="19" max="19" width="19.33203125" style="67" hidden="1" customWidth="1"/>
    <col min="20" max="20" width="13.1640625" style="67" hidden="1" customWidth="1"/>
    <col min="21" max="21" width="13" style="67" hidden="1" customWidth="1"/>
    <col min="22" max="22" width="7.83203125" style="67" hidden="1" customWidth="1"/>
    <col min="23" max="27" width="9.1640625" style="67" hidden="1" customWidth="1"/>
    <col min="28" max="30" width="9.1640625" hidden="1" customWidth="1"/>
  </cols>
  <sheetData>
    <row r="1" spans="1:29">
      <c r="A1" s="3" t="str">
        <f>'Ship Info'!A1</f>
        <v>Ship's Class Name</v>
      </c>
      <c r="B1" t="str">
        <f>'Ship Info'!B1</f>
        <v>Zhodani Long Range Scout</v>
      </c>
      <c r="F1" s="6" t="s">
        <v>1</v>
      </c>
      <c r="S1" s="68" t="s">
        <v>3</v>
      </c>
      <c r="T1" s="68" t="s">
        <v>4</v>
      </c>
      <c r="U1" s="68" t="s">
        <v>5</v>
      </c>
      <c r="V1" s="68" t="s">
        <v>1</v>
      </c>
      <c r="W1" s="68" t="s">
        <v>6</v>
      </c>
      <c r="X1" s="68" t="s">
        <v>7</v>
      </c>
      <c r="Y1" s="69" t="s">
        <v>8</v>
      </c>
      <c r="Z1" s="67" t="s">
        <v>1297</v>
      </c>
    </row>
    <row r="2" spans="1:29">
      <c r="A2" s="3" t="s">
        <v>432</v>
      </c>
      <c r="B2" t="str">
        <f>'Ship Info'!B2</f>
        <v>Scout</v>
      </c>
      <c r="D2" t="s">
        <v>0</v>
      </c>
      <c r="E2" s="2">
        <f>'Ship Info'!F2</f>
        <v>14</v>
      </c>
      <c r="F2" s="4">
        <f>'Ship Info'!G2</f>
        <v>621511800.00000012</v>
      </c>
      <c r="S2" s="67" t="s">
        <v>9</v>
      </c>
      <c r="T2" s="67" t="s">
        <v>10</v>
      </c>
      <c r="U2" s="67">
        <v>1.5</v>
      </c>
      <c r="V2" s="67">
        <v>0.08</v>
      </c>
      <c r="W2" s="67">
        <v>0.65</v>
      </c>
      <c r="X2" s="67">
        <v>4</v>
      </c>
      <c r="Y2" s="67">
        <v>1</v>
      </c>
      <c r="Z2" s="67">
        <v>0</v>
      </c>
      <c r="AB2" t="s">
        <v>770</v>
      </c>
      <c r="AC2" t="s">
        <v>771</v>
      </c>
    </row>
    <row r="3" spans="1:29" ht="16" thickBot="1">
      <c r="B3" s="24" t="str">
        <f>'Ship Info'!G22&amp;" - Costs x "&amp;'Ship Info'!G31</f>
        <v>High Automation - Costs x 2</v>
      </c>
      <c r="F3" s="504" t="s">
        <v>2414</v>
      </c>
      <c r="G3" s="44"/>
      <c r="H3" s="506">
        <f>S57</f>
        <v>0</v>
      </c>
      <c r="I3" s="44"/>
      <c r="J3" s="45"/>
      <c r="K3" s="507">
        <f>T57</f>
        <v>60</v>
      </c>
      <c r="S3" s="67" t="s">
        <v>11</v>
      </c>
      <c r="T3" s="67" t="s">
        <v>12</v>
      </c>
      <c r="U3" s="67">
        <v>1</v>
      </c>
      <c r="V3" s="67">
        <v>0.8</v>
      </c>
      <c r="W3" s="67">
        <v>1</v>
      </c>
      <c r="X3" s="67">
        <f>IF($A$20=$S$41,4,0)</f>
        <v>0</v>
      </c>
      <c r="Y3" s="67">
        <v>1.5</v>
      </c>
      <c r="Z3" s="67">
        <v>0.5</v>
      </c>
      <c r="AA3" s="67" t="s">
        <v>26</v>
      </c>
      <c r="AB3">
        <f>E9</f>
        <v>0</v>
      </c>
      <c r="AC3">
        <f>IF(AB3&gt;E2,1,0)</f>
        <v>0</v>
      </c>
    </row>
    <row r="4" spans="1:29" ht="16" thickBot="1">
      <c r="A4" s="3" t="s">
        <v>2</v>
      </c>
      <c r="B4" s="289">
        <v>300</v>
      </c>
      <c r="F4" s="505">
        <f>SUM(F6:F43)</f>
        <v>51000000</v>
      </c>
      <c r="H4" s="787" t="s">
        <v>46</v>
      </c>
      <c r="I4" s="787"/>
      <c r="K4" s="787" t="s">
        <v>47</v>
      </c>
      <c r="L4" s="787"/>
      <c r="S4" s="67" t="s">
        <v>13</v>
      </c>
      <c r="T4" s="67" t="s">
        <v>14</v>
      </c>
      <c r="U4" s="67">
        <v>1</v>
      </c>
      <c r="V4" s="67">
        <v>1.2</v>
      </c>
      <c r="W4" s="67">
        <v>1</v>
      </c>
      <c r="X4" s="67">
        <f t="shared" ref="X4:X7" si="0">IF($A$20=$S$41,4,0)</f>
        <v>0</v>
      </c>
      <c r="Y4" s="67">
        <v>1.2</v>
      </c>
      <c r="Z4" s="67">
        <v>0</v>
      </c>
      <c r="AA4" s="67" t="s">
        <v>768</v>
      </c>
      <c r="AB4" s="73">
        <f>D9</f>
        <v>0</v>
      </c>
      <c r="AC4">
        <f>IF(AB4&gt;VLOOKUP(B9,S18:W22,5),1,0)</f>
        <v>0</v>
      </c>
    </row>
    <row r="5" spans="1:29" ht="16" thickBot="1">
      <c r="C5" s="7" t="s">
        <v>464</v>
      </c>
      <c r="D5" s="198" t="s">
        <v>100</v>
      </c>
      <c r="H5" s="1" t="s">
        <v>403</v>
      </c>
      <c r="I5" s="1" t="s">
        <v>27</v>
      </c>
      <c r="K5" s="1" t="s">
        <v>403</v>
      </c>
      <c r="L5" s="1" t="s">
        <v>27</v>
      </c>
      <c r="S5" s="67" t="s">
        <v>2427</v>
      </c>
      <c r="T5" s="67" t="s">
        <v>14</v>
      </c>
      <c r="U5" s="67">
        <v>1</v>
      </c>
      <c r="V5" s="67">
        <v>1.2</v>
      </c>
      <c r="W5" s="67">
        <v>1</v>
      </c>
      <c r="X5" s="67">
        <f t="shared" si="0"/>
        <v>0</v>
      </c>
      <c r="Y5" s="67">
        <v>1.2</v>
      </c>
      <c r="Z5" s="67">
        <v>0</v>
      </c>
      <c r="AA5" s="67" t="s">
        <v>769</v>
      </c>
      <c r="AC5">
        <f>SUM(AC3:AC4)</f>
        <v>0</v>
      </c>
    </row>
    <row r="6" spans="1:29" ht="16" thickBot="1">
      <c r="A6" s="3" t="s">
        <v>3</v>
      </c>
      <c r="B6" s="197" t="s">
        <v>16</v>
      </c>
      <c r="C6" s="3" t="s">
        <v>21</v>
      </c>
      <c r="D6" s="198" t="s">
        <v>24</v>
      </c>
      <c r="F6" s="4">
        <f>B4*IF(AND('Ship Info'!F7=1,'Ship Info'!I6="No"),25000,Y14*(VLOOKUP(B6,S2:Y11,4))*(VLOOKUP(D6,S13:U15,3)))*'Ship Info'!G31</f>
        <v>36000000</v>
      </c>
      <c r="H6" s="10">
        <f>'Ship Info'!I3</f>
        <v>2.6000000000000227</v>
      </c>
      <c r="I6" s="270">
        <f>IF('Ship Info'!F7,Tonnage,Tonnage*VLOOKUP(B6,S2:W11,5))</f>
        <v>300</v>
      </c>
      <c r="K6" s="270">
        <f>'Ship Info'!L3</f>
        <v>7</v>
      </c>
      <c r="L6" s="270">
        <f>'3-Pwr Plant'!L6</f>
        <v>250</v>
      </c>
      <c r="S6" s="67" t="s">
        <v>15</v>
      </c>
      <c r="T6" s="67" t="s">
        <v>10</v>
      </c>
      <c r="U6" s="67">
        <v>0.9</v>
      </c>
      <c r="V6" s="67">
        <v>0.5</v>
      </c>
      <c r="W6" s="67">
        <v>1</v>
      </c>
      <c r="X6" s="67">
        <v>0</v>
      </c>
      <c r="Y6" s="67">
        <v>2</v>
      </c>
      <c r="Z6" s="67">
        <v>0.5</v>
      </c>
    </row>
    <row r="7" spans="1:29" ht="16" thickBot="1">
      <c r="A7" s="3" t="s">
        <v>4</v>
      </c>
      <c r="B7" s="2" t="str">
        <f>VLOOKUP(B6,S2:T11,2)</f>
        <v>Streamlined</v>
      </c>
      <c r="C7" s="3" t="s">
        <v>5</v>
      </c>
      <c r="D7" s="270">
        <f>INT(B4/IF(B4&gt;99999.9,1.5,IF(B4&gt;24999.9,2,2.5))*VLOOKUP(B6,S2:U11,3)*VLOOKUP(D6,S13:T15,2))</f>
        <v>120</v>
      </c>
      <c r="E7" s="2" t="s">
        <v>26</v>
      </c>
      <c r="F7" s="4"/>
      <c r="I7" s="2"/>
      <c r="K7" s="2"/>
      <c r="L7" s="2"/>
      <c r="S7" s="67" t="s">
        <v>16</v>
      </c>
      <c r="T7" s="67" t="s">
        <v>14</v>
      </c>
      <c r="U7" s="67">
        <v>1</v>
      </c>
      <c r="V7" s="67">
        <v>1.2</v>
      </c>
      <c r="W7" s="67">
        <v>1</v>
      </c>
      <c r="X7" s="67">
        <f t="shared" si="0"/>
        <v>0</v>
      </c>
      <c r="Y7" s="67">
        <v>1.2</v>
      </c>
      <c r="Z7" s="67">
        <v>0</v>
      </c>
    </row>
    <row r="8" spans="1:29" ht="16" thickBot="1">
      <c r="B8" s="7" t="s">
        <v>1295</v>
      </c>
      <c r="C8" s="198" t="s">
        <v>99</v>
      </c>
      <c r="F8" s="4">
        <f>IF(C8=W13,0,0.25*B4*Y14)*'Ship Info'!G31</f>
        <v>0</v>
      </c>
      <c r="H8" s="1" t="s">
        <v>48</v>
      </c>
      <c r="S8" s="67" t="s">
        <v>17</v>
      </c>
      <c r="T8" s="67" t="s">
        <v>10</v>
      </c>
      <c r="U8" s="67">
        <v>1.25</v>
      </c>
      <c r="V8" s="67">
        <v>0.08</v>
      </c>
      <c r="W8" s="67">
        <v>0.8</v>
      </c>
      <c r="X8" s="67">
        <v>2</v>
      </c>
      <c r="Y8" s="67">
        <v>1</v>
      </c>
      <c r="Z8" s="67">
        <v>0</v>
      </c>
    </row>
    <row r="9" spans="1:29" ht="16" thickBot="1">
      <c r="A9" s="3" t="s">
        <v>25</v>
      </c>
      <c r="B9" s="198" t="s">
        <v>575</v>
      </c>
      <c r="C9" s="3" t="s">
        <v>44</v>
      </c>
      <c r="D9" s="235">
        <v>0</v>
      </c>
      <c r="E9" s="2">
        <f>INDEX(S18:V22,MATCH(B9,S18:S22,0),4)</f>
        <v>0</v>
      </c>
      <c r="F9" s="4">
        <f>INDEX(S18:U22,MATCH(B9,S18:S22,0),3)*H9*'Ship Info'!G31</f>
        <v>0</v>
      </c>
      <c r="H9" s="10">
        <f>INDEX(S18:T22,MATCH(B9,S18:S22,0),2)*B4*(D10-Z17)*INDEX(S2:Y11,MATCH(B6,S2:S11,0),7)*FtrArmr</f>
        <v>0</v>
      </c>
      <c r="I9" s="2"/>
      <c r="K9" s="2"/>
      <c r="L9" s="2"/>
      <c r="S9" s="67" t="s">
        <v>18</v>
      </c>
      <c r="T9" s="67" t="s">
        <v>12</v>
      </c>
      <c r="U9" s="67">
        <v>1</v>
      </c>
      <c r="V9" s="67">
        <v>1.1000000000000001</v>
      </c>
      <c r="W9" s="67">
        <v>1</v>
      </c>
      <c r="X9" s="67">
        <f t="shared" ref="X9:X11" si="1">IF($A$20=$S$41,4,0)</f>
        <v>0</v>
      </c>
      <c r="Y9" s="67">
        <v>0.9</v>
      </c>
      <c r="Z9" s="67">
        <v>1</v>
      </c>
    </row>
    <row r="10" spans="1:29">
      <c r="B10" s="2" t="str">
        <f>IF(E2&gt;15,"Molecular Bonded available",IF(E2&gt;13,"Bonded Superdense available",IF(E2&gt;9,"Crystaliron Available",IF(E2&gt;6,"Titanium Steel available","No Armor available"))))</f>
        <v>Bonded Superdense available</v>
      </c>
      <c r="C10" s="74" t="s">
        <v>767</v>
      </c>
      <c r="D10" s="321">
        <f>IF(D9=0,Z17,IF(AB4+Z17&gt;Y17,Y17,AB4+Z17))</f>
        <v>0</v>
      </c>
      <c r="F10" s="4"/>
      <c r="H10" s="2"/>
      <c r="I10" s="2"/>
      <c r="J10" t="s">
        <v>424</v>
      </c>
      <c r="K10" s="10">
        <f>0.2*B4*T16</f>
        <v>60</v>
      </c>
      <c r="L10" s="2"/>
      <c r="S10" s="67" t="s">
        <v>19</v>
      </c>
      <c r="T10" s="67" t="s">
        <v>12</v>
      </c>
      <c r="U10" s="67">
        <v>1</v>
      </c>
      <c r="V10" s="67">
        <v>1</v>
      </c>
      <c r="W10" s="67">
        <v>1</v>
      </c>
      <c r="X10" s="67">
        <f t="shared" si="1"/>
        <v>0</v>
      </c>
      <c r="Y10" s="67">
        <v>1</v>
      </c>
      <c r="Z10" s="67">
        <v>1</v>
      </c>
    </row>
    <row r="11" spans="1:29">
      <c r="C11" s="815" t="str">
        <f>"Max Armor = "&amp;Y17</f>
        <v>Max Armor = 0</v>
      </c>
      <c r="D11" s="815"/>
      <c r="S11" s="67" t="s">
        <v>20</v>
      </c>
      <c r="T11" s="67" t="s">
        <v>14</v>
      </c>
      <c r="U11" s="67">
        <v>1</v>
      </c>
      <c r="V11" s="67">
        <v>1.2</v>
      </c>
      <c r="W11" s="67">
        <v>1</v>
      </c>
      <c r="X11" s="67">
        <f t="shared" si="1"/>
        <v>0</v>
      </c>
      <c r="Y11" s="67">
        <v>1.2</v>
      </c>
      <c r="Z11" s="67">
        <v>0</v>
      </c>
    </row>
    <row r="12" spans="1:29" ht="16" thickBot="1">
      <c r="A12" s="5" t="s">
        <v>32</v>
      </c>
      <c r="B12" s="119"/>
      <c r="L12" s="2"/>
      <c r="S12" s="70" t="s">
        <v>21</v>
      </c>
      <c r="T12" s="70" t="s">
        <v>5</v>
      </c>
      <c r="U12" s="70" t="s">
        <v>1</v>
      </c>
      <c r="Z12" s="67">
        <f>INDEX(S2:Z11,MATCH(B6,S2:S11,0),8)</f>
        <v>0</v>
      </c>
      <c r="AA12" s="67" t="s">
        <v>1315</v>
      </c>
    </row>
    <row r="13" spans="1:29" ht="16" thickBot="1">
      <c r="A13" s="197" t="s">
        <v>89</v>
      </c>
      <c r="B13" s="2" t="str">
        <f>INDEX($S$24:$AB$25,MATCH(A13,$S$24:$S$25,0),6)</f>
        <v>Aerofins</v>
      </c>
      <c r="E13" s="2">
        <f>INDEX($S$24:$AB$25,MATCH(A13,$S$24:$S$25,0),4)</f>
        <v>0</v>
      </c>
      <c r="F13" s="4">
        <f>INDEX($S$24:$AB$25,MATCH(A13,$S$24:$S$25,0),3)*'Ship Info'!G31</f>
        <v>0</v>
      </c>
      <c r="H13" s="270">
        <f>INDEX($S$24:$AB$25,MATCH(A13,$S$24:$S$25,0),2)</f>
        <v>0</v>
      </c>
      <c r="I13" s="2"/>
      <c r="K13" s="270">
        <f>INDEX($S$24:$AB$25,MATCH(A13,$S$24:$S$25,0),5)</f>
        <v>0</v>
      </c>
      <c r="L13" s="2"/>
      <c r="S13" s="67" t="s">
        <v>22</v>
      </c>
      <c r="T13" s="67">
        <v>0.9</v>
      </c>
      <c r="U13" s="67">
        <v>0.75</v>
      </c>
      <c r="W13" s="67" t="s">
        <v>99</v>
      </c>
      <c r="X13" s="67">
        <v>25000</v>
      </c>
    </row>
    <row r="14" spans="1:29" ht="16" thickBot="1">
      <c r="A14" s="197" t="s">
        <v>89</v>
      </c>
      <c r="B14" s="2" t="str">
        <f>INDEX($S$26:$AB$27,MATCH(A14,$S$26:$S$27,0),6)</f>
        <v>Reflec</v>
      </c>
      <c r="E14" s="2">
        <f>INDEX($S$26:$AB$27,MATCH(A14,$S$26:$S$27,0),4)</f>
        <v>0</v>
      </c>
      <c r="F14" s="4">
        <f>INDEX($S$26:$AB$27,MATCH(A14,$S$26:$S$27,0),3)*'Ship Info'!G31</f>
        <v>0</v>
      </c>
      <c r="H14" s="270">
        <f>INDEX($S$26:$AB$27,MATCH(A14,$S$26:$S$27,0),2)</f>
        <v>0</v>
      </c>
      <c r="I14" s="2"/>
      <c r="K14" s="270">
        <f>INDEX($S$26:$AB$27,MATCH(A14,$S$26:$S$27,0),5)</f>
        <v>0</v>
      </c>
      <c r="S14" s="67" t="s">
        <v>23</v>
      </c>
      <c r="T14" s="67">
        <v>1.1000000000000001</v>
      </c>
      <c r="U14" s="67">
        <v>1.5</v>
      </c>
      <c r="W14" s="67" t="s">
        <v>100</v>
      </c>
      <c r="X14" s="67">
        <v>50000</v>
      </c>
      <c r="Y14" s="67">
        <f>VLOOKUP(D5,W13:X14,2)</f>
        <v>50000</v>
      </c>
    </row>
    <row r="15" spans="1:29" ht="16" thickBot="1">
      <c r="A15" s="197" t="s">
        <v>89</v>
      </c>
      <c r="B15" s="2" t="str">
        <f>INDEX($S$28:$AB$29,MATCH(A15,$S$28:$S$29,0),6)</f>
        <v>Heat Shielding</v>
      </c>
      <c r="E15" s="2">
        <f>INDEX($S$28:$AB$29,MATCH(A15,$S$28:$S$29,0),4)</f>
        <v>0</v>
      </c>
      <c r="F15" s="4">
        <f>INDEX($S$28:$AB$29,MATCH(A15,$S$28:$S$29,0),3)*'Ship Info'!G31</f>
        <v>0</v>
      </c>
      <c r="H15" s="270">
        <f>INDEX($S$28:$AB$29,MATCH(A15,$S$28:$S$29,0),2)</f>
        <v>0</v>
      </c>
      <c r="I15" s="2"/>
      <c r="K15" s="270">
        <f>INDEX($S$28:$AB$29,MATCH(A15,$S$28:$S$29,0),5)</f>
        <v>0</v>
      </c>
      <c r="S15" s="67" t="s">
        <v>24</v>
      </c>
      <c r="T15" s="67">
        <v>1</v>
      </c>
      <c r="U15" s="67">
        <v>1</v>
      </c>
      <c r="Z15" s="67" t="s">
        <v>772</v>
      </c>
      <c r="AA15" s="67" t="s">
        <v>1382</v>
      </c>
    </row>
    <row r="16" spans="1:29" ht="16" thickBot="1">
      <c r="A16" s="197" t="s">
        <v>89</v>
      </c>
      <c r="B16" s="16" t="str">
        <f>INDEX($S$47:$AB$48,MATCH(A16,$S$47:$S$48,0),6)</f>
        <v>Hostile Environment Operations Package</v>
      </c>
      <c r="E16" s="2">
        <f>INDEX($S$47:$AB$48,MATCH(A16,$S$47:$S$48,0),4)</f>
        <v>0</v>
      </c>
      <c r="F16" s="4">
        <f>INDEX($S$47:$AB$48,MATCH(A16,$S$47:$S$48,0),3)*'Ship Info'!G31</f>
        <v>0</v>
      </c>
      <c r="H16" s="270">
        <f>INDEX($S$47:$AB$48,MATCH(A16,$S$47:$S$48,0),2)</f>
        <v>0</v>
      </c>
      <c r="I16" s="2"/>
      <c r="K16" s="270">
        <f>INDEX($S$47:$AB$48,MATCH(A16,$S$47:$S$48,0),5)</f>
        <v>0</v>
      </c>
      <c r="S16" s="67" t="s">
        <v>2178</v>
      </c>
      <c r="T16" s="67">
        <f>IF(D5=W14,1,0.5)</f>
        <v>1</v>
      </c>
    </row>
    <row r="17" spans="1:30" ht="16" thickBot="1">
      <c r="A17" s="197" t="s">
        <v>89</v>
      </c>
      <c r="B17" s="2" t="str">
        <f>INDEX($S$30:$AB$31,MATCH(A17,$S$30:$S$31,0),6)</f>
        <v>Holographic Hull</v>
      </c>
      <c r="E17" s="2">
        <f>INDEX($S$30:$AB$31,MATCH(A17,$S$30:$S$31,0),4)</f>
        <v>0</v>
      </c>
      <c r="F17" s="4">
        <f>INDEX($S$30:$AB$31,MATCH(A17,$S$30:$S$31,0),3)*'Ship Info'!G31</f>
        <v>0</v>
      </c>
      <c r="H17" s="270">
        <f>INDEX($S$30:$AB$31,MATCH(A17,$S$30:$S$31,0),2)</f>
        <v>0</v>
      </c>
      <c r="I17" s="2"/>
      <c r="K17" s="270">
        <f>INDEX($S$30:$AB$31,MATCH(A17,$S$30:$S$31,0),5)</f>
        <v>0</v>
      </c>
      <c r="S17" s="70" t="s">
        <v>25</v>
      </c>
      <c r="T17" s="70" t="s">
        <v>2</v>
      </c>
      <c r="U17" s="70" t="s">
        <v>1</v>
      </c>
      <c r="V17" s="70" t="s">
        <v>26</v>
      </c>
      <c r="W17" s="70" t="s">
        <v>27</v>
      </c>
      <c r="X17" s="70">
        <f>IF('Ship Info'!F7,0,INDEX(S18:V22,MATCH(B9,S18:S22,0),4))</f>
        <v>0</v>
      </c>
      <c r="Y17" s="67">
        <f>IF('Ship Info'!F7,0,INDEX(S18:W22,MATCH(B9,S18:S22,0),5))</f>
        <v>0</v>
      </c>
      <c r="Z17" s="67">
        <f>MAX(INDEX(S2:Y11,MATCH(B6,S2:S11,0),6),IF(AB41,4,0))</f>
        <v>0</v>
      </c>
      <c r="AA17" s="67">
        <f>IF(Tonnage&lt;15.01,4,IF(Tonnage&lt;25.01,3,IF(Tonnage&lt;99.99,2,1)))</f>
        <v>1</v>
      </c>
    </row>
    <row r="18" spans="1:30" ht="16" thickBot="1">
      <c r="A18" s="197" t="s">
        <v>89</v>
      </c>
      <c r="B18" s="2" t="str">
        <f>INDEX($S$32:$AB$36,MATCH(A18,$S$32:$S$36,0),6)</f>
        <v>Stealth</v>
      </c>
      <c r="E18" s="2">
        <f>INDEX($S$32:$AB$36,MATCH(A18,$S$32:$S$36,0),4)</f>
        <v>0</v>
      </c>
      <c r="F18" s="4">
        <f>INDEX($S$32:$AB$36,MATCH(A18,$S$32:$S$36,0),3)*'Ship Info'!G31</f>
        <v>0</v>
      </c>
      <c r="H18" s="270">
        <f>INDEX($S$32:$AB$36,MATCH(A18,$S$32:$S$36,0),2)</f>
        <v>0</v>
      </c>
      <c r="K18" s="270">
        <f>INDEX($S$32:$AB$36,MATCH(A18,$S$32:$S$36,0),5)</f>
        <v>0</v>
      </c>
      <c r="S18" s="67" t="s">
        <v>575</v>
      </c>
      <c r="T18" s="67">
        <v>0</v>
      </c>
      <c r="U18" s="67">
        <v>0</v>
      </c>
      <c r="V18" s="67">
        <v>0</v>
      </c>
      <c r="W18" s="67">
        <v>0</v>
      </c>
    </row>
    <row r="19" spans="1:30" ht="16" thickBot="1">
      <c r="A19" s="197" t="s">
        <v>89</v>
      </c>
      <c r="B19" s="2" t="str">
        <f>INDEX($S$37:$AB$39,MATCH(A19,$S$37:$S$39,0),6)</f>
        <v>Adjustable Hull</v>
      </c>
      <c r="E19" s="2">
        <f>INDEX($S$37:$AB$39,MATCH(A19,$S$37:$S$39,0),4)</f>
        <v>0</v>
      </c>
      <c r="F19" s="4">
        <f>INDEX($S$37:$AB$39,MATCH(A19,$S$37:$S$39,0),3)*'Ship Info'!G31</f>
        <v>0</v>
      </c>
      <c r="H19" s="270">
        <f>INDEX($S$37:$AB$39,MATCH(A19,$S$37:$S$39,0),2)</f>
        <v>0</v>
      </c>
      <c r="K19" s="270">
        <f>INDEX($S$37:$AB$39,MATCH(A19,$S$37:$S$39,0),5)</f>
        <v>0</v>
      </c>
      <c r="S19" s="67" t="s">
        <v>31</v>
      </c>
      <c r="T19" s="67">
        <v>2.5000000000000001E-2</v>
      </c>
      <c r="U19" s="67">
        <v>50000</v>
      </c>
      <c r="V19" s="67">
        <v>7</v>
      </c>
      <c r="W19" s="67">
        <f>IF($E$2&lt;9,$E$2,9)*IF($C$8=$W$14,2,1)</f>
        <v>9</v>
      </c>
    </row>
    <row r="20" spans="1:30" ht="16" thickBot="1">
      <c r="A20" s="197" t="s">
        <v>89</v>
      </c>
      <c r="B20" s="2" t="str">
        <f>INDEX($S$40:$AB$41,MATCH(A20,$S$40:$S$41,0),6)</f>
        <v>Pressure Hull</v>
      </c>
      <c r="E20" s="2">
        <f>INDEX($S$40:$AB$41,MATCH(A20,$S$40:$S$41,0),4)</f>
        <v>0</v>
      </c>
      <c r="F20" s="4">
        <f>INDEX($S$40:$AB$41,MATCH(A20,$S$40:$S$41,0),3)*'Ship Info'!G31</f>
        <v>0</v>
      </c>
      <c r="H20" s="270">
        <f>INDEX($S$40:$AB$41,MATCH(A20,$S$40:$S$41,0),2)</f>
        <v>0</v>
      </c>
      <c r="K20" s="270">
        <f>INDEX($S$40:$AB$41,MATCH(A20,$S$40:$S$41,0),5)</f>
        <v>0</v>
      </c>
      <c r="S20" s="67" t="s">
        <v>29</v>
      </c>
      <c r="T20" s="67">
        <v>1.2500000000000001E-2</v>
      </c>
      <c r="U20" s="67">
        <v>200000</v>
      </c>
      <c r="V20" s="67">
        <v>10</v>
      </c>
      <c r="W20" s="67">
        <f>IF($E$2&lt;13,$E$2,13)*IF($C$8=$W$14,2,1)</f>
        <v>13</v>
      </c>
    </row>
    <row r="21" spans="1:30" ht="16" thickBot="1">
      <c r="A21" s="197" t="s">
        <v>37</v>
      </c>
      <c r="B21" s="2" t="str">
        <f>VLOOKUP(A21,$S$45:$X$46,6)</f>
        <v>Reduce Rads by 1000</v>
      </c>
      <c r="E21" s="2">
        <f>VLOOKUP(A21,S45:X46,4)</f>
        <v>7</v>
      </c>
      <c r="F21" s="4">
        <f>VLOOKUP(A21,S45:X46,3)*'Ship Info'!G31</f>
        <v>15000000</v>
      </c>
      <c r="H21" s="270">
        <f>VLOOKUP(A21,S45:X46,2)</f>
        <v>0</v>
      </c>
      <c r="K21" s="270">
        <f>VLOOKUP(A21,S45:W46,5)</f>
        <v>0</v>
      </c>
      <c r="S21" s="67" t="s">
        <v>28</v>
      </c>
      <c r="T21" s="67">
        <v>8.0000000000000002E-3</v>
      </c>
      <c r="U21" s="67">
        <v>500000</v>
      </c>
      <c r="V21" s="67">
        <v>14</v>
      </c>
      <c r="W21" s="67">
        <f>$E$2*IF($C$8=$W$14,2,1)</f>
        <v>14</v>
      </c>
    </row>
    <row r="22" spans="1:30" ht="16" thickBot="1">
      <c r="A22" s="197" t="s">
        <v>89</v>
      </c>
      <c r="B22" s="2" t="str">
        <f>INDEX($S$42:$AB$44,MATCH(A22,$S$42:$S$44,0),6)</f>
        <v>Solar Coating</v>
      </c>
      <c r="C22" s="7" t="s">
        <v>1306</v>
      </c>
      <c r="D22" s="200">
        <v>40</v>
      </c>
      <c r="E22" s="2">
        <f>INDEX($S$42:$AB$44,MATCH(A22,$S$42:$S$44,0),4)</f>
        <v>0</v>
      </c>
      <c r="F22" s="4">
        <f>INDEX($S$42:$AB$44,MATCH(A22,$S$42:$S$44,0),3)*'Ship Info'!G31</f>
        <v>0</v>
      </c>
      <c r="H22" s="270">
        <f>INDEX($S$42:$AB$44,MATCH(A22,$S$42:$S$44,0),2)</f>
        <v>0</v>
      </c>
      <c r="K22" s="270">
        <f>INDEX($S$42:$AB$44,MATCH(A22,$S$42:$S$44,0),5)*$D$22/100*Tonnage*INDEX($S$2:$Z$11,MATCH($B6,$S$2:$S$11,0),8)</f>
        <v>0</v>
      </c>
      <c r="S22" s="67" t="s">
        <v>30</v>
      </c>
      <c r="T22" s="67">
        <v>5.0000000000000001E-3</v>
      </c>
      <c r="U22" s="67">
        <v>1500000</v>
      </c>
      <c r="V22" s="67">
        <v>16</v>
      </c>
      <c r="W22" s="67">
        <f>($E$2+4)*IF($C$8=$W$14,2,1)</f>
        <v>18</v>
      </c>
    </row>
    <row r="23" spans="1:30">
      <c r="B23" s="2"/>
      <c r="D23" s="2" t="s">
        <v>1305</v>
      </c>
      <c r="F23" s="2"/>
      <c r="G23" s="2"/>
      <c r="H23" s="2"/>
      <c r="K23" s="2"/>
      <c r="S23" s="70" t="s">
        <v>32</v>
      </c>
    </row>
    <row r="24" spans="1:30" ht="16" thickBot="1">
      <c r="A24" s="143" t="s">
        <v>310</v>
      </c>
      <c r="B24" s="45"/>
      <c r="C24" s="45"/>
      <c r="D24" s="130"/>
      <c r="E24" s="130"/>
      <c r="F24" s="47"/>
      <c r="S24" s="67" t="s">
        <v>89</v>
      </c>
      <c r="T24" s="67">
        <v>0</v>
      </c>
      <c r="U24" s="67">
        <v>0</v>
      </c>
      <c r="V24" s="67">
        <v>0</v>
      </c>
      <c r="W24" s="67">
        <v>0</v>
      </c>
      <c r="X24" s="67" t="s">
        <v>404</v>
      </c>
    </row>
    <row r="25" spans="1:30" ht="16" thickBot="1">
      <c r="A25" s="78"/>
      <c r="B25" s="7" t="s">
        <v>311</v>
      </c>
      <c r="C25" s="235">
        <v>0</v>
      </c>
      <c r="F25" s="265">
        <f>IF(C25&gt;0,F6*C25/B4,0)*'Ship Info'!G31</f>
        <v>0</v>
      </c>
      <c r="S25" s="67" t="s">
        <v>404</v>
      </c>
      <c r="T25" s="67">
        <f>0.05*I6</f>
        <v>15</v>
      </c>
      <c r="U25" s="67">
        <f>T25*100000</f>
        <v>1500000</v>
      </c>
      <c r="V25" s="67">
        <v>7</v>
      </c>
      <c r="W25" s="67">
        <v>0</v>
      </c>
      <c r="X25" s="67" t="s">
        <v>405</v>
      </c>
      <c r="AB25" t="b">
        <f>OR(A13=S25,A14=S25,A15=S25,A17=S25,A18=S25,A19=S25)</f>
        <v>0</v>
      </c>
      <c r="AC25">
        <f>COUNTIF(AB25:AB41,TRUE)</f>
        <v>0</v>
      </c>
      <c r="AD25" t="s">
        <v>1313</v>
      </c>
    </row>
    <row r="26" spans="1:30" ht="16" thickBot="1">
      <c r="A26" s="78"/>
      <c r="B26" s="2" t="str">
        <f>"Limit: "&amp;IF('Ship Info'!F7,'Ship Info'!C5*0.75,ROUNDDOWN(T50,1))&amp;" Tons"</f>
        <v>Limit: 225 Tons</v>
      </c>
      <c r="F26" s="46"/>
      <c r="S26" s="67" t="s">
        <v>89</v>
      </c>
      <c r="T26" s="67">
        <v>0</v>
      </c>
      <c r="U26" s="67">
        <v>0</v>
      </c>
      <c r="V26" s="67">
        <v>0</v>
      </c>
      <c r="W26" s="67">
        <v>0</v>
      </c>
      <c r="X26" s="67" t="s">
        <v>39</v>
      </c>
    </row>
    <row r="27" spans="1:30" ht="16" thickBot="1">
      <c r="A27" s="86"/>
      <c r="B27" s="74" t="s">
        <v>1452</v>
      </c>
      <c r="C27" s="198" t="s">
        <v>100</v>
      </c>
      <c r="D27" s="131"/>
      <c r="E27" s="131"/>
      <c r="F27" s="266">
        <f>-1*IF(C27="No",0,C25*25000)*'Ship Info'!G31</f>
        <v>0</v>
      </c>
      <c r="S27" s="67" t="s">
        <v>39</v>
      </c>
      <c r="T27" s="67">
        <v>0</v>
      </c>
      <c r="U27" s="67">
        <f>Tonnage*100000</f>
        <v>30000000</v>
      </c>
      <c r="V27" s="67">
        <v>10</v>
      </c>
      <c r="W27" s="67">
        <v>0</v>
      </c>
      <c r="X27" s="67" t="s">
        <v>40</v>
      </c>
      <c r="AB27" t="b">
        <f>OR(A13=S27,A14=S27,A15=S27,A17=S27,A18=S27,A19=S27)</f>
        <v>0</v>
      </c>
    </row>
    <row r="28" spans="1:30" ht="16" thickBot="1">
      <c r="A28" s="5" t="s">
        <v>93</v>
      </c>
      <c r="B28" t="s">
        <v>1324</v>
      </c>
      <c r="S28" s="67" t="s">
        <v>89</v>
      </c>
      <c r="T28" s="67">
        <v>0</v>
      </c>
      <c r="U28" s="67">
        <v>0</v>
      </c>
      <c r="V28" s="67">
        <v>0</v>
      </c>
      <c r="W28" s="67">
        <v>0</v>
      </c>
      <c r="X28" s="67" t="s">
        <v>35</v>
      </c>
    </row>
    <row r="29" spans="1:30" ht="16" thickBot="1">
      <c r="A29" s="143" t="s">
        <v>96</v>
      </c>
      <c r="B29" s="236" t="s">
        <v>1703</v>
      </c>
      <c r="C29" s="235"/>
      <c r="D29" s="383"/>
      <c r="E29" s="130"/>
      <c r="F29" s="237">
        <f>2000000*H29*'Ship Info'!G31</f>
        <v>0</v>
      </c>
      <c r="G29" s="45"/>
      <c r="H29" s="322">
        <f>IF(C29&gt;0,0.02*Tonnage,0)</f>
        <v>0</v>
      </c>
      <c r="S29" s="67" t="s">
        <v>35</v>
      </c>
      <c r="T29" s="67">
        <v>0</v>
      </c>
      <c r="U29" s="67">
        <f>Tonnage*100000</f>
        <v>30000000</v>
      </c>
      <c r="V29" s="67">
        <v>6</v>
      </c>
      <c r="W29" s="67">
        <v>0</v>
      </c>
      <c r="X29" s="67" t="s">
        <v>36</v>
      </c>
      <c r="AB29" t="b">
        <f>OR(A13=S29,A14=S29,A15=S29,A17=S29,A18=S29,A19=S29)</f>
        <v>0</v>
      </c>
    </row>
    <row r="30" spans="1:30">
      <c r="A30" s="22" t="s">
        <v>1321</v>
      </c>
      <c r="B30" s="22"/>
      <c r="H30" s="46"/>
      <c r="S30" s="67" t="s">
        <v>89</v>
      </c>
      <c r="T30" s="67">
        <v>0</v>
      </c>
      <c r="U30" s="67">
        <v>0</v>
      </c>
      <c r="V30" s="67">
        <v>0</v>
      </c>
      <c r="W30" s="67">
        <v>0</v>
      </c>
      <c r="X30" s="67" t="s">
        <v>434</v>
      </c>
    </row>
    <row r="31" spans="1:30">
      <c r="A31" t="s">
        <v>1320</v>
      </c>
      <c r="H31" s="46"/>
      <c r="S31" s="67" t="s">
        <v>434</v>
      </c>
      <c r="T31" s="67">
        <v>0</v>
      </c>
      <c r="U31" s="67">
        <f>Tonnage*100000</f>
        <v>30000000</v>
      </c>
      <c r="V31" s="67">
        <v>10</v>
      </c>
      <c r="W31" s="67">
        <f>B4/2</f>
        <v>150</v>
      </c>
      <c r="X31" s="67" t="s">
        <v>435</v>
      </c>
      <c r="AB31" t="b">
        <f>OR(A13=S31,A14=S31,A15=S31,A17=S31,A18=S31,A19=S31)</f>
        <v>0</v>
      </c>
    </row>
    <row r="32" spans="1:30">
      <c r="A32" t="s">
        <v>1316</v>
      </c>
      <c r="H32" s="46"/>
      <c r="S32" s="67" t="s">
        <v>89</v>
      </c>
      <c r="X32" s="67" t="s">
        <v>41</v>
      </c>
    </row>
    <row r="33" spans="1:30">
      <c r="A33" s="22" t="s">
        <v>1319</v>
      </c>
      <c r="B33" s="22"/>
      <c r="H33" s="46"/>
      <c r="S33" s="67" t="s">
        <v>1301</v>
      </c>
      <c r="T33" s="67">
        <f>0.02*Tonnage</f>
        <v>6</v>
      </c>
      <c r="U33" s="67">
        <f>40000*Tonnage</f>
        <v>12000000</v>
      </c>
      <c r="V33" s="67">
        <v>8</v>
      </c>
      <c r="W33" s="67">
        <v>0</v>
      </c>
      <c r="X33" s="67" t="s">
        <v>34</v>
      </c>
      <c r="AB33" t="b">
        <f>OR(A13=S33,A14=S33,A15=S33,A17=S33,A18=S33,A19=S33)</f>
        <v>0</v>
      </c>
      <c r="AC33">
        <f>COUNTIF(AB33:AB36,TRUE)</f>
        <v>0</v>
      </c>
      <c r="AD33" t="s">
        <v>1312</v>
      </c>
    </row>
    <row r="34" spans="1:30">
      <c r="A34" t="s">
        <v>1318</v>
      </c>
      <c r="H34" s="46"/>
      <c r="S34" s="67" t="s">
        <v>1300</v>
      </c>
      <c r="T34" s="67">
        <v>0</v>
      </c>
      <c r="U34" s="67">
        <f>Tonnage*100000</f>
        <v>30000000</v>
      </c>
      <c r="V34" s="67">
        <v>10</v>
      </c>
      <c r="W34" s="67">
        <v>0</v>
      </c>
      <c r="X34" s="67" t="s">
        <v>34</v>
      </c>
      <c r="AB34" t="b">
        <f>OR(A13=S34,A14=S34,A15=S34,A17=S34,A18=S34,A19=S34)</f>
        <v>0</v>
      </c>
    </row>
    <row r="35" spans="1:30" ht="16" thickBot="1">
      <c r="A35" s="28" t="s">
        <v>1317</v>
      </c>
      <c r="D35" s="131"/>
      <c r="E35" s="131"/>
      <c r="F35" s="28"/>
      <c r="G35" s="28"/>
      <c r="H35" s="79"/>
      <c r="S35" s="67" t="s">
        <v>1299</v>
      </c>
      <c r="T35" s="67">
        <v>0</v>
      </c>
      <c r="U35" s="67">
        <f>Tonnage*500000</f>
        <v>150000000</v>
      </c>
      <c r="V35" s="67">
        <v>12</v>
      </c>
      <c r="W35" s="67">
        <v>0</v>
      </c>
      <c r="X35" s="67" t="s">
        <v>42</v>
      </c>
      <c r="AB35" t="b">
        <f>OR(A13=S35,A14=S35,A15=S35,A17=S35,A18=S35,A19=S35)</f>
        <v>0</v>
      </c>
    </row>
    <row r="36" spans="1:30" ht="16" thickBot="1">
      <c r="A36" s="238" t="s">
        <v>94</v>
      </c>
      <c r="B36" s="521" t="s">
        <v>1322</v>
      </c>
      <c r="C36" s="235">
        <v>60</v>
      </c>
      <c r="F36" s="4">
        <f>IF(H36&gt;0,ROUNDDOWN(C36/Tonnage*100,0)*0.01*F6,0)*'Ship Info'!G31</f>
        <v>0</v>
      </c>
      <c r="H36" s="323">
        <f>IF(T52,0.1*C36,0)</f>
        <v>0</v>
      </c>
      <c r="S36" s="67" t="s">
        <v>1298</v>
      </c>
      <c r="T36" s="67">
        <v>0</v>
      </c>
      <c r="U36" s="67">
        <f>Tonnage*1000000</f>
        <v>300000000</v>
      </c>
      <c r="V36" s="67">
        <v>14</v>
      </c>
      <c r="W36" s="67">
        <v>0</v>
      </c>
      <c r="X36" s="67" t="s">
        <v>43</v>
      </c>
      <c r="AB36" t="b">
        <f>OR(A13=S36,A14=S36,A15=S36,A17=S36,A18=S36,A19=S36)</f>
        <v>0</v>
      </c>
    </row>
    <row r="37" spans="1:30" ht="16" thickBot="1">
      <c r="A37" s="264" t="s">
        <v>1421</v>
      </c>
      <c r="C37" s="2" t="s">
        <v>1323</v>
      </c>
      <c r="H37" s="46"/>
      <c r="S37" s="67" t="s">
        <v>89</v>
      </c>
      <c r="T37" s="67">
        <v>0</v>
      </c>
      <c r="U37" s="67">
        <v>0</v>
      </c>
      <c r="V37" s="67">
        <v>0</v>
      </c>
      <c r="W37" s="67">
        <v>0</v>
      </c>
      <c r="X37" s="67" t="s">
        <v>1336</v>
      </c>
    </row>
    <row r="38" spans="1:30" ht="16" thickBot="1">
      <c r="A38" s="86"/>
      <c r="B38" s="28"/>
      <c r="D38" s="131"/>
      <c r="E38" s="131"/>
      <c r="F38" s="28"/>
      <c r="G38" s="28"/>
      <c r="H38" s="79"/>
      <c r="S38" s="67" t="s">
        <v>1307</v>
      </c>
      <c r="T38" s="67">
        <f>0.05*Tonnage</f>
        <v>15</v>
      </c>
      <c r="U38" s="67">
        <f>0.1*F6</f>
        <v>3600000</v>
      </c>
      <c r="V38" s="67">
        <v>12</v>
      </c>
      <c r="W38" s="67">
        <v>0</v>
      </c>
      <c r="X38" s="67" t="s">
        <v>1311</v>
      </c>
      <c r="AB38" t="b">
        <f>OR(A14=S38,A15=S38,A17=S38,A18=S38,A19=S38,A13=S38)</f>
        <v>0</v>
      </c>
    </row>
    <row r="39" spans="1:30" ht="16" thickBot="1">
      <c r="A39" s="238" t="s">
        <v>1325</v>
      </c>
      <c r="B39" s="7" t="s">
        <v>1326</v>
      </c>
      <c r="C39" s="240"/>
      <c r="F39" s="4">
        <f>IF(H39&gt;0,ROUNDDOWN(C39/Tonnage*100,0)*0.02*F6,0)*'Ship Info'!G31</f>
        <v>0</v>
      </c>
      <c r="H39" s="323">
        <f>0.1*C39</f>
        <v>0</v>
      </c>
      <c r="S39" s="67" t="s">
        <v>1308</v>
      </c>
      <c r="T39" s="67">
        <f>0.01*Tonnage</f>
        <v>3</v>
      </c>
      <c r="U39" s="164">
        <f>F6</f>
        <v>36000000</v>
      </c>
      <c r="V39" s="67">
        <v>15</v>
      </c>
      <c r="W39" s="67">
        <v>0</v>
      </c>
      <c r="X39" s="67" t="s">
        <v>1311</v>
      </c>
      <c r="AB39" t="b">
        <f>OR(A15=S39,A17=S39,A18=S39,A19=S39,A14=S39,A13=S39)</f>
        <v>0</v>
      </c>
    </row>
    <row r="40" spans="1:30">
      <c r="A40" s="78"/>
      <c r="B40" s="2"/>
      <c r="C40" s="2"/>
      <c r="H40" s="46"/>
      <c r="S40" s="67" t="s">
        <v>89</v>
      </c>
      <c r="T40" s="67">
        <v>0</v>
      </c>
      <c r="U40" s="67">
        <v>0</v>
      </c>
      <c r="V40" s="67">
        <v>0</v>
      </c>
      <c r="W40" s="67">
        <v>0</v>
      </c>
      <c r="X40" s="67" t="s">
        <v>1309</v>
      </c>
    </row>
    <row r="41" spans="1:30" ht="16" thickBot="1">
      <c r="A41" s="78"/>
      <c r="B41" s="239" t="s">
        <v>1332</v>
      </c>
      <c r="C41" s="2" t="s">
        <v>1330</v>
      </c>
      <c r="D41" s="2" t="s">
        <v>1331</v>
      </c>
      <c r="H41" s="46"/>
      <c r="S41" s="67" t="s">
        <v>1309</v>
      </c>
      <c r="T41" s="67">
        <f>0.25*Tonnage</f>
        <v>75</v>
      </c>
      <c r="U41" s="67">
        <f>9*F6</f>
        <v>324000000</v>
      </c>
      <c r="V41" s="67">
        <v>4</v>
      </c>
      <c r="W41" s="67">
        <v>0</v>
      </c>
      <c r="X41" s="67" t="s">
        <v>1310</v>
      </c>
      <c r="AB41" t="b">
        <f>OR(A17=S41,A18=S41,A19=S41,A15=S41,A14=S41,A13=S41)</f>
        <v>0</v>
      </c>
    </row>
    <row r="42" spans="1:30" ht="16" thickBot="1">
      <c r="A42" s="78"/>
      <c r="B42" t="s">
        <v>1329</v>
      </c>
      <c r="C42" s="240">
        <v>30</v>
      </c>
      <c r="D42" s="270">
        <f>ROUNDUP(C42/1.5,0)</f>
        <v>20</v>
      </c>
      <c r="H42" s="46"/>
      <c r="S42" s="67" t="s">
        <v>89</v>
      </c>
      <c r="T42" s="67">
        <v>0</v>
      </c>
      <c r="U42" s="67">
        <v>0</v>
      </c>
      <c r="V42" s="67">
        <v>0</v>
      </c>
      <c r="W42" s="67">
        <v>0</v>
      </c>
      <c r="X42" s="67" t="s">
        <v>1335</v>
      </c>
    </row>
    <row r="43" spans="1:30" ht="16" thickBot="1">
      <c r="A43" s="78"/>
      <c r="B43" t="s">
        <v>1327</v>
      </c>
      <c r="C43" s="240">
        <v>7.5</v>
      </c>
      <c r="D43" s="270">
        <f>ROUNDUP(C43/1.5,0)</f>
        <v>5</v>
      </c>
      <c r="H43" s="46"/>
      <c r="S43" s="67" t="s">
        <v>1302</v>
      </c>
      <c r="T43" s="67">
        <v>0</v>
      </c>
      <c r="U43" s="67">
        <f>300000*D22/100*Tonnage</f>
        <v>36000000</v>
      </c>
      <c r="V43" s="67">
        <v>10</v>
      </c>
      <c r="W43" s="67">
        <v>-0.1</v>
      </c>
      <c r="X43" s="67" t="s">
        <v>1304</v>
      </c>
      <c r="AB43" t="b">
        <f>OR(A22=S43)</f>
        <v>0</v>
      </c>
      <c r="AC43">
        <f>COUNTIF(AB43:AB44,TRUE)</f>
        <v>0</v>
      </c>
      <c r="AD43" t="s">
        <v>1314</v>
      </c>
    </row>
    <row r="44" spans="1:30">
      <c r="A44" s="78"/>
      <c r="B44" t="s">
        <v>1334</v>
      </c>
      <c r="C44" s="270">
        <f>ROUNDUP(C42*PI(),0)</f>
        <v>95</v>
      </c>
      <c r="D44" s="270">
        <f>ROUNDUP(D42*PI(),0)</f>
        <v>63</v>
      </c>
      <c r="H44" s="46"/>
      <c r="S44" s="67" t="s">
        <v>1303</v>
      </c>
      <c r="T44" s="67">
        <v>0</v>
      </c>
      <c r="U44" s="67">
        <f>400000*D22/100*Tonnage</f>
        <v>48000000</v>
      </c>
      <c r="V44" s="67">
        <v>12</v>
      </c>
      <c r="W44" s="67">
        <v>-0.2</v>
      </c>
      <c r="X44" s="67" t="s">
        <v>1304</v>
      </c>
      <c r="AB44" t="b">
        <f>OR(A22=S44)</f>
        <v>0</v>
      </c>
    </row>
    <row r="45" spans="1:30" ht="15" customHeight="1">
      <c r="A45" s="78"/>
      <c r="B45" s="7" t="s">
        <v>1328</v>
      </c>
      <c r="C45" s="2" t="str">
        <f>D45/2&amp;" Dtons"</f>
        <v>157.5 Dtons</v>
      </c>
      <c r="D45" s="270">
        <f>ROUNDUP(D42*PI()*D43,0)</f>
        <v>315</v>
      </c>
      <c r="H45" s="46"/>
      <c r="S45" s="67" t="s">
        <v>89</v>
      </c>
      <c r="T45" s="67">
        <v>0</v>
      </c>
      <c r="U45" s="67">
        <v>0</v>
      </c>
      <c r="V45" s="67">
        <v>0</v>
      </c>
      <c r="W45" s="67">
        <v>0</v>
      </c>
      <c r="X45" s="67" t="s">
        <v>37</v>
      </c>
    </row>
    <row r="46" spans="1:30" ht="15" customHeight="1">
      <c r="A46" s="78"/>
      <c r="C46" s="12"/>
      <c r="D46" s="12"/>
      <c r="H46" s="46"/>
      <c r="S46" s="67" t="s">
        <v>37</v>
      </c>
      <c r="T46" s="67">
        <v>0</v>
      </c>
      <c r="U46" s="67">
        <f>B4*25000</f>
        <v>7500000</v>
      </c>
      <c r="V46" s="67">
        <v>7</v>
      </c>
      <c r="W46" s="67">
        <v>0</v>
      </c>
      <c r="X46" s="67" t="s">
        <v>38</v>
      </c>
      <c r="AB46" t="b">
        <f>OR(A21=S46)</f>
        <v>1</v>
      </c>
    </row>
    <row r="47" spans="1:30" ht="15" customHeight="1">
      <c r="A47" s="78"/>
      <c r="B47" s="813" t="s">
        <v>1333</v>
      </c>
      <c r="C47" s="813"/>
      <c r="D47" s="813"/>
      <c r="H47" s="46"/>
      <c r="S47" s="67" t="s">
        <v>89</v>
      </c>
      <c r="T47" s="67">
        <v>0</v>
      </c>
      <c r="U47" s="67">
        <v>0</v>
      </c>
      <c r="V47" s="67">
        <v>0</v>
      </c>
      <c r="W47" s="67">
        <v>0</v>
      </c>
      <c r="X47" s="67" t="s">
        <v>1527</v>
      </c>
    </row>
    <row r="48" spans="1:30" ht="15" customHeight="1">
      <c r="A48" s="86"/>
      <c r="B48" s="814"/>
      <c r="C48" s="814"/>
      <c r="D48" s="814"/>
      <c r="E48" s="131"/>
      <c r="F48" s="28"/>
      <c r="G48" s="28"/>
      <c r="H48" s="79"/>
      <c r="S48" s="67" t="s">
        <v>1525</v>
      </c>
      <c r="T48" s="67">
        <f>0.05*Tonnage</f>
        <v>15</v>
      </c>
      <c r="U48" s="67">
        <f>100000*Tonnage</f>
        <v>30000000</v>
      </c>
      <c r="V48" s="67">
        <v>7</v>
      </c>
      <c r="W48" s="67">
        <v>0</v>
      </c>
      <c r="X48" s="67" t="s">
        <v>1526</v>
      </c>
      <c r="AB48" t="b">
        <f>OR(A16=S48)</f>
        <v>0</v>
      </c>
    </row>
    <row r="49" spans="19:29" ht="15" customHeight="1"/>
    <row r="50" spans="19:29" ht="15" customHeight="1">
      <c r="S50" s="70" t="s">
        <v>312</v>
      </c>
      <c r="T50" s="67">
        <f>0.750001*B4</f>
        <v>225.00030000000001</v>
      </c>
    </row>
    <row r="51" spans="19:29" ht="15" customHeight="1">
      <c r="S51" s="70" t="s">
        <v>93</v>
      </c>
      <c r="AC51" t="s">
        <v>1420</v>
      </c>
    </row>
    <row r="52" spans="19:29">
      <c r="S52" s="67" t="s">
        <v>94</v>
      </c>
      <c r="T52" s="67" t="b">
        <f>IF(A37=AC51,TRUE,FALSE)</f>
        <v>0</v>
      </c>
      <c r="U52" s="243">
        <f>C36</f>
        <v>60</v>
      </c>
      <c r="AC52" t="s">
        <v>1421</v>
      </c>
    </row>
    <row r="53" spans="19:29">
      <c r="S53" s="67" t="s">
        <v>95</v>
      </c>
      <c r="T53" s="241">
        <f>C39</f>
        <v>0</v>
      </c>
    </row>
    <row r="54" spans="19:29">
      <c r="S54" s="67" t="s">
        <v>96</v>
      </c>
      <c r="T54" s="242">
        <f>C29</f>
        <v>0</v>
      </c>
    </row>
    <row r="56" spans="19:29">
      <c r="S56" s="67" t="s">
        <v>399</v>
      </c>
      <c r="T56" s="67" t="s">
        <v>743</v>
      </c>
    </row>
    <row r="57" spans="19:29">
      <c r="S57" s="67">
        <f>SUM(H9:H49)</f>
        <v>0</v>
      </c>
      <c r="T57" s="67">
        <f>SUM(K10:K21)</f>
        <v>60</v>
      </c>
    </row>
    <row r="59" spans="19:29">
      <c r="S59" s="67" t="str">
        <f>B4&amp;" tons, "&amp;B7&amp;" "&amp;B6&amp;", "&amp;IF(D5="Yes","","Non-Gravitic ")&amp;D6&amp;IF(C8=W14,", Military Hull","") &amp;""&amp;IF(A13=S24,"",", "&amp;A13)&amp;""&amp;IF(A14=S24,"",", "&amp;A14)&amp;""&amp;IF(A15=S24,"",", "&amp;A15)&amp;""&amp;IF(A16=S24,"",", "&amp;A16)&amp;""&amp;IF(A17=S24,"",", "&amp;A17)&amp;""&amp;IF(A18=S24,"",", "&amp;A18)&amp;""&amp;IF(A19=S24,"",", "&amp;A19)&amp;""&amp;IF(A21=S45,"",", "&amp;A21)&amp;""&amp;IF(A22=S42,"",", "&amp;A22)&amp;IF(C25=0,"",", "&amp;C25&amp;" tons of Modular Section(s)")&amp;IF(C29=0,"",", "&amp;C29&amp;" tons of Breakaway Hull(s)")&amp;IF(T52=FALSE,"",", "&amp;C36&amp;" tons of Double Hull")&amp;IF(C39=0,"",", "&amp;C39&amp;" tons of Hamster Cages")</f>
        <v>300 tons, Streamlined Needle, Standard Hull, Radiation Shielding</v>
      </c>
    </row>
    <row r="60" spans="19:29">
      <c r="S60" s="67">
        <f>IF(D7&lt;10560,D7,IF(D7&lt;105600,D7/10,IF(D7&lt;1056000,D7/100,D7/1000)))</f>
        <v>120</v>
      </c>
    </row>
    <row r="61" spans="19:29">
      <c r="S61" s="67">
        <v>10</v>
      </c>
      <c r="T61" s="67">
        <v>20</v>
      </c>
      <c r="U61" s="67">
        <v>30</v>
      </c>
      <c r="V61" s="67">
        <v>40</v>
      </c>
      <c r="W61" s="67">
        <v>50</v>
      </c>
      <c r="X61" s="67">
        <v>60</v>
      </c>
      <c r="Y61" s="67">
        <v>70</v>
      </c>
      <c r="Z61" s="67">
        <v>80</v>
      </c>
      <c r="AA61" s="67">
        <v>90</v>
      </c>
    </row>
    <row r="62" spans="19:29">
      <c r="S62" s="67">
        <f>ROUNDUP(0.1*S60,0)</f>
        <v>12</v>
      </c>
      <c r="T62" s="67">
        <f>ROUNDUP(0.2*S60,0)</f>
        <v>24</v>
      </c>
      <c r="U62" s="67">
        <f>ROUNDUP(0.3*S60,0)</f>
        <v>36</v>
      </c>
      <c r="V62" s="67">
        <f>ROUNDUP(0.4*S60,0)</f>
        <v>48</v>
      </c>
      <c r="W62" s="67">
        <f>ROUNDUP(0.5*S60,0)</f>
        <v>60</v>
      </c>
      <c r="X62" s="67">
        <f>ROUNDUP(0.6*S60,0)</f>
        <v>72</v>
      </c>
      <c r="Y62" s="67">
        <f>ROUNDUP(0.7*S60,0)</f>
        <v>84</v>
      </c>
      <c r="Z62" s="67">
        <f>ROUNDUP(0.8*S60,0)</f>
        <v>96</v>
      </c>
      <c r="AA62" s="67">
        <f>ROUNDUP(0.9*S60,0)</f>
        <v>108</v>
      </c>
    </row>
    <row r="64" spans="19:29">
      <c r="S64" s="71" t="s">
        <v>740</v>
      </c>
      <c r="T64" s="67" t="str">
        <f>IF(OR(A13=S25,A14=S25,A15=S25,A17=S25,A18=S25,A19=S25),"/Atm+2","")</f>
        <v/>
      </c>
    </row>
    <row r="66" spans="19:21">
      <c r="S66" s="67" t="s">
        <v>757</v>
      </c>
    </row>
    <row r="67" spans="19:21">
      <c r="S67" s="67">
        <f>SUM(H13:H22)</f>
        <v>0</v>
      </c>
    </row>
    <row r="68" spans="19:21">
      <c r="S68" s="67" t="s">
        <v>2069</v>
      </c>
      <c r="T68" s="67">
        <f>IF(H6&lt;0,1,0)</f>
        <v>0</v>
      </c>
    </row>
    <row r="69" spans="19:21">
      <c r="S69" s="67" t="s">
        <v>808</v>
      </c>
      <c r="T69" s="67">
        <f>IF(C25&gt;T50,1,0)</f>
        <v>0</v>
      </c>
    </row>
    <row r="70" spans="19:21">
      <c r="S70" s="67" t="s">
        <v>809</v>
      </c>
      <c r="T70" s="67">
        <f>IF(U70&gt;E2,1,0)</f>
        <v>0</v>
      </c>
      <c r="U70" s="67">
        <f>MAX(E13:E22)</f>
        <v>7</v>
      </c>
    </row>
    <row r="71" spans="19:21">
      <c r="S71" s="67" t="s">
        <v>1296</v>
      </c>
      <c r="T71" s="67">
        <f>IF(AND(B4&lt;5000,C8=W14),1,0)</f>
        <v>0</v>
      </c>
    </row>
    <row r="72" spans="19:21">
      <c r="S72" s="67" t="s">
        <v>2070</v>
      </c>
      <c r="T72" s="67">
        <f>IF(AND($AC$43=1,$AC$25&gt;0),1,0)</f>
        <v>0</v>
      </c>
    </row>
    <row r="73" spans="19:21">
      <c r="S73" s="67" t="s">
        <v>769</v>
      </c>
      <c r="T73" s="67">
        <f>SUM(T68:T72)</f>
        <v>0</v>
      </c>
    </row>
  </sheetData>
  <sheetProtection algorithmName="SHA-512" hashValue="7pPQK4xk1c8gMOk9wgkUPkeVcZ7n/oyXvr/a9d2hwpcEAU08kMi+KNfAiV3O5VqVxAHLUmKD8/SkVnP6uNAZ4Q==" saltValue="a2KBdK5TUAmatPxS3wk24A==" spinCount="100000" sheet="1" selectLockedCells="1"/>
  <sortState xmlns:xlrd2="http://schemas.microsoft.com/office/spreadsheetml/2017/richdata2" ref="S18:W22">
    <sortCondition ref="V18:V22"/>
  </sortState>
  <mergeCells count="4">
    <mergeCell ref="B47:D48"/>
    <mergeCell ref="H4:I4"/>
    <mergeCell ref="K4:L4"/>
    <mergeCell ref="C11:D11"/>
  </mergeCells>
  <conditionalFormatting sqref="A9">
    <cfRule type="expression" dxfId="683" priority="134">
      <formula>#REF!&gt;$E$2</formula>
    </cfRule>
  </conditionalFormatting>
  <conditionalFormatting sqref="A13">
    <cfRule type="expression" dxfId="682" priority="15">
      <formula>$E$13&gt;$E$2</formula>
    </cfRule>
  </conditionalFormatting>
  <conditionalFormatting sqref="A13:A20">
    <cfRule type="expression" dxfId="681" priority="639">
      <formula>AND($AC$43=1,$AC$25&gt;0)</formula>
    </cfRule>
    <cfRule type="expression" dxfId="680" priority="686">
      <formula>OR($AB$43,$AB$44)</formula>
    </cfRule>
  </conditionalFormatting>
  <conditionalFormatting sqref="A13:A22">
    <cfRule type="expression" dxfId="679" priority="689">
      <formula>$A13&lt;&gt;$S$24</formula>
    </cfRule>
  </conditionalFormatting>
  <conditionalFormatting sqref="A14">
    <cfRule type="expression" dxfId="677" priority="133">
      <formula>$E$14&gt;$E$2</formula>
    </cfRule>
  </conditionalFormatting>
  <conditionalFormatting sqref="A15:A16">
    <cfRule type="expression" dxfId="676" priority="637">
      <formula>$E$15&gt;$E$2</formula>
    </cfRule>
  </conditionalFormatting>
  <conditionalFormatting sqref="A17">
    <cfRule type="expression" dxfId="675" priority="638">
      <formula>$E$17&gt;$E$2</formula>
    </cfRule>
  </conditionalFormatting>
  <conditionalFormatting sqref="A18">
    <cfRule type="expression" dxfId="674" priority="14">
      <formula>$E$18&gt;$E$2</formula>
    </cfRule>
  </conditionalFormatting>
  <conditionalFormatting sqref="A19">
    <cfRule type="expression" dxfId="673" priority="13">
      <formula>$E$19&gt;$E$2</formula>
    </cfRule>
  </conditionalFormatting>
  <conditionalFormatting sqref="A20">
    <cfRule type="expression" dxfId="672" priority="12">
      <formula>$E$20&gt;$E$2</formula>
    </cfRule>
  </conditionalFormatting>
  <conditionalFormatting sqref="A21">
    <cfRule type="expression" dxfId="671" priority="11">
      <formula>$E$21&gt;$E$2</formula>
    </cfRule>
  </conditionalFormatting>
  <conditionalFormatting sqref="A22">
    <cfRule type="expression" dxfId="670" priority="10">
      <formula>$E$22&gt;$E$2</formula>
    </cfRule>
    <cfRule type="expression" dxfId="669" priority="688">
      <formula>$Z$12=0</formula>
    </cfRule>
    <cfRule type="expression" dxfId="668" priority="687">
      <formula>AND($Z$12=0,$AC$43&gt;0)</formula>
    </cfRule>
  </conditionalFormatting>
  <conditionalFormatting sqref="A37">
    <cfRule type="expression" dxfId="667" priority="1">
      <formula>$A$37=$AC$51</formula>
    </cfRule>
  </conditionalFormatting>
  <conditionalFormatting sqref="B4">
    <cfRule type="expression" dxfId="665" priority="29">
      <formula>AND($D$5=$W$13,$B$4&gt;500000)</formula>
    </cfRule>
  </conditionalFormatting>
  <conditionalFormatting sqref="B9">
    <cfRule type="cellIs" dxfId="664" priority="8" operator="notEqual">
      <formula>$S$18</formula>
    </cfRule>
    <cfRule type="expression" dxfId="663" priority="27">
      <formula>$E$9&gt;$E$2</formula>
    </cfRule>
  </conditionalFormatting>
  <conditionalFormatting sqref="B12">
    <cfRule type="expression" dxfId="662" priority="698">
      <formula>AND($AB$38,$AB$39)</formula>
    </cfRule>
    <cfRule type="expression" dxfId="661" priority="697">
      <formula>$AC$33&gt;1</formula>
    </cfRule>
  </conditionalFormatting>
  <conditionalFormatting sqref="C8">
    <cfRule type="expression" dxfId="660" priority="23">
      <formula>$B$4&lt;5000</formula>
    </cfRule>
    <cfRule type="expression" dxfId="659" priority="22" stopIfTrue="1">
      <formula>AND($B$4&lt;5000,$C$8=$W$14)</formula>
    </cfRule>
  </conditionalFormatting>
  <conditionalFormatting sqref="C25">
    <cfRule type="expression" dxfId="658" priority="916">
      <formula>$C$25&gt;$T$50</formula>
    </cfRule>
    <cfRule type="cellIs" dxfId="657" priority="915" operator="greaterThan">
      <formula>0</formula>
    </cfRule>
  </conditionalFormatting>
  <conditionalFormatting sqref="C29">
    <cfRule type="cellIs" dxfId="656" priority="7" operator="greaterThan">
      <formula>0</formula>
    </cfRule>
  </conditionalFormatting>
  <conditionalFormatting sqref="C36">
    <cfRule type="expression" dxfId="655" priority="6">
      <formula>$A$37=TRUE</formula>
    </cfRule>
  </conditionalFormatting>
  <conditionalFormatting sqref="C39">
    <cfRule type="cellIs" dxfId="654" priority="5" operator="greaterThan">
      <formula>0</formula>
    </cfRule>
  </conditionalFormatting>
  <conditionalFormatting sqref="C7:D7">
    <cfRule type="expression" dxfId="653" priority="658">
      <formula>$D$10&gt;($D$7-1)</formula>
    </cfRule>
  </conditionalFormatting>
  <conditionalFormatting sqref="C9:D9">
    <cfRule type="expression" dxfId="652" priority="39">
      <formula>$D$9&gt;$Y$17</formula>
    </cfRule>
  </conditionalFormatting>
  <conditionalFormatting sqref="E9">
    <cfRule type="expression" dxfId="651" priority="28">
      <formula>$E$9&gt;$E$2</formula>
    </cfRule>
  </conditionalFormatting>
  <conditionalFormatting sqref="H6">
    <cfRule type="expression" dxfId="650" priority="26">
      <formula>$H$6&lt;0</formula>
    </cfRule>
  </conditionalFormatting>
  <conditionalFormatting sqref="K6">
    <cfRule type="expression" dxfId="649" priority="25">
      <formula>$K$6&lt;0</formula>
    </cfRule>
  </conditionalFormatting>
  <dataValidations count="24">
    <dataValidation type="list" allowBlank="1" showInputMessage="1" showErrorMessage="1" sqref="B9" xr:uid="{1B1DC333-A753-4D11-BEB0-A3E83CA29EE6}">
      <formula1>$S$18:$S$22</formula1>
    </dataValidation>
    <dataValidation type="whole" allowBlank="1" showInputMessage="1" showErrorMessage="1" sqref="D9" xr:uid="{E50CCEB1-D64A-4436-BAF9-C2FCF4C4606A}">
      <formula1>0</formula1>
      <formula2>Y17</formula2>
    </dataValidation>
    <dataValidation type="list" allowBlank="1" showInputMessage="1" showErrorMessage="1" sqref="D6" xr:uid="{CD950BE2-CAC8-4914-85BC-AFB99D53B726}">
      <formula1>$S$13:$S$15</formula1>
    </dataValidation>
    <dataValidation type="list" allowBlank="1" showInputMessage="1" showErrorMessage="1" sqref="B6" xr:uid="{8A46E570-73A1-47A7-9EFE-D4492FA6295A}">
      <formula1>$S$2:$S$11</formula1>
    </dataValidation>
    <dataValidation type="list" allowBlank="1" showInputMessage="1" showErrorMessage="1" prompt="Hulls without Artificial Gravity may not exceed 500,000 tons." sqref="D5" xr:uid="{8CE6513D-4B56-44AF-AB31-4813D2821ED9}">
      <formula1>$W$13:$W$14</formula1>
    </dataValidation>
    <dataValidation type="decimal" operator="greaterThanOrEqual" allowBlank="1" showInputMessage="1" showErrorMessage="1" sqref="B4" xr:uid="{14F14990-611D-47C4-BD8A-01F360A08E95}">
      <formula1>5</formula1>
    </dataValidation>
    <dataValidation type="list" allowBlank="1" showInputMessage="1" showErrorMessage="1" sqref="C8" xr:uid="{B1F4ED50-A2FF-4991-ADD3-F2B53E3B818A}">
      <formula1>$W$13:$W$14</formula1>
    </dataValidation>
    <dataValidation type="whole" allowBlank="1" showInputMessage="1" showErrorMessage="1" sqref="D22" xr:uid="{F009B23F-9064-4604-AF75-3E3FF12C2CFA}">
      <formula1>0</formula1>
      <formula2>40</formula2>
    </dataValidation>
    <dataValidation type="whole" allowBlank="1" showInputMessage="1" showErrorMessage="1" sqref="C29" xr:uid="{4112EACD-8389-4C00-9893-B32245B9EE3C}">
      <formula1>0</formula1>
      <formula2>Tonnage</formula2>
    </dataValidation>
    <dataValidation type="whole" allowBlank="1" showInputMessage="1" showErrorMessage="1" sqref="C36" xr:uid="{8E32591C-FA65-43B9-9AA3-443E7BADDC7F}">
      <formula1>60</formula1>
      <formula2>Tonnage</formula2>
    </dataValidation>
    <dataValidation type="list" allowBlank="1" showInputMessage="1" showErrorMessage="1" sqref="A21" xr:uid="{70A9F16C-D471-40F5-A5D5-1DECE9269EEA}">
      <formula1>$S$45:$S$46</formula1>
    </dataValidation>
    <dataValidation type="list" allowBlank="1" showInputMessage="1" showErrorMessage="1" prompt="Solar Coating is only compatible with the radiation shielding option." sqref="A22" xr:uid="{0AF91F31-9F51-4594-A910-CDD0A784F0AD}">
      <formula1>$S$42:$S$44</formula1>
    </dataValidation>
    <dataValidation type="list" allowBlank="1" showInputMessage="1" showErrorMessage="1" sqref="A20" xr:uid="{3DC91186-9123-43A6-B7E1-268136EFF6C8}">
      <formula1>$S$40:$S$41</formula1>
    </dataValidation>
    <dataValidation type="list" allowBlank="1" showInputMessage="1" showErrorMessage="1" sqref="A13" xr:uid="{A0CD981E-FCEB-4E39-95B7-40FCB0C55205}">
      <formula1>$S$24:$S$25</formula1>
    </dataValidation>
    <dataValidation type="list" allowBlank="1" showInputMessage="1" showErrorMessage="1" sqref="A14" xr:uid="{45EE63BD-B13F-4565-9AA6-3BA8E550DC52}">
      <formula1>$S$26:$S$27</formula1>
    </dataValidation>
    <dataValidation type="list" allowBlank="1" showInputMessage="1" showErrorMessage="1" sqref="A15" xr:uid="{97E4A7D2-745A-4DC5-B99D-D62A1B038385}">
      <formula1>$S$28:$S$29</formula1>
    </dataValidation>
    <dataValidation type="decimal" allowBlank="1" showInputMessage="1" showErrorMessage="1" sqref="C39" xr:uid="{AC6B3DAF-BD76-4C9C-B265-4F5ABEA4BB0B}">
      <formula1>0</formula1>
      <formula2>Tonnage-0.1*Tonnage</formula2>
    </dataValidation>
    <dataValidation type="list" allowBlank="1" showInputMessage="1" showErrorMessage="1" sqref="A17" xr:uid="{D9FA23A8-03E1-451B-804B-B17A9CE8DB3C}">
      <formula1>$S$30:$S$31</formula1>
    </dataValidation>
    <dataValidation type="list" allowBlank="1" showInputMessage="1" showErrorMessage="1" sqref="A18" xr:uid="{551E3E64-9E68-423D-96C3-4BF607701B91}">
      <formula1>$S$32:$S$36</formula1>
    </dataValidation>
    <dataValidation type="list" allowBlank="1" showInputMessage="1" showErrorMessage="1" sqref="A19" xr:uid="{A04DF6BB-EB35-4D90-A529-514E56F34C15}">
      <formula1>$S$37:$S$39</formula1>
    </dataValidation>
    <dataValidation type="list" allowBlank="1" showInputMessage="1" showErrorMessage="1" prompt="While this won't let you create a separate module yet, setting this field to Yes will give the same cost as the base ship plus the module." sqref="C27" xr:uid="{B171341F-E0A4-4805-B72B-32C7C107BCDB}">
      <formula1>$W$13:$W$14</formula1>
    </dataValidation>
    <dataValidation type="decimal" allowBlank="1" showInputMessage="1" showErrorMessage="1" prompt="Modular componentent can make up no more than 75% of the total ship's volume." sqref="C25" xr:uid="{CAC35642-C58C-4BC0-93F1-EF5C4E339207}">
      <formula1>0</formula1>
      <formula2>T50</formula2>
    </dataValidation>
    <dataValidation type="list" allowBlank="1" showInputMessage="1" showErrorMessage="1" sqref="A37" xr:uid="{2F1B1630-A20C-49E6-B793-1C877ADF1A58}">
      <formula1>$AC$51:$AC$52</formula1>
    </dataValidation>
    <dataValidation type="list" allowBlank="1" showInputMessage="1" showErrorMessage="1" sqref="A16" xr:uid="{711BA797-EE2F-4F0D-B324-CE432AE720C6}">
      <formula1>$S$47:$S$48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3" id="{1A727CE1-9ECB-42D8-ABB0-5F2A8AA724CC}">
            <xm:f>'Ship Info'!$F$7</xm:f>
            <x14:dxf>
              <fill>
                <patternFill>
                  <bgColor theme="0" tint="-0.499984740745262"/>
                </patternFill>
              </fill>
            </x14:dxf>
          </x14:cfRule>
          <xm:sqref>A13:A22</xm:sqref>
        </x14:conditionalFormatting>
        <x14:conditionalFormatting xmlns:xm="http://schemas.microsoft.com/office/excel/2006/main">
          <x14:cfRule type="expression" priority="832" id="{DBAF04E7-E301-42B3-BD66-E18425D20E3E}">
            <xm:f>AND($B$4&gt;0.75*'Ship Info'!$C$5,'Ship Info'!$F$7)</xm:f>
            <x14:dxf>
              <fill>
                <patternFill>
                  <bgColor rgb="FFFFFF00"/>
                </patternFill>
              </fill>
            </x14:dxf>
          </x14:cfRule>
          <xm:sqref>B4 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7E69-8775-4388-B2B3-DCD711EFC2F2}">
  <dimension ref="A1:CH133"/>
  <sheetViews>
    <sheetView workbookViewId="0">
      <selection activeCell="D33" sqref="D33"/>
    </sheetView>
  </sheetViews>
  <sheetFormatPr baseColWidth="10" defaultColWidth="8.83203125" defaultRowHeight="15"/>
  <cols>
    <col min="1" max="1" width="24.1640625" customWidth="1"/>
    <col min="2" max="2" width="32.1640625" customWidth="1"/>
    <col min="3" max="3" width="14.1640625" customWidth="1"/>
    <col min="4" max="4" width="17.1640625" customWidth="1"/>
    <col min="5" max="5" width="3.6640625" customWidth="1"/>
    <col min="6" max="6" width="18" customWidth="1"/>
    <col min="8" max="8" width="12.1640625" customWidth="1"/>
    <col min="10" max="10" width="7.33203125" customWidth="1"/>
    <col min="11" max="11" width="11.33203125" customWidth="1"/>
    <col min="19" max="19" width="33.1640625" hidden="1" customWidth="1"/>
    <col min="20" max="20" width="9.1640625" hidden="1" customWidth="1"/>
    <col min="21" max="21" width="18.33203125" hidden="1" customWidth="1"/>
    <col min="22" max="26" width="9.1640625" hidden="1" customWidth="1"/>
    <col min="27" max="27" width="10.1640625" hidden="1" customWidth="1"/>
    <col min="28" max="28" width="11.6640625" hidden="1" customWidth="1"/>
    <col min="29" max="30" width="6.83203125" hidden="1" customWidth="1"/>
    <col min="31" max="31" width="30.6640625" hidden="1" customWidth="1"/>
    <col min="32" max="32" width="5.33203125" hidden="1" customWidth="1"/>
    <col min="33" max="45" width="6.6640625" hidden="1" customWidth="1"/>
    <col min="46" max="46" width="9.6640625" hidden="1" customWidth="1"/>
    <col min="47" max="49" width="6.6640625" hidden="1" customWidth="1"/>
    <col min="50" max="54" width="9.1640625" hidden="1" customWidth="1"/>
    <col min="55" max="55" width="9.1640625" customWidth="1"/>
  </cols>
  <sheetData>
    <row r="1" spans="1:86">
      <c r="A1" s="3" t="str">
        <f>'Ship Info'!A1</f>
        <v>Ship's Class Name</v>
      </c>
      <c r="B1" t="str">
        <f>'Ship Info'!B1</f>
        <v>Zhodani Long Range Scout</v>
      </c>
      <c r="D1" s="2"/>
      <c r="E1" s="2"/>
      <c r="F1" s="6" t="s">
        <v>1</v>
      </c>
      <c r="S1" s="3" t="s">
        <v>54</v>
      </c>
      <c r="T1" s="3" t="s">
        <v>2</v>
      </c>
      <c r="U1" s="3" t="s">
        <v>1</v>
      </c>
      <c r="V1" s="3" t="s">
        <v>26</v>
      </c>
      <c r="W1" s="3" t="s">
        <v>55</v>
      </c>
      <c r="X1" s="3"/>
      <c r="Y1" s="3"/>
      <c r="Z1" s="7" t="s">
        <v>1668</v>
      </c>
      <c r="AA1">
        <f>MIN(17,E2)</f>
        <v>14</v>
      </c>
      <c r="AE1" s="1" t="s">
        <v>51</v>
      </c>
      <c r="AF1" s="1">
        <v>0</v>
      </c>
      <c r="AG1" s="1">
        <v>1</v>
      </c>
      <c r="AH1" s="1">
        <v>2</v>
      </c>
      <c r="AI1" s="1">
        <v>3</v>
      </c>
      <c r="AJ1" s="1">
        <v>4</v>
      </c>
      <c r="AK1" s="1">
        <v>5</v>
      </c>
      <c r="AL1" s="1">
        <v>6</v>
      </c>
      <c r="AM1" s="1">
        <v>7</v>
      </c>
      <c r="AN1" s="1">
        <v>8</v>
      </c>
      <c r="AO1" s="1">
        <v>9</v>
      </c>
      <c r="AP1" s="1">
        <v>10</v>
      </c>
      <c r="AQ1" s="1">
        <v>11</v>
      </c>
      <c r="AR1" s="1">
        <v>12</v>
      </c>
      <c r="AS1" s="1">
        <v>13</v>
      </c>
      <c r="AT1" s="1">
        <v>14</v>
      </c>
      <c r="AU1" s="1">
        <v>15</v>
      </c>
      <c r="AV1" s="1">
        <v>16</v>
      </c>
      <c r="AW1" s="1"/>
      <c r="AZ1" t="s">
        <v>898</v>
      </c>
      <c r="BA1" t="s">
        <v>900</v>
      </c>
      <c r="BB1" t="s">
        <v>1390</v>
      </c>
    </row>
    <row r="2" spans="1:86">
      <c r="A2" s="3" t="s">
        <v>432</v>
      </c>
      <c r="B2" t="str">
        <f>'Ship Info'!B2</f>
        <v>Scout</v>
      </c>
      <c r="D2" t="s">
        <v>0</v>
      </c>
      <c r="E2" s="2">
        <f>Tech_Level</f>
        <v>14</v>
      </c>
      <c r="F2" s="4">
        <f>'Ship Info'!G2</f>
        <v>621511800.00000012</v>
      </c>
      <c r="S2" t="s">
        <v>824</v>
      </c>
      <c r="T2">
        <v>0</v>
      </c>
      <c r="U2">
        <v>0</v>
      </c>
      <c r="V2">
        <v>0</v>
      </c>
      <c r="W2">
        <v>0</v>
      </c>
      <c r="Y2" t="s">
        <v>845</v>
      </c>
      <c r="AE2" s="3" t="s">
        <v>60</v>
      </c>
      <c r="AF2" s="2">
        <v>5.0000000000000001E-3</v>
      </c>
      <c r="AG2" s="2">
        <v>0.01</v>
      </c>
      <c r="AH2" s="2">
        <v>0.02</v>
      </c>
      <c r="AI2" s="2">
        <v>0.03</v>
      </c>
      <c r="AJ2" s="2">
        <v>0.04</v>
      </c>
      <c r="AK2" s="2">
        <v>0.05</v>
      </c>
      <c r="AL2" s="2">
        <v>0.06</v>
      </c>
      <c r="AM2" s="2">
        <v>7.0000000000000007E-2</v>
      </c>
      <c r="AN2" s="2">
        <v>0.08</v>
      </c>
      <c r="AO2" s="2">
        <v>0.09</v>
      </c>
      <c r="AP2" s="2">
        <v>0.1</v>
      </c>
      <c r="AQ2" s="2">
        <v>0.11</v>
      </c>
      <c r="AR2" s="2">
        <v>1</v>
      </c>
      <c r="AS2" s="2">
        <v>1</v>
      </c>
      <c r="AT2" s="2">
        <v>1</v>
      </c>
      <c r="AU2" s="2">
        <v>1</v>
      </c>
      <c r="AV2" s="2">
        <v>1</v>
      </c>
      <c r="AW2" s="2"/>
      <c r="AX2" t="s">
        <v>899</v>
      </c>
      <c r="AZ2">
        <f>IF(P8=0,ROUNDDOWN(H11/C4,2),ROUNDDOWN(H11/P8,2))</f>
        <v>0.02</v>
      </c>
      <c r="BA2">
        <f>IF(P8=0,ROUNDDOWN(H42/C4,2),ROUNDDOWN(H42/P8,2))</f>
        <v>0</v>
      </c>
      <c r="BB2">
        <f>IF(E2&lt;9,0,IF(E2&lt;10,1,IF(E2&lt;11,3,IF(E2&lt;12,5,IF(E2&lt;13,7,IF(E2&lt;14,9,IF(E2&lt;17,10,11)))))))</f>
        <v>10</v>
      </c>
    </row>
    <row r="3" spans="1:86">
      <c r="B3" s="24" t="str">
        <f>'1-Hull'!B3</f>
        <v>High Automation - Costs x 2</v>
      </c>
      <c r="C3" s="835" t="s">
        <v>1011</v>
      </c>
      <c r="D3" s="836"/>
      <c r="E3" s="2"/>
      <c r="G3" s="28"/>
      <c r="H3" s="506">
        <f>S63</f>
        <v>32.9</v>
      </c>
      <c r="I3" s="28"/>
      <c r="J3" s="28"/>
      <c r="K3" s="507">
        <f>S66</f>
        <v>135</v>
      </c>
      <c r="S3" t="s">
        <v>50</v>
      </c>
      <c r="T3">
        <f>C4*HLOOKUP(D11,AF1:AQ3,2)</f>
        <v>6</v>
      </c>
      <c r="U3">
        <f>2000000*(T3)</f>
        <v>12000000</v>
      </c>
      <c r="V3">
        <f>HLOOKUP(D11,AF1:AQ3,3)</f>
        <v>10</v>
      </c>
      <c r="W3">
        <f>IF(D11&gt;0,D11*0.1*C4,0.1*C4*0.25)</f>
        <v>60</v>
      </c>
      <c r="Y3">
        <v>0</v>
      </c>
      <c r="AA3">
        <v>0</v>
      </c>
      <c r="AE3" s="7" t="s">
        <v>26</v>
      </c>
      <c r="AF3" s="2">
        <v>9</v>
      </c>
      <c r="AG3" s="2">
        <v>9</v>
      </c>
      <c r="AH3" s="2">
        <v>10</v>
      </c>
      <c r="AI3" s="2">
        <v>10</v>
      </c>
      <c r="AJ3" s="2">
        <v>11</v>
      </c>
      <c r="AK3" s="2">
        <v>11</v>
      </c>
      <c r="AL3" s="2">
        <v>12</v>
      </c>
      <c r="AM3" s="2">
        <v>13</v>
      </c>
      <c r="AN3" s="2">
        <v>14</v>
      </c>
      <c r="AO3" s="2">
        <v>15</v>
      </c>
      <c r="AP3" s="2">
        <v>16</v>
      </c>
      <c r="AQ3" s="2">
        <v>17</v>
      </c>
      <c r="AR3" s="2">
        <v>99</v>
      </c>
      <c r="AS3" s="2">
        <v>99</v>
      </c>
      <c r="AT3" s="2">
        <v>99</v>
      </c>
      <c r="AU3" s="2">
        <v>99</v>
      </c>
      <c r="AV3" s="2">
        <v>99</v>
      </c>
      <c r="AW3" s="2"/>
      <c r="AX3" t="s">
        <v>62</v>
      </c>
      <c r="AZ3">
        <f>IF(P8=0,ROUNDDOWN(H19/C4,2),ROUNDDOWN(H19/P8,2))</f>
        <v>0</v>
      </c>
      <c r="BA3">
        <f>IF(P8=0,ROUNDDOWN(H33/C4,2),ROUNDDOWN(H33/P8,2))</f>
        <v>0</v>
      </c>
      <c r="BB3">
        <f>IF(E2&lt;7,0,IF(E2&lt;8,3,IF(E2&lt;9,6,IF(E2&lt;10,9,IF(E2&lt;11,12,IF(E2&lt;12,15,16))))))</f>
        <v>16</v>
      </c>
    </row>
    <row r="4" spans="1:86">
      <c r="A4" s="7" t="s">
        <v>2</v>
      </c>
      <c r="B4" s="263">
        <f>'1-Hull'!B4</f>
        <v>300</v>
      </c>
      <c r="C4" s="325">
        <f>U107</f>
        <v>300</v>
      </c>
      <c r="D4" s="116" t="s">
        <v>1012</v>
      </c>
      <c r="E4" s="2"/>
      <c r="F4" s="504" t="s">
        <v>45</v>
      </c>
      <c r="H4" s="6" t="s">
        <v>46</v>
      </c>
      <c r="I4" s="6"/>
      <c r="K4" s="6" t="s">
        <v>55</v>
      </c>
      <c r="L4" s="6"/>
      <c r="S4" t="s">
        <v>56</v>
      </c>
      <c r="T4">
        <f>C4*HLOOKUP(D19,AF1:AV5,4)</f>
        <v>3</v>
      </c>
      <c r="U4">
        <f>200000*(T4)</f>
        <v>600000</v>
      </c>
      <c r="V4">
        <f>HLOOKUP(D19,AF1:AV5,5)</f>
        <v>7</v>
      </c>
      <c r="W4">
        <v>0</v>
      </c>
      <c r="Y4">
        <v>1</v>
      </c>
      <c r="AA4">
        <v>0.1</v>
      </c>
      <c r="AE4" s="3" t="s">
        <v>62</v>
      </c>
      <c r="AF4" s="2">
        <v>0.01</v>
      </c>
      <c r="AG4" s="2">
        <v>0.02</v>
      </c>
      <c r="AH4" s="2">
        <v>0.04</v>
      </c>
      <c r="AI4" s="2">
        <v>0.06</v>
      </c>
      <c r="AJ4" s="2">
        <v>0.08</v>
      </c>
      <c r="AK4" s="2">
        <v>0.1</v>
      </c>
      <c r="AL4" s="2">
        <v>0.12</v>
      </c>
      <c r="AM4" s="2">
        <v>0.14000000000000001</v>
      </c>
      <c r="AN4" s="2">
        <v>0.16</v>
      </c>
      <c r="AO4" s="2">
        <v>0.18</v>
      </c>
      <c r="AP4" s="2">
        <v>0.2</v>
      </c>
      <c r="AQ4" s="2">
        <v>0.22</v>
      </c>
      <c r="AR4" s="2">
        <v>0.24</v>
      </c>
      <c r="AS4" s="2">
        <v>0.26</v>
      </c>
      <c r="AT4" s="2">
        <v>0.28000000000000003</v>
      </c>
      <c r="AU4" s="2">
        <v>0.3</v>
      </c>
      <c r="AV4" s="2">
        <v>0.32</v>
      </c>
      <c r="AW4" s="2"/>
      <c r="AX4" t="s">
        <v>52</v>
      </c>
      <c r="AZ4">
        <f>IF(P8=0,ROUNDDOWN((H25-5)/C4,3),ROUNDDOWN((H25-5)/P8,3))</f>
        <v>7.4999999999999997E-2</v>
      </c>
      <c r="BA4">
        <f>IF(P8=0,ROUNDDOWN(H51/C4,2),ROUNDDOWN(H51/P8,2))</f>
        <v>0</v>
      </c>
      <c r="BB4">
        <f>IF(E2&lt;9,0,IF(E2&lt;10,1,IF(E2&lt;12,2,IF(E2&lt;13,3,IF(E2&lt;14,4,IF(E2&lt;15,5,IF(E2&lt;16,6,IF(E2&lt;17,7,IF(E2&lt;18,8,9)))))))))</f>
        <v>5</v>
      </c>
    </row>
    <row r="5" spans="1:86" ht="16" thickBot="1">
      <c r="B5" s="6" t="s">
        <v>890</v>
      </c>
      <c r="F5" s="505">
        <f>SUM(F11:F56)</f>
        <v>144750000</v>
      </c>
      <c r="H5" s="1" t="s">
        <v>403</v>
      </c>
      <c r="I5" s="1" t="s">
        <v>27</v>
      </c>
      <c r="K5" s="1" t="s">
        <v>403</v>
      </c>
      <c r="L5" s="1" t="s">
        <v>27</v>
      </c>
      <c r="S5" s="44" t="s">
        <v>870</v>
      </c>
      <c r="T5" s="45">
        <v>0</v>
      </c>
      <c r="U5" s="45">
        <v>0</v>
      </c>
      <c r="V5" s="45">
        <v>0</v>
      </c>
      <c r="W5" s="47">
        <v>0</v>
      </c>
      <c r="Y5">
        <v>2</v>
      </c>
      <c r="AA5">
        <v>0.25</v>
      </c>
      <c r="AE5" s="7" t="s">
        <v>26</v>
      </c>
      <c r="AF5" s="2">
        <v>7</v>
      </c>
      <c r="AG5" s="2">
        <v>7</v>
      </c>
      <c r="AH5" s="2">
        <v>7</v>
      </c>
      <c r="AI5" s="2">
        <v>7</v>
      </c>
      <c r="AJ5" s="2">
        <v>8</v>
      </c>
      <c r="AK5" s="2">
        <v>8</v>
      </c>
      <c r="AL5" s="2">
        <v>8</v>
      </c>
      <c r="AM5" s="2">
        <v>9</v>
      </c>
      <c r="AN5" s="2">
        <v>9</v>
      </c>
      <c r="AO5" s="2">
        <v>9</v>
      </c>
      <c r="AP5" s="2">
        <v>10</v>
      </c>
      <c r="AQ5" s="2">
        <v>10</v>
      </c>
      <c r="AR5" s="2">
        <v>10</v>
      </c>
      <c r="AS5" s="2">
        <v>11</v>
      </c>
      <c r="AT5" s="2">
        <v>11</v>
      </c>
      <c r="AU5" s="2">
        <v>11</v>
      </c>
      <c r="AV5" s="2">
        <v>12</v>
      </c>
      <c r="AW5" s="2"/>
    </row>
    <row r="6" spans="1:86" ht="17" thickTop="1" thickBot="1">
      <c r="B6" s="7" t="s">
        <v>906</v>
      </c>
      <c r="C6" s="197" t="s">
        <v>907</v>
      </c>
      <c r="H6" s="10">
        <f>'Ship Info'!I3</f>
        <v>2.6000000000000227</v>
      </c>
      <c r="I6" s="270">
        <f>'1-Hull'!I6</f>
        <v>300</v>
      </c>
      <c r="K6" s="270">
        <f>'Ship Info'!L3</f>
        <v>7</v>
      </c>
      <c r="L6" s="270">
        <f>'3-Pwr Plant'!L6</f>
        <v>250</v>
      </c>
      <c r="S6" s="78" t="s">
        <v>57</v>
      </c>
      <c r="T6">
        <f>C4*HLOOKUP(D25,AF6:AO8,2)</f>
        <v>42.000000000000007</v>
      </c>
      <c r="U6">
        <f>2000000*(T6)</f>
        <v>84000000.000000015</v>
      </c>
      <c r="V6">
        <f>HLOOKUP(D25,AF6:AO8,3)</f>
        <v>20</v>
      </c>
      <c r="W6" s="46">
        <f>T6+H28</f>
        <v>42.000000000000007</v>
      </c>
      <c r="Y6">
        <v>3</v>
      </c>
      <c r="AA6">
        <v>0.5</v>
      </c>
      <c r="AE6" s="3" t="s">
        <v>51</v>
      </c>
      <c r="AF6" s="1">
        <v>0</v>
      </c>
      <c r="AG6" s="1">
        <v>1</v>
      </c>
      <c r="AH6" s="1">
        <v>2</v>
      </c>
      <c r="AI6" s="1">
        <v>3</v>
      </c>
      <c r="AJ6" s="1">
        <v>4</v>
      </c>
      <c r="AK6" s="1">
        <v>5</v>
      </c>
      <c r="AL6" s="1">
        <v>6</v>
      </c>
      <c r="AM6" s="1">
        <v>7</v>
      </c>
      <c r="AN6" s="1">
        <v>8</v>
      </c>
      <c r="AO6" s="1">
        <v>9</v>
      </c>
      <c r="AP6" s="2"/>
      <c r="AQ6" s="2"/>
      <c r="AR6" s="2"/>
      <c r="AS6" s="2"/>
      <c r="AT6" s="2"/>
      <c r="AU6" s="2"/>
      <c r="AV6" s="2"/>
      <c r="AW6" s="2"/>
      <c r="AX6" t="s">
        <v>870</v>
      </c>
      <c r="AZ6">
        <v>0</v>
      </c>
      <c r="BA6">
        <v>0</v>
      </c>
      <c r="BC6" s="828" t="s">
        <v>1702</v>
      </c>
      <c r="BD6" s="829"/>
      <c r="BE6" s="829"/>
      <c r="BF6" s="829"/>
      <c r="BG6" s="829"/>
      <c r="BH6" s="829"/>
      <c r="BI6" s="829"/>
      <c r="BJ6" s="829"/>
      <c r="BK6" s="829"/>
      <c r="BL6" s="829"/>
      <c r="BM6" s="829"/>
      <c r="BN6" s="829"/>
      <c r="BO6" s="376"/>
      <c r="BP6" s="376"/>
      <c r="BQ6" s="376"/>
      <c r="BR6" s="376"/>
      <c r="BS6" s="376"/>
      <c r="BT6" s="376"/>
      <c r="BU6" s="376"/>
      <c r="BV6" s="376"/>
      <c r="BW6" s="376"/>
      <c r="BX6" s="376"/>
      <c r="BY6" s="376"/>
      <c r="BZ6" s="376"/>
      <c r="CA6" s="376"/>
      <c r="CB6" s="376"/>
      <c r="CC6" s="376"/>
      <c r="CD6" s="376"/>
      <c r="CE6" s="376"/>
      <c r="CF6" s="376"/>
      <c r="CG6" s="376"/>
      <c r="CH6" s="48"/>
    </row>
    <row r="7" spans="1:86" ht="16" thickBot="1">
      <c r="B7" s="7" t="s">
        <v>784</v>
      </c>
      <c r="C7" s="197" t="s">
        <v>99</v>
      </c>
      <c r="H7" s="1" t="s">
        <v>48</v>
      </c>
      <c r="I7" s="2"/>
      <c r="K7" s="2"/>
      <c r="L7" s="2"/>
      <c r="M7" s="83" t="s">
        <v>817</v>
      </c>
      <c r="N7" s="84"/>
      <c r="O7" s="84"/>
      <c r="P7" s="84"/>
      <c r="Q7" s="85"/>
      <c r="S7" s="78" t="s">
        <v>53</v>
      </c>
      <c r="T7">
        <f>IF((C4*HLOOKUP(D25,AF6:AO10,4)+5)&gt;9.99,C4*HLOOKUP(D25,AF6:AO10,4)+5,10)</f>
        <v>27.5</v>
      </c>
      <c r="U7">
        <f>1500000*(T7)</f>
        <v>41250000</v>
      </c>
      <c r="V7">
        <f>HLOOKUP(D25,AF6:AO10,5)</f>
        <v>12</v>
      </c>
      <c r="W7" s="46">
        <f>0.1*C4*D25</f>
        <v>90</v>
      </c>
      <c r="AE7" s="3" t="s">
        <v>63</v>
      </c>
      <c r="AF7" s="2">
        <v>0</v>
      </c>
      <c r="AG7" s="2">
        <v>0.1</v>
      </c>
      <c r="AH7" s="2">
        <v>0.12</v>
      </c>
      <c r="AI7" s="2">
        <v>0.14000000000000001</v>
      </c>
      <c r="AJ7" s="2">
        <v>0.16</v>
      </c>
      <c r="AK7" s="2">
        <v>0.18</v>
      </c>
      <c r="AL7" s="2">
        <v>0.2</v>
      </c>
      <c r="AM7" s="2">
        <v>0.22</v>
      </c>
      <c r="AN7" s="2">
        <v>0.24</v>
      </c>
      <c r="AO7" s="2">
        <v>0.26</v>
      </c>
      <c r="AP7" s="2"/>
      <c r="AQ7" s="2"/>
      <c r="AR7" s="2"/>
      <c r="AS7" s="2"/>
      <c r="AT7" s="2"/>
      <c r="AU7" s="2"/>
      <c r="AV7" s="2"/>
      <c r="AW7" s="2"/>
      <c r="AX7" t="s">
        <v>57</v>
      </c>
      <c r="AZ7">
        <f>IF(AZ4&gt;0.259,9,IF(AZ4&gt;0.239,8,IF(AZ4&gt;0.219,7,IF(AZ4&gt;0.199,6,IF(AZ4&gt;0.179,5,IF(AZ4&gt;0.159,4,IF(AZ4&gt;0.139,3,IF(AZ4&gt;0.119,2,IF(AZ4&gt;0.099,1,0)))))))))</f>
        <v>0</v>
      </c>
      <c r="BA7">
        <f>IF(BA4&gt;0.259,9,IF(BA4&gt;0.239,8,IF(BA4&gt;0.219,7,IF(BA4&gt;0.199,6,IF(BA4&gt;0.179,5,IF(BA4&gt;0.159,4,IF(BA4&gt;0.139,3,IF(BA4&gt;0.119,2,IF(BA4&gt;0.099,1,0)))))))))</f>
        <v>0</v>
      </c>
      <c r="BC7" s="273"/>
      <c r="CH7" s="49"/>
    </row>
    <row r="8" spans="1:86" ht="16" thickBot="1">
      <c r="A8" s="3"/>
      <c r="B8" s="7" t="s">
        <v>891</v>
      </c>
      <c r="C8" s="197" t="s">
        <v>99</v>
      </c>
      <c r="H8" s="2"/>
      <c r="I8" s="2"/>
      <c r="K8" s="2"/>
      <c r="L8" s="2"/>
      <c r="M8" s="78" t="s">
        <v>812</v>
      </c>
      <c r="P8" s="837">
        <v>0</v>
      </c>
      <c r="Q8" s="837"/>
      <c r="S8" t="s">
        <v>1661</v>
      </c>
      <c r="T8">
        <f>IF((C4*HLOOKUP(D25,AF6:AO12,6)+5)&gt;9.99,C4*HLOOKUP(D25,AF6:AO12,6)+5,10)</f>
        <v>27.5</v>
      </c>
      <c r="U8">
        <f>15000000*T8</f>
        <v>412500000</v>
      </c>
      <c r="V8">
        <f>HLOOKUP(D25,AF6:AO12,7)</f>
        <v>19</v>
      </c>
      <c r="W8">
        <f>0.1*C4*D25</f>
        <v>90</v>
      </c>
      <c r="AA8" t="s">
        <v>892</v>
      </c>
      <c r="AE8" s="7" t="s">
        <v>26</v>
      </c>
      <c r="AF8" s="2">
        <v>0</v>
      </c>
      <c r="AG8" s="2">
        <f>17+AA9</f>
        <v>17</v>
      </c>
      <c r="AH8" s="2">
        <f>19+AA9</f>
        <v>19</v>
      </c>
      <c r="AI8" s="2">
        <f>20+AA9</f>
        <v>20</v>
      </c>
      <c r="AJ8" s="2">
        <f>21+AA9</f>
        <v>21</v>
      </c>
      <c r="AK8" s="2">
        <f>22+AA9</f>
        <v>22</v>
      </c>
      <c r="AL8" s="2">
        <f>23+AA9</f>
        <v>23</v>
      </c>
      <c r="AM8" s="2">
        <f>24+AA9</f>
        <v>24</v>
      </c>
      <c r="AN8" s="2">
        <f>25+AA9</f>
        <v>25</v>
      </c>
      <c r="AO8" s="2">
        <f>26+AA9</f>
        <v>26</v>
      </c>
      <c r="AP8" s="2"/>
      <c r="AQ8" s="2"/>
      <c r="AR8" s="2"/>
      <c r="AS8" s="2"/>
      <c r="AT8" s="2"/>
      <c r="AU8" s="2"/>
      <c r="AV8" s="2"/>
      <c r="AW8" s="2"/>
      <c r="AX8" t="s">
        <v>53</v>
      </c>
      <c r="AZ8">
        <f>IF(AZ4&gt;0.224,9,IF(AZ4&gt;0.199,8,IF(AZ4&gt;0.174,7,IF(AZ4&gt;0.149,6,IF(AZ4&gt;0.124,5,IF(AZ4&gt;0.099,4,IF(AZ4&gt;0.074,3,IF(AZ4&gt;0.049,2,IF(AZ4&gt;0.024,1,0)))))))))</f>
        <v>3</v>
      </c>
      <c r="BA8">
        <f>IF(BA4&gt;0.224,9,IF(BA4&gt;0.199,8,IF(BA4&gt;0.174,7,IF(BA4&gt;0.149,6,IF(BA4&gt;0.124,5,IF(BA4&gt;0.099,4,IF(BA4&gt;0.074,3,IF(BA4&gt;0.049,2,IF(BA4&gt;0.024,1,0)))))))))</f>
        <v>0</v>
      </c>
      <c r="BC8" s="830">
        <v>1</v>
      </c>
      <c r="BD8" s="824"/>
      <c r="BE8" s="818">
        <v>2</v>
      </c>
      <c r="BF8" s="824"/>
      <c r="BG8" s="818">
        <v>3</v>
      </c>
      <c r="BH8" s="824"/>
      <c r="BI8" s="816">
        <v>4</v>
      </c>
      <c r="BJ8" s="817"/>
      <c r="BK8" s="816">
        <v>5</v>
      </c>
      <c r="BL8" s="817"/>
      <c r="BM8" s="816">
        <v>6</v>
      </c>
      <c r="BN8" s="817"/>
      <c r="BO8" s="816">
        <v>7</v>
      </c>
      <c r="BP8" s="817"/>
      <c r="BQ8" s="816">
        <v>8</v>
      </c>
      <c r="BR8" s="817"/>
      <c r="BS8" s="818">
        <v>9</v>
      </c>
      <c r="BT8" s="824"/>
      <c r="BU8" s="818">
        <v>10</v>
      </c>
      <c r="BV8" s="824"/>
      <c r="BW8" s="816">
        <v>11</v>
      </c>
      <c r="BX8" s="817"/>
      <c r="BY8" s="825">
        <v>12</v>
      </c>
      <c r="BZ8" s="817"/>
      <c r="CA8" s="816">
        <v>13</v>
      </c>
      <c r="CB8" s="817"/>
      <c r="CC8" s="816">
        <v>14</v>
      </c>
      <c r="CD8" s="817"/>
      <c r="CE8" s="816">
        <v>15</v>
      </c>
      <c r="CF8" s="817"/>
      <c r="CG8" s="818">
        <v>16</v>
      </c>
      <c r="CH8" s="819"/>
    </row>
    <row r="9" spans="1:86" ht="16" thickBot="1">
      <c r="A9" s="5" t="s">
        <v>873</v>
      </c>
      <c r="B9" s="117" t="s">
        <v>1008</v>
      </c>
      <c r="C9" s="204" t="s">
        <v>1009</v>
      </c>
      <c r="D9" s="2"/>
      <c r="E9" t="s">
        <v>26</v>
      </c>
      <c r="F9" s="4"/>
      <c r="H9" s="75" t="str">
        <f>IF('Ship Info'!F7,"Modules Cannot Have Drives","Station with Drive &gt; 0")</f>
        <v>Station with Drive &gt; 0</v>
      </c>
      <c r="I9" s="2"/>
      <c r="J9" s="2"/>
      <c r="K9" s="2"/>
      <c r="L9" s="2"/>
      <c r="M9" s="78"/>
      <c r="Q9" s="46"/>
      <c r="S9" t="s">
        <v>1662</v>
      </c>
      <c r="T9">
        <f>IF((C4*HLOOKUP(D25,AF6:AO14,8)+5)&gt;9.99,C4*HLOOKUP(D25,AF6:AO14,8)+5,10)</f>
        <v>27.5</v>
      </c>
      <c r="U9">
        <f>150000000*T9</f>
        <v>4125000000</v>
      </c>
      <c r="V9">
        <f>HLOOKUP(D25,AF6:AO14,9)</f>
        <v>22</v>
      </c>
      <c r="W9">
        <f>0.1*C4*D25</f>
        <v>90</v>
      </c>
      <c r="AA9">
        <f>IF(C8=S13,-8,0)</f>
        <v>0</v>
      </c>
      <c r="AE9" s="3" t="s">
        <v>53</v>
      </c>
      <c r="AF9" s="2">
        <v>0</v>
      </c>
      <c r="AG9" s="2">
        <v>2.5000000000000001E-2</v>
      </c>
      <c r="AH9" s="2">
        <v>0.05</v>
      </c>
      <c r="AI9" s="2">
        <v>7.4999999999999997E-2</v>
      </c>
      <c r="AJ9" s="2">
        <v>0.1</v>
      </c>
      <c r="AK9" s="2">
        <v>0.125</v>
      </c>
      <c r="AL9" s="2">
        <v>0.15</v>
      </c>
      <c r="AM9" s="2">
        <v>0.17499999999999999</v>
      </c>
      <c r="AN9" s="2">
        <v>0.2</v>
      </c>
      <c r="AO9" s="2">
        <v>0.22500000000000001</v>
      </c>
      <c r="AP9" s="2"/>
      <c r="AQ9" s="2"/>
      <c r="AR9" s="2"/>
      <c r="AS9" s="2"/>
      <c r="AT9" s="2"/>
      <c r="AU9" s="2"/>
      <c r="AV9" s="2"/>
      <c r="AW9" s="2"/>
      <c r="AX9" t="s">
        <v>1661</v>
      </c>
      <c r="AZ9">
        <f>IF(AZ4&gt;0.224,9,IF(AZ4&gt;0.199,8,IF(AZ4&gt;0.174,7,IF(AZ4&gt;0.149,6,IF(AZ4&gt;0.124,5,IF(AZ4&gt;0.099,4,IF(AZ4&gt;0.074,3,IF(AZ4&gt;0.049,2,IF(AZ4&gt;0.024,1,0)))))))))</f>
        <v>3</v>
      </c>
      <c r="BA9">
        <f>IF(BA4&gt;0.224,9,IF(BA4&gt;0.199,8,IF(BA4&gt;0.174,7,IF(BA4&gt;0.149,6,IF(BA4&gt;0.124,5,IF(BA4&gt;0.099,4,IF(BA4&gt;0.074,3,IF(BA4&gt;0.049,2,IF(BA4&gt;0.024,1,0)))))))))</f>
        <v>0</v>
      </c>
      <c r="BC9" s="273"/>
      <c r="BD9" s="301"/>
      <c r="BE9" s="297"/>
      <c r="BF9" s="301"/>
      <c r="BG9" s="297"/>
      <c r="BH9" s="301"/>
      <c r="BI9" s="297"/>
      <c r="BJ9" s="301"/>
      <c r="BK9" s="297"/>
      <c r="BL9" s="301"/>
      <c r="BM9" s="297"/>
      <c r="BN9" s="301"/>
      <c r="BO9" s="297"/>
      <c r="BP9" s="301"/>
      <c r="BQ9" s="297"/>
      <c r="BR9" s="301"/>
      <c r="BS9" s="297"/>
      <c r="BT9" s="301"/>
      <c r="BU9" s="297"/>
      <c r="BV9" s="301"/>
      <c r="BW9" s="297"/>
      <c r="BX9" s="301"/>
      <c r="BZ9" s="301"/>
      <c r="CA9" s="297"/>
      <c r="CB9" s="301"/>
      <c r="CC9" s="297"/>
      <c r="CD9" s="301"/>
      <c r="CE9" s="297"/>
      <c r="CF9" s="301"/>
      <c r="CG9" s="297"/>
      <c r="CH9" s="49"/>
    </row>
    <row r="10" spans="1:86" ht="16" thickBot="1">
      <c r="B10" s="2"/>
      <c r="D10" s="2"/>
      <c r="F10" s="4"/>
      <c r="H10" s="2"/>
      <c r="I10" s="2"/>
      <c r="J10" s="2"/>
      <c r="K10" s="2"/>
      <c r="L10" s="2"/>
      <c r="M10" s="80" t="s">
        <v>813</v>
      </c>
      <c r="N10" s="22"/>
      <c r="O10" s="22"/>
      <c r="P10" s="326">
        <f>MIN(IF(AZ2&lt;0.01,0,HLOOKUP(AZ2,AG2:AQ17,16)),BB2)</f>
        <v>2</v>
      </c>
      <c r="Q10" s="137"/>
      <c r="R10" s="22"/>
      <c r="S10" s="80" t="s">
        <v>58</v>
      </c>
      <c r="T10" s="22">
        <f>IF(C4*HLOOKUP(D25,AF6:AO16,6)&gt;19.99,C4*HLOOKUP(D25,AF6:AO16,6),20)</f>
        <v>22.5</v>
      </c>
      <c r="U10" s="22">
        <f>(T10)*3000000</f>
        <v>67500000</v>
      </c>
      <c r="V10" s="22">
        <f>HLOOKUP(D25,AF6:AO16,7)</f>
        <v>19</v>
      </c>
      <c r="W10" s="137">
        <f>0.5*C4*D25</f>
        <v>450</v>
      </c>
      <c r="X10" s="372" t="s">
        <v>870</v>
      </c>
      <c r="Y10" s="373">
        <v>0</v>
      </c>
      <c r="Z10" s="373">
        <v>0</v>
      </c>
      <c r="AA10" s="373">
        <v>0</v>
      </c>
      <c r="AB10" s="374">
        <v>0</v>
      </c>
      <c r="AC10" s="22"/>
      <c r="AD10" s="22"/>
      <c r="AE10" s="102" t="s">
        <v>26</v>
      </c>
      <c r="AF10" s="27">
        <v>0</v>
      </c>
      <c r="AG10" s="27">
        <v>9</v>
      </c>
      <c r="AH10" s="27">
        <v>11</v>
      </c>
      <c r="AI10" s="27">
        <v>12</v>
      </c>
      <c r="AJ10" s="27">
        <v>13</v>
      </c>
      <c r="AK10" s="27">
        <v>14</v>
      </c>
      <c r="AL10" s="27">
        <v>15</v>
      </c>
      <c r="AM10" s="27">
        <v>16</v>
      </c>
      <c r="AN10" s="27">
        <v>17</v>
      </c>
      <c r="AO10" s="27">
        <v>18</v>
      </c>
      <c r="AP10" s="27"/>
      <c r="AQ10" s="27"/>
      <c r="AR10" s="27"/>
      <c r="AS10" s="27"/>
      <c r="AT10" s="27"/>
      <c r="AU10" s="27"/>
      <c r="AV10" s="27"/>
      <c r="AW10" s="27"/>
      <c r="AX10" s="22" t="s">
        <v>1662</v>
      </c>
      <c r="AY10" s="22"/>
      <c r="AZ10" s="22">
        <f>IF(AZ4&gt;0.224,9,IF(AZ4&gt;0.199,8,IF(AZ4&gt;0.174,7,IF(AZ4&gt;0.149,6,IF(AZ4&gt;0.124,5,IF(AZ4&gt;0.099,4,IF(AZ4&gt;0.074,3,IF(AZ4&gt;0.049,2,IF(AZ4&gt;0.024,1,0)))))))))</f>
        <v>3</v>
      </c>
      <c r="BA10" s="22">
        <f>IF(BA4&gt;0.224,9,IF(BA4&gt;0.199,8,IF(BA4&gt;0.174,7,IF(BA4&gt;0.149,6,IF(BA4&gt;0.124,5,IF(BA4&gt;0.099,4,IF(BA4&gt;0.074,3,IF(BA4&gt;0.049,2,IF(BA4&gt;0.024,1,0)))))))))</f>
        <v>0</v>
      </c>
      <c r="BB10" s="22"/>
      <c r="BC10" s="834">
        <f>$H$11/0.01</f>
        <v>600</v>
      </c>
      <c r="BD10" s="821"/>
      <c r="BE10" s="820">
        <f>H11/0.02</f>
        <v>300</v>
      </c>
      <c r="BF10" s="821"/>
      <c r="BG10" s="820">
        <f>$H$11/0.03</f>
        <v>200</v>
      </c>
      <c r="BH10" s="821"/>
      <c r="BI10" s="820">
        <f>$H$11/0.04</f>
        <v>150</v>
      </c>
      <c r="BJ10" s="821"/>
      <c r="BK10" s="820">
        <f>$H$11/0.05</f>
        <v>120</v>
      </c>
      <c r="BL10" s="821"/>
      <c r="BM10" s="820">
        <f>$H$11/0.06</f>
        <v>100</v>
      </c>
      <c r="BN10" s="821"/>
      <c r="BO10" s="820">
        <f>$H$11/0.07</f>
        <v>85.714285714285708</v>
      </c>
      <c r="BP10" s="821"/>
      <c r="BQ10" s="820">
        <f>$H$11/0.08</f>
        <v>75</v>
      </c>
      <c r="BR10" s="821"/>
      <c r="BS10" s="820">
        <f>$H$11/0.09</f>
        <v>66.666666666666671</v>
      </c>
      <c r="BT10" s="821"/>
      <c r="BU10" s="820">
        <f>$H$11/0.1</f>
        <v>60</v>
      </c>
      <c r="BV10" s="821"/>
      <c r="BW10" s="820">
        <f>$H$11/0.11</f>
        <v>54.545454545454547</v>
      </c>
      <c r="BX10" s="821"/>
      <c r="BY10" s="377"/>
      <c r="BZ10" s="378"/>
      <c r="CA10" s="379"/>
      <c r="CB10" s="378"/>
      <c r="CC10" s="379"/>
      <c r="CD10" s="378"/>
      <c r="CE10" s="379"/>
      <c r="CF10" s="378"/>
      <c r="CG10" s="379"/>
      <c r="CH10" s="380"/>
    </row>
    <row r="11" spans="1:86" ht="16" thickBot="1">
      <c r="A11" s="102" t="s">
        <v>842</v>
      </c>
      <c r="B11" s="254" t="s">
        <v>50</v>
      </c>
      <c r="C11" s="102" t="s">
        <v>51</v>
      </c>
      <c r="D11" s="205">
        <v>2</v>
      </c>
      <c r="E11" s="22">
        <f>VLOOKUP(B11,S2:V4,4)+SUM(E15:E17)</f>
        <v>13</v>
      </c>
      <c r="F11" s="23">
        <f>VLOOKUP(B11,S2:U4,3)*'Ship Info'!G31</f>
        <v>24000000</v>
      </c>
      <c r="G11" s="22"/>
      <c r="H11" s="359">
        <f>VLOOKUP(B11,S2:T4,2)</f>
        <v>6</v>
      </c>
      <c r="I11" s="27"/>
      <c r="J11" s="22"/>
      <c r="K11" s="324">
        <f>VLOOKUP(B11,S2:W4,5)</f>
        <v>60</v>
      </c>
      <c r="L11" s="22"/>
      <c r="M11" s="78"/>
      <c r="P11" s="2"/>
      <c r="Q11" s="46"/>
      <c r="S11" s="86" t="s">
        <v>59</v>
      </c>
      <c r="T11" s="28">
        <f>C4*HLOOKUP(D25,AF6:AO8,2)</f>
        <v>42.000000000000007</v>
      </c>
      <c r="U11" s="28">
        <f>2000000*(T11)</f>
        <v>84000000.000000015</v>
      </c>
      <c r="V11" s="28">
        <f>HLOOKUP(D25,AF6:AO8,3)</f>
        <v>20</v>
      </c>
      <c r="W11" s="79">
        <f>T11+H28</f>
        <v>42.000000000000007</v>
      </c>
      <c r="X11" s="78" t="s">
        <v>57</v>
      </c>
      <c r="Y11">
        <f>C4*HLOOKUP(D51,AF6:AO8,2)</f>
        <v>0</v>
      </c>
      <c r="Z11">
        <f>2000000*(Y11+H54)</f>
        <v>0</v>
      </c>
      <c r="AA11">
        <f>HLOOKUP(D51,AF6:AO8,3)</f>
        <v>0</v>
      </c>
      <c r="AB11" s="46">
        <f>Y11+H54</f>
        <v>0</v>
      </c>
      <c r="AE11" s="3" t="s">
        <v>1661</v>
      </c>
      <c r="AF11" s="2">
        <v>0</v>
      </c>
      <c r="AG11" s="2">
        <v>2.5000000000000001E-2</v>
      </c>
      <c r="AH11" s="2">
        <v>0.05</v>
      </c>
      <c r="AI11" s="2">
        <v>7.4999999999999997E-2</v>
      </c>
      <c r="AJ11" s="2">
        <v>0.1</v>
      </c>
      <c r="AK11" s="2">
        <v>0.125</v>
      </c>
      <c r="AL11" s="2">
        <v>0.15</v>
      </c>
      <c r="AM11" s="2">
        <v>0.17499999999999999</v>
      </c>
      <c r="AN11" s="2">
        <v>0.2</v>
      </c>
      <c r="AO11" s="2">
        <v>0.22500000000000001</v>
      </c>
      <c r="AW11" s="2"/>
      <c r="AX11" t="s">
        <v>58</v>
      </c>
      <c r="AZ11">
        <f>IF(AZ4&gt;0.224,9,IF(AZ4&gt;0.199,8,IF(AZ4&gt;0.174,7,IF(AZ4&gt;0.149,6,IF(AZ4&gt;0.124,5,IF(AZ4&gt;0.099,4,IF(AZ4&gt;0.074,3,IF(AZ4&gt;0.049,2,IF(AZ4&gt;0.024,1,0)))))))))</f>
        <v>3</v>
      </c>
      <c r="BA11">
        <f>IF(BA4&gt;0.224,9,IF(BA4&gt;0.199,8,IF(BA4&gt;0.174,7,IF(BA4&gt;0.149,6,IF(BA4&gt;0.124,5,IF(BA4&gt;0.099,4,IF(BA4&gt;0.074,3,IF(BA4&gt;0.049,2,IF(BA4&gt;0.024,1,0)))))))))</f>
        <v>0</v>
      </c>
      <c r="BC11" s="273"/>
      <c r="BD11" s="301"/>
      <c r="BE11" s="297"/>
      <c r="BF11" s="301"/>
      <c r="BG11" s="297"/>
      <c r="BH11" s="301"/>
      <c r="BI11" s="297"/>
      <c r="BJ11" s="301"/>
      <c r="BK11" s="297"/>
      <c r="BL11" s="301"/>
      <c r="BM11" s="297"/>
      <c r="BN11" s="301"/>
      <c r="BO11" s="297"/>
      <c r="BP11" s="301"/>
      <c r="BQ11" s="297"/>
      <c r="BR11" s="301"/>
      <c r="BS11" s="297"/>
      <c r="BT11" s="301"/>
      <c r="BU11" s="297"/>
      <c r="BV11" s="301"/>
      <c r="BW11" s="297"/>
      <c r="BX11" s="301"/>
      <c r="BZ11" s="301"/>
      <c r="CA11" s="297"/>
      <c r="CB11" s="301"/>
      <c r="CC11" s="297"/>
      <c r="CD11" s="301"/>
      <c r="CE11" s="297"/>
      <c r="CF11" s="301"/>
      <c r="CG11" s="297"/>
      <c r="CH11" s="49"/>
    </row>
    <row r="12" spans="1:86" ht="16" thickBot="1">
      <c r="A12" s="22"/>
      <c r="B12" s="103" t="s">
        <v>97</v>
      </c>
      <c r="C12" s="206" t="s">
        <v>100</v>
      </c>
      <c r="D12" s="27"/>
      <c r="E12" s="22"/>
      <c r="F12" s="23">
        <f>IF(C12=S13,0.5*(SUM(F11,F14,F15))," ")</f>
        <v>18000000</v>
      </c>
      <c r="G12" s="22"/>
      <c r="H12" s="27"/>
      <c r="I12" s="27"/>
      <c r="J12" s="22"/>
      <c r="K12" s="27"/>
      <c r="L12" s="22"/>
      <c r="M12" s="80" t="s">
        <v>902</v>
      </c>
      <c r="N12" s="22"/>
      <c r="O12" s="22"/>
      <c r="P12" s="326">
        <f>VLOOKUP(AZ3,AP56:AQ88,2)</f>
        <v>0</v>
      </c>
      <c r="Q12" s="137"/>
      <c r="R12" s="22"/>
      <c r="S12" s="22" t="s">
        <v>99</v>
      </c>
      <c r="T12" s="22" t="s">
        <v>824</v>
      </c>
      <c r="U12" s="22"/>
      <c r="V12" s="22"/>
      <c r="W12" s="22"/>
      <c r="X12" s="80" t="s">
        <v>53</v>
      </c>
      <c r="Y12" s="22">
        <f>IF((C4*HLOOKUP(D51,AF6:AO10,4)+5)&gt;9.99,C4*HLOOKUP(D51,AF6:AO10,4)+5,10)</f>
        <v>10</v>
      </c>
      <c r="Z12" s="22">
        <f>1500000*(Y12+H54)</f>
        <v>15000000</v>
      </c>
      <c r="AA12" s="22">
        <f>HLOOKUP(D51,AF6:AO10,5)</f>
        <v>0</v>
      </c>
      <c r="AB12" s="137">
        <f>0.1*C4*D51</f>
        <v>0</v>
      </c>
      <c r="AC12" s="22"/>
      <c r="AD12" s="22"/>
      <c r="AE12" s="102" t="s">
        <v>26</v>
      </c>
      <c r="AF12" s="27">
        <v>0</v>
      </c>
      <c r="AG12" s="27">
        <v>17</v>
      </c>
      <c r="AH12" s="27">
        <v>18</v>
      </c>
      <c r="AI12" s="27">
        <v>19</v>
      </c>
      <c r="AJ12" s="27">
        <v>20</v>
      </c>
      <c r="AK12" s="27">
        <v>21</v>
      </c>
      <c r="AL12" s="27">
        <v>22</v>
      </c>
      <c r="AM12" s="27">
        <v>23</v>
      </c>
      <c r="AN12" s="27">
        <v>24</v>
      </c>
      <c r="AO12" s="27">
        <v>25</v>
      </c>
      <c r="AP12" s="22"/>
      <c r="AQ12" s="22"/>
      <c r="AR12" s="22"/>
      <c r="AS12" s="22"/>
      <c r="AT12" s="22"/>
      <c r="AU12" s="22"/>
      <c r="AV12" s="22"/>
      <c r="AW12" s="27"/>
      <c r="AX12" s="22" t="s">
        <v>59</v>
      </c>
      <c r="AY12" s="22"/>
      <c r="AZ12" s="22">
        <f>IF(AZ4&gt;0.259,9,IF(AZ4&gt;0.239,8,IF(AZ4&gt;0.219,7,IF(AZ4&gt;0.199,6,IF(AZ4&gt;0.179,5,IF(AZ4&gt;0.159,4,IF(AZ4&gt;0.139,3,IF(AZ4&gt;0.119,2,IF(AZ4&gt;0.099,1,0)))))))))</f>
        <v>0</v>
      </c>
      <c r="BA12" s="22">
        <f>IF(BA4&gt;0.259,9,IF(BA4&gt;0.239,8,IF(BA4&gt;0.219,7,IF(BA4&gt;0.199,6,IF(BA4&gt;0.179,5,IF(BA4&gt;0.159,4,IF(BA4&gt;0.139,3,IF(BA4&gt;0.119,2,IF(BA4&gt;0.099,1,0)))))))))</f>
        <v>0</v>
      </c>
      <c r="BB12" s="22"/>
      <c r="BC12" s="834">
        <f>$H$19/0.02</f>
        <v>0</v>
      </c>
      <c r="BD12" s="821"/>
      <c r="BE12" s="820">
        <f>$H$19/0.04</f>
        <v>0</v>
      </c>
      <c r="BF12" s="821"/>
      <c r="BG12" s="820">
        <f>$H$19/0.06</f>
        <v>0</v>
      </c>
      <c r="BH12" s="821"/>
      <c r="BI12" s="820">
        <f>$H$19/0.08</f>
        <v>0</v>
      </c>
      <c r="BJ12" s="821"/>
      <c r="BK12" s="820">
        <f>$H$19/0.1</f>
        <v>0</v>
      </c>
      <c r="BL12" s="821"/>
      <c r="BM12" s="820">
        <f>$H$19/0.12</f>
        <v>0</v>
      </c>
      <c r="BN12" s="821"/>
      <c r="BO12" s="820">
        <f>$H$19/0.14</f>
        <v>0</v>
      </c>
      <c r="BP12" s="821"/>
      <c r="BQ12" s="820">
        <f>$H$19/0.16</f>
        <v>0</v>
      </c>
      <c r="BR12" s="821"/>
      <c r="BS12" s="820">
        <f>$H$19/0.18</f>
        <v>0</v>
      </c>
      <c r="BT12" s="821"/>
      <c r="BU12" s="820">
        <f>$H$19/0.2</f>
        <v>0</v>
      </c>
      <c r="BV12" s="821"/>
      <c r="BW12" s="820">
        <f>$H$19/0.22</f>
        <v>0</v>
      </c>
      <c r="BX12" s="821"/>
      <c r="BY12" s="820">
        <f>$H$19/0.24</f>
        <v>0</v>
      </c>
      <c r="BZ12" s="821"/>
      <c r="CA12" s="820">
        <f>$H$19/0.26</f>
        <v>0</v>
      </c>
      <c r="CB12" s="821"/>
      <c r="CC12" s="820">
        <f>$H$19/0.28</f>
        <v>0</v>
      </c>
      <c r="CD12" s="821"/>
      <c r="CE12" s="820">
        <f>$H$19/0.3</f>
        <v>0</v>
      </c>
      <c r="CF12" s="821"/>
      <c r="CG12" s="820">
        <f>$H$19/0.32</f>
        <v>0</v>
      </c>
      <c r="CH12" s="826"/>
    </row>
    <row r="13" spans="1:86" ht="16" thickBot="1">
      <c r="A13" s="22"/>
      <c r="B13" s="103" t="s">
        <v>98</v>
      </c>
      <c r="C13" s="206" t="s">
        <v>99</v>
      </c>
      <c r="D13" s="22"/>
      <c r="E13" s="22"/>
      <c r="F13" s="23" t="str">
        <f>IF(C13=S13,200000*H13," ")</f>
        <v xml:space="preserve"> </v>
      </c>
      <c r="G13" s="22"/>
      <c r="H13" s="27" t="str">
        <f>IF(C13=S13,0.1*(SUM(H11,H14,H15))," ")</f>
        <v xml:space="preserve"> </v>
      </c>
      <c r="I13" s="22"/>
      <c r="J13" s="22"/>
      <c r="K13" s="27"/>
      <c r="L13" s="22"/>
      <c r="M13" s="78"/>
      <c r="P13" s="2"/>
      <c r="Q13" s="46"/>
      <c r="S13" t="s">
        <v>100</v>
      </c>
      <c r="T13" t="s">
        <v>56</v>
      </c>
      <c r="X13" t="s">
        <v>1661</v>
      </c>
      <c r="Y13">
        <f>IF((C4*HLOOKUP(D51,AF6:AO12,6)+5)&gt;9.99,C4*HLOOKUP(D51,AF6:AO12,6)+5,10)</f>
        <v>10</v>
      </c>
      <c r="Z13">
        <f>15000000*Y13</f>
        <v>150000000</v>
      </c>
      <c r="AA13">
        <f>HLOOKUP(D51,AF6:AO12,7)</f>
        <v>0</v>
      </c>
      <c r="AB13">
        <f>0.1*C4*D25</f>
        <v>90</v>
      </c>
      <c r="AE13" s="3" t="s">
        <v>1662</v>
      </c>
      <c r="AF13" s="2">
        <v>0</v>
      </c>
      <c r="AG13" s="2">
        <v>2.5000000000000001E-2</v>
      </c>
      <c r="AH13" s="2">
        <v>0.05</v>
      </c>
      <c r="AI13" s="2">
        <v>7.4999999999999997E-2</v>
      </c>
      <c r="AJ13" s="2">
        <v>0.1</v>
      </c>
      <c r="AK13" s="2">
        <v>0.125</v>
      </c>
      <c r="AL13" s="2">
        <v>0.15</v>
      </c>
      <c r="AM13" s="2">
        <v>0.17499999999999999</v>
      </c>
      <c r="AN13" s="2">
        <v>0.2</v>
      </c>
      <c r="AO13" s="2">
        <v>0.22500000000000001</v>
      </c>
      <c r="AW13" s="2"/>
      <c r="BC13" s="273"/>
      <c r="BD13" s="301"/>
      <c r="BE13" s="297"/>
      <c r="BF13" s="301"/>
      <c r="BG13" s="297"/>
      <c r="BH13" s="301"/>
      <c r="BI13" s="297"/>
      <c r="BJ13" s="301"/>
      <c r="BK13" s="297"/>
      <c r="BL13" s="301"/>
      <c r="BM13" s="297"/>
      <c r="BN13" s="301"/>
      <c r="BO13" s="297"/>
      <c r="BP13" s="301"/>
      <c r="BQ13" s="297"/>
      <c r="BR13" s="301"/>
      <c r="BS13" s="297"/>
      <c r="BT13" s="301"/>
      <c r="BU13" s="297"/>
      <c r="BV13" s="301"/>
      <c r="BW13" s="297"/>
      <c r="BX13" s="301"/>
      <c r="BZ13" s="301"/>
      <c r="CA13" s="297"/>
      <c r="CB13" s="301"/>
      <c r="CC13" s="297"/>
      <c r="CD13" s="301"/>
      <c r="CE13" s="297"/>
      <c r="CF13" s="301"/>
      <c r="CG13" s="297"/>
      <c r="CH13" s="49"/>
    </row>
    <row r="14" spans="1:86" ht="16" thickBot="1">
      <c r="A14" s="22"/>
      <c r="B14" s="102" t="s">
        <v>1666</v>
      </c>
      <c r="C14" s="206" t="s">
        <v>99</v>
      </c>
      <c r="D14" s="27" t="str">
        <f>IF(C14=S13,(AA1-8)*5&amp;"% Efficiency","")</f>
        <v/>
      </c>
      <c r="E14" s="22"/>
      <c r="F14" s="23" t="str">
        <f>IF(C14=S13,0.6*SUM(F11,F15:F17)," ")</f>
        <v xml:space="preserve"> </v>
      </c>
      <c r="G14" s="22"/>
      <c r="H14" s="27" t="str">
        <f>IF(C14=S13,SUM(H11,H15:H17)*((200-((AA1-9)*25))/100)," ")</f>
        <v xml:space="preserve"> </v>
      </c>
      <c r="I14" s="22"/>
      <c r="J14" s="22"/>
      <c r="K14" s="27" t="str">
        <f>IF(C14=S13,SUM(K11,K15:K17)*3,"")</f>
        <v/>
      </c>
      <c r="L14" s="22"/>
      <c r="M14" s="80" t="s">
        <v>814</v>
      </c>
      <c r="N14" s="22"/>
      <c r="O14" s="22"/>
      <c r="P14" s="326">
        <f>MIN(IF(H25&lt;10.000001,MIN(D25,VLOOKUP(B25,AX6:AZ12,3)),VLOOKUP(B25,AX6:AZ12,3)),BB4)</f>
        <v>3</v>
      </c>
      <c r="Q14" s="137"/>
      <c r="R14" s="22"/>
      <c r="S14" s="22" t="str">
        <f>"No High Burn Thruster"</f>
        <v>No High Burn Thruster</v>
      </c>
      <c r="T14" s="22">
        <v>0</v>
      </c>
      <c r="U14" s="22">
        <v>0</v>
      </c>
      <c r="V14" s="22">
        <v>0</v>
      </c>
      <c r="W14" s="22" t="s">
        <v>33</v>
      </c>
      <c r="X14" s="22" t="s">
        <v>1662</v>
      </c>
      <c r="Y14" s="22">
        <f>IF((C4*HLOOKUP(D51,AF6:AO14,8)+5)&gt;9.99,C4*HLOOKUP(D51,AF6:AO14,8)+5,10)</f>
        <v>10</v>
      </c>
      <c r="Z14" s="22">
        <f>150000000*Y14</f>
        <v>1500000000</v>
      </c>
      <c r="AA14" s="22">
        <f>HLOOKUP(D51,AF6:AO14,9)</f>
        <v>0</v>
      </c>
      <c r="AB14" s="22">
        <f>0.1*C4*D25</f>
        <v>90</v>
      </c>
      <c r="AC14" s="22"/>
      <c r="AD14" s="22"/>
      <c r="AE14" s="102" t="s">
        <v>26</v>
      </c>
      <c r="AF14" s="27">
        <v>0</v>
      </c>
      <c r="AG14" s="27">
        <v>20</v>
      </c>
      <c r="AH14" s="27">
        <v>21</v>
      </c>
      <c r="AI14" s="27">
        <v>22</v>
      </c>
      <c r="AJ14" s="27">
        <v>23</v>
      </c>
      <c r="AK14" s="27">
        <v>24</v>
      </c>
      <c r="AL14" s="27">
        <v>25</v>
      </c>
      <c r="AM14" s="27">
        <v>26</v>
      </c>
      <c r="AN14" s="27">
        <v>27</v>
      </c>
      <c r="AO14" s="27">
        <v>28</v>
      </c>
      <c r="AP14" s="27"/>
      <c r="AQ14" s="27"/>
      <c r="AR14" s="27"/>
      <c r="AS14" s="27"/>
      <c r="AT14" s="27"/>
      <c r="AU14" s="27"/>
      <c r="AV14" s="27"/>
      <c r="AW14" s="27"/>
      <c r="AX14" s="22" t="s">
        <v>62</v>
      </c>
      <c r="AY14" s="22"/>
      <c r="AZ14" s="22"/>
      <c r="BA14" s="22"/>
      <c r="BB14" s="22"/>
      <c r="BC14" s="834">
        <f>($H$25-5)/0.025</f>
        <v>900</v>
      </c>
      <c r="BD14" s="821"/>
      <c r="BE14" s="820">
        <f>($H$25-5)/0.05</f>
        <v>450</v>
      </c>
      <c r="BF14" s="821"/>
      <c r="BG14" s="820">
        <f>($H$25-5)/0.075</f>
        <v>300</v>
      </c>
      <c r="BH14" s="821"/>
      <c r="BI14" s="820">
        <f>($H$25-5)/0.1</f>
        <v>225</v>
      </c>
      <c r="BJ14" s="821"/>
      <c r="BK14" s="820">
        <f>($H$25-5)/0.125</f>
        <v>180</v>
      </c>
      <c r="BL14" s="821"/>
      <c r="BM14" s="820">
        <f>($H$25-5)/0.15</f>
        <v>150</v>
      </c>
      <c r="BN14" s="821"/>
      <c r="BO14" s="820">
        <f>($H$25-5)/0.175</f>
        <v>128.57142857142858</v>
      </c>
      <c r="BP14" s="821"/>
      <c r="BQ14" s="820">
        <f>($H$25-5)/0.2</f>
        <v>112.5</v>
      </c>
      <c r="BR14" s="821"/>
      <c r="BS14" s="820">
        <f>($H$25-5)/0.225</f>
        <v>100</v>
      </c>
      <c r="BT14" s="821"/>
      <c r="BU14" s="379"/>
      <c r="BV14" s="378"/>
      <c r="BW14" s="379"/>
      <c r="BX14" s="378"/>
      <c r="BY14" s="377"/>
      <c r="BZ14" s="378"/>
      <c r="CA14" s="379"/>
      <c r="CB14" s="378"/>
      <c r="CC14" s="379"/>
      <c r="CD14" s="378"/>
      <c r="CE14" s="379"/>
      <c r="CF14" s="378"/>
      <c r="CG14" s="379"/>
      <c r="CH14" s="380"/>
    </row>
    <row r="15" spans="1:86" ht="16" thickBot="1">
      <c r="A15" s="102" t="s">
        <v>843</v>
      </c>
      <c r="B15" s="206" t="s">
        <v>846</v>
      </c>
      <c r="C15" s="22"/>
      <c r="D15" s="22"/>
      <c r="E15" s="22">
        <f>VLOOKUP(B15,S24:W48,4)</f>
        <v>1</v>
      </c>
      <c r="F15" s="23">
        <f>IF(B11=S2,0,U49)</f>
        <v>12000000</v>
      </c>
      <c r="G15" s="22"/>
      <c r="H15" s="359">
        <f>IF(B11=S2,0,VLOOKUP(B15,S24:W48,2)+VLOOKUP(B16,S24:W48,2)+VLOOKUP(B17,S24:W48,2))</f>
        <v>-0.60000000000000009</v>
      </c>
      <c r="I15" s="22"/>
      <c r="J15" s="22"/>
      <c r="K15" s="324">
        <f>IF(B11=S2,0,VLOOKUP(B15,S24:W48,5)+VLOOKUP(B16,S24:W48,5)+VLOOKUP(B17,S24:W48,5))</f>
        <v>-15</v>
      </c>
      <c r="L15" s="22"/>
      <c r="M15" s="78"/>
      <c r="P15" s="2"/>
      <c r="Q15" s="46"/>
      <c r="S15" t="s">
        <v>120</v>
      </c>
      <c r="T15">
        <f>C4*HLOOKUP(D33,AF1:AV5,4)</f>
        <v>3</v>
      </c>
      <c r="U15">
        <f>200000*(T15+H35)</f>
        <v>600000</v>
      </c>
      <c r="V15">
        <f>HLOOKUP(D33,AF1:AV5,5)</f>
        <v>7</v>
      </c>
      <c r="W15">
        <v>0</v>
      </c>
      <c r="X15" s="78" t="s">
        <v>58</v>
      </c>
      <c r="Y15">
        <f>IF(C4*HLOOKUP(D51,AF6:AO16,6)&gt;19.99,C4*HLOOKUP(D51,AF6:AO16,6),20)</f>
        <v>20</v>
      </c>
      <c r="Z15">
        <f>(Y15+H54)*3000000</f>
        <v>60000000</v>
      </c>
      <c r="AA15">
        <f>HLOOKUP(D51,AF6:AO16,7)</f>
        <v>0</v>
      </c>
      <c r="AB15" s="46"/>
      <c r="AE15" s="3" t="s">
        <v>58</v>
      </c>
      <c r="AF15" s="2">
        <v>0</v>
      </c>
      <c r="AG15" s="2">
        <v>2.5000000000000001E-2</v>
      </c>
      <c r="AH15" s="2">
        <v>0.05</v>
      </c>
      <c r="AI15" s="2">
        <v>7.4999999999999997E-2</v>
      </c>
      <c r="AJ15" s="2">
        <v>0.1</v>
      </c>
      <c r="AK15" s="2">
        <v>0.125</v>
      </c>
      <c r="AL15" s="2">
        <v>0.15</v>
      </c>
      <c r="AM15" s="2">
        <v>0.17499999999999999</v>
      </c>
      <c r="AN15" s="2">
        <v>0.2</v>
      </c>
      <c r="AO15" s="2">
        <v>0.22500000000000001</v>
      </c>
      <c r="AP15" s="2"/>
      <c r="AQ15" s="2"/>
      <c r="AR15" s="2"/>
      <c r="AS15" s="2"/>
      <c r="AT15" s="2"/>
      <c r="AU15" s="2"/>
      <c r="AV15" s="2"/>
      <c r="BC15" s="273"/>
      <c r="BD15" s="301"/>
      <c r="BE15" s="297"/>
      <c r="BF15" s="301"/>
      <c r="BG15" s="297"/>
      <c r="BH15" s="301"/>
      <c r="BI15" s="297"/>
      <c r="BJ15" s="301"/>
      <c r="BK15" s="297"/>
      <c r="BL15" s="301"/>
      <c r="BM15" s="297"/>
      <c r="BN15" s="301"/>
      <c r="BO15" s="297"/>
      <c r="BP15" s="301"/>
      <c r="BQ15" s="297"/>
      <c r="BR15" s="301"/>
      <c r="BS15" s="297"/>
      <c r="BT15" s="301"/>
      <c r="BU15" s="297"/>
      <c r="BV15" s="301"/>
      <c r="BW15" s="297"/>
      <c r="BX15" s="301"/>
      <c r="BZ15" s="301"/>
      <c r="CA15" s="297"/>
      <c r="CB15" s="301"/>
      <c r="CC15" s="297"/>
      <c r="CD15" s="301"/>
      <c r="CE15" s="297"/>
      <c r="CF15" s="301"/>
      <c r="CG15" s="297"/>
      <c r="CH15" s="49"/>
    </row>
    <row r="16" spans="1:86" ht="16" thickBot="1">
      <c r="A16" s="22"/>
      <c r="B16" s="206" t="s">
        <v>836</v>
      </c>
      <c r="C16" s="22"/>
      <c r="D16" s="104" t="s">
        <v>818</v>
      </c>
      <c r="E16" s="22">
        <f>VLOOKUP(B16,S24:W48,4)</f>
        <v>1</v>
      </c>
      <c r="F16" s="22"/>
      <c r="G16" s="22"/>
      <c r="H16" s="358"/>
      <c r="I16" s="22"/>
      <c r="J16" s="22"/>
      <c r="K16" s="22"/>
      <c r="L16" s="22"/>
      <c r="M16" s="80" t="s">
        <v>815</v>
      </c>
      <c r="N16" s="22"/>
      <c r="O16" s="22"/>
      <c r="P16" s="326">
        <f>VLOOKUP(BA3,AP56:AQ88,2)</f>
        <v>0</v>
      </c>
      <c r="Q16" s="137"/>
      <c r="R16" s="22"/>
      <c r="S16" s="22" t="str">
        <f>"No Solar Sails"</f>
        <v>No Solar Sails</v>
      </c>
      <c r="T16" s="22">
        <v>0</v>
      </c>
      <c r="U16" s="22">
        <v>0</v>
      </c>
      <c r="V16" s="22"/>
      <c r="W16" s="22" t="s">
        <v>33</v>
      </c>
      <c r="X16" s="81" t="s">
        <v>59</v>
      </c>
      <c r="Y16" s="82">
        <f>C4*HLOOKUP(D51,AF6:AO8,2)</f>
        <v>0</v>
      </c>
      <c r="Z16" s="82">
        <f>2000000*(Y16+H54)</f>
        <v>0</v>
      </c>
      <c r="AA16" s="82">
        <f>HLOOKUP(D51,AF6:AO8,3)</f>
        <v>0</v>
      </c>
      <c r="AB16" s="375"/>
      <c r="AC16" s="22"/>
      <c r="AD16" s="22"/>
      <c r="AE16" s="102" t="s">
        <v>26</v>
      </c>
      <c r="AF16" s="27">
        <v>0</v>
      </c>
      <c r="AG16" s="27">
        <f>17+AA9</f>
        <v>17</v>
      </c>
      <c r="AH16" s="27">
        <f>18+AA9</f>
        <v>18</v>
      </c>
      <c r="AI16" s="27">
        <f>18+AA9</f>
        <v>18</v>
      </c>
      <c r="AJ16" s="27">
        <f>19+AA9</f>
        <v>19</v>
      </c>
      <c r="AK16" s="27">
        <f>19+AA9</f>
        <v>19</v>
      </c>
      <c r="AL16" s="27">
        <f>20+AA9</f>
        <v>20</v>
      </c>
      <c r="AM16" s="27">
        <f>21+AA9</f>
        <v>21</v>
      </c>
      <c r="AN16" s="27">
        <f>22+AA9</f>
        <v>22</v>
      </c>
      <c r="AO16" s="27">
        <f>23+AA9</f>
        <v>23</v>
      </c>
      <c r="AP16" s="27"/>
      <c r="AQ16" s="27"/>
      <c r="AR16" s="27"/>
      <c r="AS16" s="27"/>
      <c r="AT16" s="27"/>
      <c r="AU16" s="27"/>
      <c r="AV16" s="27"/>
      <c r="AW16" s="22"/>
      <c r="AX16" s="22"/>
      <c r="AY16" s="22"/>
      <c r="AZ16" s="22"/>
      <c r="BA16" s="22"/>
      <c r="BB16" s="103"/>
      <c r="BC16" s="834">
        <f>$H$33/(2*0.01*BC8)</f>
        <v>0</v>
      </c>
      <c r="BD16" s="821"/>
      <c r="BE16" s="820">
        <f t="shared" ref="BE16" si="0">$H$33/(2*0.01*BE8)</f>
        <v>0</v>
      </c>
      <c r="BF16" s="821"/>
      <c r="BG16" s="820">
        <f t="shared" ref="BG16" si="1">$H$33/(2*0.01*BG8)</f>
        <v>0</v>
      </c>
      <c r="BH16" s="821"/>
      <c r="BI16" s="820">
        <f t="shared" ref="BI16" si="2">$H$33/(2*0.01*BI8)</f>
        <v>0</v>
      </c>
      <c r="BJ16" s="821"/>
      <c r="BK16" s="820">
        <f t="shared" ref="BK16" si="3">$H$33/(2*0.01*BK8)</f>
        <v>0</v>
      </c>
      <c r="BL16" s="821"/>
      <c r="BM16" s="820">
        <f t="shared" ref="BM16" si="4">$H$33/(2*0.01*BM8)</f>
        <v>0</v>
      </c>
      <c r="BN16" s="821"/>
      <c r="BO16" s="820">
        <f t="shared" ref="BO16" si="5">$H$33/(2*0.01*BO8)</f>
        <v>0</v>
      </c>
      <c r="BP16" s="821"/>
      <c r="BQ16" s="820">
        <f t="shared" ref="BQ16" si="6">$H$33/(2*0.01*BQ8)</f>
        <v>0</v>
      </c>
      <c r="BR16" s="821"/>
      <c r="BS16" s="820">
        <f t="shared" ref="BS16" si="7">$H$33/(2*0.01*BS8)</f>
        <v>0</v>
      </c>
      <c r="BT16" s="821"/>
      <c r="BU16" s="820">
        <f t="shared" ref="BU16" si="8">$H$33/(2*0.01*BU8)</f>
        <v>0</v>
      </c>
      <c r="BV16" s="821"/>
      <c r="BW16" s="820">
        <f t="shared" ref="BW16" si="9">$H$33/(2*0.01*BW8)</f>
        <v>0</v>
      </c>
      <c r="BX16" s="821"/>
      <c r="BY16" s="822">
        <f t="shared" ref="BY16" si="10">$H$33/(2*0.01*BY8)</f>
        <v>0</v>
      </c>
      <c r="BZ16" s="823"/>
      <c r="CA16" s="822">
        <f t="shared" ref="CA16" si="11">$H$33/(2*0.01*CA8)</f>
        <v>0</v>
      </c>
      <c r="CB16" s="823"/>
      <c r="CC16" s="822">
        <f t="shared" ref="CC16" si="12">$H$33/(2*0.01*CC8)</f>
        <v>0</v>
      </c>
      <c r="CD16" s="823"/>
      <c r="CE16" s="822">
        <f t="shared" ref="CE16" si="13">$H$33/(2*0.01*CE8)</f>
        <v>0</v>
      </c>
      <c r="CF16" s="823"/>
      <c r="CG16" s="822">
        <f t="shared" ref="CG16" si="14">$H$33/(2*0.01*CG8)</f>
        <v>0</v>
      </c>
      <c r="CH16" s="827"/>
    </row>
    <row r="17" spans="1:86" ht="16" thickBot="1">
      <c r="A17" s="22"/>
      <c r="B17" s="206" t="s">
        <v>837</v>
      </c>
      <c r="C17" s="22"/>
      <c r="D17" s="27">
        <f>VLOOKUP(B15,S24:AA49,9)+VLOOKUP(B16,S24:AA49,9)+VLOOKUP(B17,S24:AA49,9)</f>
        <v>3</v>
      </c>
      <c r="E17" s="22">
        <f>VLOOKUP(B17,S24:W48,4)</f>
        <v>1</v>
      </c>
      <c r="F17" s="22"/>
      <c r="G17" s="22"/>
      <c r="H17" s="358"/>
      <c r="I17" s="22"/>
      <c r="J17" s="22"/>
      <c r="K17" s="22"/>
      <c r="L17" s="22"/>
      <c r="M17" s="78"/>
      <c r="P17" s="2"/>
      <c r="Q17" s="46"/>
      <c r="S17" t="s">
        <v>121</v>
      </c>
      <c r="T17">
        <f>0.05*C4</f>
        <v>15</v>
      </c>
      <c r="U17">
        <f>200000*T17</f>
        <v>3000000</v>
      </c>
      <c r="W17">
        <v>0</v>
      </c>
      <c r="AF17" s="1">
        <v>0</v>
      </c>
      <c r="AG17" s="1">
        <v>1</v>
      </c>
      <c r="AH17" s="1">
        <v>2</v>
      </c>
      <c r="AI17" s="1">
        <v>3</v>
      </c>
      <c r="AJ17" s="1">
        <v>4</v>
      </c>
      <c r="AK17" s="1">
        <v>5</v>
      </c>
      <c r="AL17" s="1">
        <v>6</v>
      </c>
      <c r="AM17" s="1">
        <v>7</v>
      </c>
      <c r="AN17" s="1">
        <v>8</v>
      </c>
      <c r="AO17" s="1">
        <v>9</v>
      </c>
      <c r="AP17" s="1">
        <v>10</v>
      </c>
      <c r="AQ17" s="1">
        <v>11</v>
      </c>
      <c r="AR17" s="1">
        <v>12</v>
      </c>
      <c r="AS17" s="1">
        <v>13</v>
      </c>
      <c r="AT17" s="1">
        <v>14</v>
      </c>
      <c r="AU17" s="1">
        <v>15</v>
      </c>
      <c r="AV17" s="1">
        <v>16</v>
      </c>
      <c r="BC17" s="273"/>
      <c r="BD17" s="301"/>
      <c r="BE17" s="297"/>
      <c r="BF17" s="301"/>
      <c r="BG17" s="297"/>
      <c r="BH17" s="301"/>
      <c r="BI17" s="297"/>
      <c r="BJ17" s="301"/>
      <c r="BK17" s="297"/>
      <c r="BL17" s="301"/>
      <c r="BM17" s="297"/>
      <c r="BN17" s="301"/>
      <c r="BO17" s="297"/>
      <c r="BP17" s="301"/>
      <c r="BQ17" s="297"/>
      <c r="BR17" s="301"/>
      <c r="BS17" s="297"/>
      <c r="BT17" s="301"/>
      <c r="BU17" s="297"/>
      <c r="BV17" s="301"/>
      <c r="BW17" s="297"/>
      <c r="BX17" s="301"/>
      <c r="CH17" s="49"/>
    </row>
    <row r="18" spans="1:86" ht="16" thickBot="1">
      <c r="F18" s="4"/>
      <c r="H18" s="2"/>
      <c r="K18" s="2"/>
      <c r="M18" s="80" t="s">
        <v>901</v>
      </c>
      <c r="N18" s="22"/>
      <c r="O18" s="22"/>
      <c r="P18" s="326">
        <f>MIN(IF(BA2&lt;0.01,0,HLOOKUP(BA2,AG2:AQ17,16)),BB2)</f>
        <v>0</v>
      </c>
      <c r="Q18" s="137"/>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834">
        <f>$H$42/(0.01*BC8)</f>
        <v>0</v>
      </c>
      <c r="BD18" s="821"/>
      <c r="BE18" s="820">
        <f t="shared" ref="BE18" si="15">$H$42/(0.01*BE8)</f>
        <v>0</v>
      </c>
      <c r="BF18" s="821"/>
      <c r="BG18" s="820">
        <f t="shared" ref="BG18" si="16">$H$42/(0.01*BG8)</f>
        <v>0</v>
      </c>
      <c r="BH18" s="821"/>
      <c r="BI18" s="820">
        <f t="shared" ref="BI18" si="17">$H$42/(0.01*BI8)</f>
        <v>0</v>
      </c>
      <c r="BJ18" s="821"/>
      <c r="BK18" s="820">
        <f t="shared" ref="BK18" si="18">$H$42/(0.01*BK8)</f>
        <v>0</v>
      </c>
      <c r="BL18" s="821"/>
      <c r="BM18" s="820">
        <f t="shared" ref="BM18" si="19">$H$42/(0.01*BM8)</f>
        <v>0</v>
      </c>
      <c r="BN18" s="821"/>
      <c r="BO18" s="820">
        <f t="shared" ref="BO18" si="20">$H$42/(0.01*BO8)</f>
        <v>0</v>
      </c>
      <c r="BP18" s="821"/>
      <c r="BQ18" s="820">
        <f t="shared" ref="BQ18" si="21">$H$42/(0.01*BQ8)</f>
        <v>0</v>
      </c>
      <c r="BR18" s="821"/>
      <c r="BS18" s="820">
        <f t="shared" ref="BS18" si="22">$H$42/(0.01*BS8)</f>
        <v>0</v>
      </c>
      <c r="BT18" s="821"/>
      <c r="BU18" s="822">
        <f t="shared" ref="BU18" si="23">$H$42/(0.01*BU8)</f>
        <v>0</v>
      </c>
      <c r="BV18" s="823"/>
      <c r="BW18" s="822">
        <f t="shared" ref="BW18" si="24">$H$42/(0.01*BW8)</f>
        <v>0</v>
      </c>
      <c r="BX18" s="823"/>
      <c r="BY18" s="377"/>
      <c r="BZ18" s="377"/>
      <c r="CA18" s="377"/>
      <c r="CB18" s="377"/>
      <c r="CC18" s="377"/>
      <c r="CD18" s="377"/>
      <c r="CE18" s="377"/>
      <c r="CF18" s="377"/>
      <c r="CG18" s="377"/>
      <c r="CH18" s="380"/>
    </row>
    <row r="19" spans="1:86" ht="16" thickBot="1">
      <c r="A19" s="7" t="s">
        <v>56</v>
      </c>
      <c r="B19" s="254" t="s">
        <v>824</v>
      </c>
      <c r="C19" s="7" t="s">
        <v>51</v>
      </c>
      <c r="D19" s="198">
        <v>0</v>
      </c>
      <c r="E19">
        <f>VLOOKUP(B19,S2:V4,4)+SUM(E21:E23)</f>
        <v>0</v>
      </c>
      <c r="F19" s="4">
        <f>VLOOKUP(B19,S2:U4,3)*'Ship Info'!G31</f>
        <v>0</v>
      </c>
      <c r="H19" s="10">
        <f>VLOOKUP(B19,S2:T4,2)</f>
        <v>0</v>
      </c>
      <c r="I19" s="2"/>
      <c r="K19" s="2"/>
      <c r="M19" s="78"/>
      <c r="P19" s="2"/>
      <c r="Q19" s="46"/>
      <c r="BC19" s="273"/>
      <c r="BD19" s="301"/>
      <c r="BE19" s="297"/>
      <c r="BF19" s="301"/>
      <c r="BG19" s="297"/>
      <c r="BH19" s="301"/>
      <c r="BI19" s="297"/>
      <c r="BJ19" s="301"/>
      <c r="BK19" s="297"/>
      <c r="BL19" s="301"/>
      <c r="BM19" s="297"/>
      <c r="BN19" s="301"/>
      <c r="BO19" s="297"/>
      <c r="BP19" s="301"/>
      <c r="BQ19" s="297"/>
      <c r="BR19" s="301"/>
      <c r="BS19" s="297"/>
      <c r="BT19" s="301"/>
      <c r="CH19" s="49"/>
    </row>
    <row r="20" spans="1:86" ht="16" thickBot="1">
      <c r="B20" s="1" t="s">
        <v>98</v>
      </c>
      <c r="C20" s="197" t="s">
        <v>99</v>
      </c>
      <c r="F20" s="4" t="str">
        <f>IF(C20=S13,200000*H20," ")</f>
        <v xml:space="preserve"> </v>
      </c>
      <c r="H20" s="10" t="str">
        <f>IF(C20=S13,0.1*(H19+H21)," ")</f>
        <v xml:space="preserve"> </v>
      </c>
      <c r="K20" s="2"/>
      <c r="M20" s="81" t="s">
        <v>816</v>
      </c>
      <c r="N20" s="82"/>
      <c r="O20" s="82"/>
      <c r="P20" s="326">
        <f>MIN(IF(H51&lt;10.000001,MIN(D51,VLOOKUP(B51,AX6:BA12,4)),VLOOKUP(B51,AX6:BA12,4)),BB4)</f>
        <v>0</v>
      </c>
      <c r="Q20" s="375"/>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833">
        <f>($H$51-5)/(0.025*BC8)</f>
        <v>-200</v>
      </c>
      <c r="BD20" s="832"/>
      <c r="BE20" s="831">
        <f>($H$51-5)/(0.025*BE8)</f>
        <v>-100</v>
      </c>
      <c r="BF20" s="832"/>
      <c r="BG20" s="831">
        <f>($H$51-5)/(0.025*BG8)</f>
        <v>-66.666666666666657</v>
      </c>
      <c r="BH20" s="832"/>
      <c r="BI20" s="831">
        <f>($H$51-5)/(0.025*BI8)</f>
        <v>-50</v>
      </c>
      <c r="BJ20" s="832"/>
      <c r="BK20" s="831">
        <f>($H$51-5)/(0.025*BK8)</f>
        <v>-40</v>
      </c>
      <c r="BL20" s="832"/>
      <c r="BM20" s="831">
        <f>($H$51-5)/(0.025*BM8)</f>
        <v>-33.333333333333329</v>
      </c>
      <c r="BN20" s="832"/>
      <c r="BO20" s="831">
        <f>($H$51-5)/(0.025*BO8)</f>
        <v>-28.571428571428569</v>
      </c>
      <c r="BP20" s="832"/>
      <c r="BQ20" s="831">
        <f>($H$51-5)/(0.025*BQ8)</f>
        <v>-25</v>
      </c>
      <c r="BR20" s="832"/>
      <c r="BS20" s="831">
        <f>($H$51-5)/(0.025*BS8)</f>
        <v>-22.222222222222221</v>
      </c>
      <c r="BT20" s="832"/>
      <c r="BU20" s="381"/>
      <c r="BV20" s="381"/>
      <c r="BW20" s="381"/>
      <c r="BX20" s="381"/>
      <c r="BY20" s="381"/>
      <c r="BZ20" s="381"/>
      <c r="CA20" s="381"/>
      <c r="CB20" s="381"/>
      <c r="CC20" s="381"/>
      <c r="CD20" s="381"/>
      <c r="CE20" s="381"/>
      <c r="CF20" s="381"/>
      <c r="CG20" s="381"/>
      <c r="CH20" s="382"/>
    </row>
    <row r="21" spans="1:86" ht="16" thickBot="1">
      <c r="A21" s="7" t="s">
        <v>844</v>
      </c>
      <c r="B21" s="197" t="s">
        <v>829</v>
      </c>
      <c r="E21">
        <f>VLOOKUP(B21,AN24:AZ42,9)</f>
        <v>0</v>
      </c>
      <c r="F21" s="4">
        <f>IF(B19=T12,0,AT47)</f>
        <v>0</v>
      </c>
      <c r="H21" s="10">
        <f>IF(B19=T12,0,VLOOKUP(B21,AN24:AZ42,6)+VLOOKUP(B22,AN24:AZ42,6)+VLOOKUP(B23,AN24:AZ42,6))</f>
        <v>0</v>
      </c>
      <c r="K21" s="2"/>
    </row>
    <row r="22" spans="1:86" ht="16" thickBot="1">
      <c r="B22" s="197" t="s">
        <v>829</v>
      </c>
      <c r="D22" s="52" t="s">
        <v>818</v>
      </c>
      <c r="E22">
        <f>VLOOKUP(B22,AN24:AZ42,9)</f>
        <v>0</v>
      </c>
      <c r="H22" s="4"/>
      <c r="M22" t="s">
        <v>868</v>
      </c>
      <c r="X22" s="3" t="s">
        <v>810</v>
      </c>
      <c r="Y22" s="3"/>
      <c r="Z22" s="3"/>
      <c r="AB22" s="3" t="s">
        <v>664</v>
      </c>
      <c r="AK22" s="3" t="s">
        <v>811</v>
      </c>
      <c r="AL22" s="3"/>
      <c r="AM22" s="3"/>
      <c r="AS22" s="3" t="s">
        <v>62</v>
      </c>
      <c r="AT22" s="3"/>
      <c r="AW22" s="3"/>
      <c r="AX22" s="3" t="s">
        <v>765</v>
      </c>
    </row>
    <row r="23" spans="1:86" ht="16" thickBot="1">
      <c r="B23" s="197" t="s">
        <v>829</v>
      </c>
      <c r="D23" s="2">
        <f>VLOOKUP(B21,AN24:AZ42,10)+VLOOKUP(B22,AN24:AZ42,10)+VLOOKUP(B23,AN24:AZ42,10)</f>
        <v>0</v>
      </c>
      <c r="E23">
        <f>VLOOKUP(B23,AN24:AZ42,9)</f>
        <v>0</v>
      </c>
      <c r="H23" s="4"/>
      <c r="M23" s="83" t="s">
        <v>856</v>
      </c>
      <c r="N23" s="839"/>
      <c r="O23" s="839"/>
      <c r="P23" s="839"/>
      <c r="Q23" s="839"/>
      <c r="R23" s="839"/>
      <c r="S23" s="3" t="s">
        <v>838</v>
      </c>
      <c r="T23" s="3" t="s">
        <v>2</v>
      </c>
      <c r="U23" s="3" t="s">
        <v>1</v>
      </c>
      <c r="V23" s="3" t="s">
        <v>26</v>
      </c>
      <c r="W23" s="3" t="s">
        <v>262</v>
      </c>
      <c r="X23" s="1" t="s">
        <v>117</v>
      </c>
      <c r="Y23" s="1" t="s">
        <v>545</v>
      </c>
      <c r="Z23" s="1" t="s">
        <v>766</v>
      </c>
      <c r="AA23" s="1" t="s">
        <v>839</v>
      </c>
      <c r="AB23" s="3" t="s">
        <v>123</v>
      </c>
      <c r="AE23" s="1" t="s">
        <v>117</v>
      </c>
      <c r="AF23" s="1" t="s">
        <v>1</v>
      </c>
      <c r="AG23" s="1" t="s">
        <v>67</v>
      </c>
      <c r="AH23" s="1" t="s">
        <v>26</v>
      </c>
      <c r="AI23" s="1" t="s">
        <v>262</v>
      </c>
      <c r="AJ23" s="1" t="s">
        <v>396</v>
      </c>
      <c r="AK23" s="1" t="s">
        <v>117</v>
      </c>
      <c r="AL23" s="1" t="s">
        <v>1</v>
      </c>
      <c r="AM23" s="1" t="s">
        <v>55</v>
      </c>
      <c r="AN23" s="3" t="s">
        <v>123</v>
      </c>
      <c r="AS23" s="1" t="s">
        <v>117</v>
      </c>
      <c r="AT23" s="1" t="s">
        <v>545</v>
      </c>
      <c r="AU23" s="3" t="s">
        <v>67</v>
      </c>
      <c r="AV23" t="s">
        <v>26</v>
      </c>
      <c r="AW23" s="1" t="s">
        <v>123</v>
      </c>
      <c r="AX23" s="1" t="s">
        <v>853</v>
      </c>
      <c r="AY23" s="1" t="s">
        <v>1</v>
      </c>
      <c r="AZ23" s="1" t="s">
        <v>67</v>
      </c>
      <c r="BA23" s="1"/>
    </row>
    <row r="24" spans="1:86" ht="16" thickBot="1">
      <c r="H24" s="4"/>
      <c r="M24" s="83"/>
      <c r="N24" s="838" t="s">
        <v>866</v>
      </c>
      <c r="O24" s="838"/>
      <c r="P24" s="94"/>
      <c r="Q24" s="57"/>
      <c r="R24" s="94"/>
      <c r="S24" s="44" t="s">
        <v>829</v>
      </c>
      <c r="T24" s="45">
        <v>0</v>
      </c>
      <c r="U24" s="45">
        <v>0</v>
      </c>
      <c r="V24" s="45">
        <v>0</v>
      </c>
      <c r="W24" s="45">
        <v>0</v>
      </c>
      <c r="X24" s="44">
        <v>0</v>
      </c>
      <c r="Y24" s="45">
        <v>0</v>
      </c>
      <c r="Z24" s="87">
        <v>0</v>
      </c>
      <c r="AA24" s="89">
        <v>0</v>
      </c>
      <c r="AB24" s="44" t="s">
        <v>829</v>
      </c>
      <c r="AC24" s="45"/>
      <c r="AD24" s="45"/>
      <c r="AE24" s="45">
        <v>0</v>
      </c>
      <c r="AF24" s="45">
        <v>0</v>
      </c>
      <c r="AG24" s="45">
        <v>0</v>
      </c>
      <c r="AH24" s="45">
        <v>0</v>
      </c>
      <c r="AI24" s="45">
        <v>0</v>
      </c>
      <c r="AJ24" s="45">
        <v>0</v>
      </c>
      <c r="AK24" s="45">
        <v>0</v>
      </c>
      <c r="AL24" s="45">
        <v>0</v>
      </c>
      <c r="AM24" s="47">
        <v>0</v>
      </c>
      <c r="AN24" s="44" t="s">
        <v>829</v>
      </c>
      <c r="AO24" s="45"/>
      <c r="AP24" s="45"/>
      <c r="AQ24" s="45"/>
      <c r="AR24" s="45"/>
      <c r="AS24" s="45">
        <v>0</v>
      </c>
      <c r="AT24" s="45">
        <v>0</v>
      </c>
      <c r="AU24" s="45">
        <v>0</v>
      </c>
      <c r="AV24" s="47">
        <v>0</v>
      </c>
      <c r="AW24" s="1">
        <v>0</v>
      </c>
      <c r="AX24" s="98">
        <v>0</v>
      </c>
      <c r="AY24" s="99">
        <v>0</v>
      </c>
      <c r="AZ24" s="100">
        <v>0</v>
      </c>
      <c r="BA24" s="1"/>
    </row>
    <row r="25" spans="1:86" ht="16" thickBot="1">
      <c r="A25" s="102" t="s">
        <v>52</v>
      </c>
      <c r="B25" s="254" t="s">
        <v>53</v>
      </c>
      <c r="C25" s="102" t="s">
        <v>51</v>
      </c>
      <c r="D25" s="205">
        <v>3</v>
      </c>
      <c r="E25" s="22">
        <f>VLOOKUP(B25,S5:W11,4)+SUM(E28:E30)</f>
        <v>13</v>
      </c>
      <c r="F25" s="23">
        <f>IF(D25=0,0,VLOOKUP(B25,S5:W11,3))*'Ship Info'!G31</f>
        <v>82500000</v>
      </c>
      <c r="G25" s="22"/>
      <c r="H25" s="359">
        <f>IF(D25=0,0,VLOOKUP(B25,S5:W11,2))</f>
        <v>27.5</v>
      </c>
      <c r="I25" s="27"/>
      <c r="J25" s="22"/>
      <c r="K25" s="324">
        <f>VLOOKUP(B25,S5:W11,5)</f>
        <v>90</v>
      </c>
      <c r="L25" s="22"/>
      <c r="M25" s="95" t="s">
        <v>867</v>
      </c>
      <c r="N25" s="93" t="s">
        <v>1</v>
      </c>
      <c r="O25" s="57" t="s">
        <v>55</v>
      </c>
      <c r="P25" s="96" t="s">
        <v>67</v>
      </c>
      <c r="Q25" s="93" t="s">
        <v>26</v>
      </c>
      <c r="R25" s="96" t="s">
        <v>860</v>
      </c>
      <c r="S25" s="78" t="s">
        <v>830</v>
      </c>
      <c r="T25">
        <f>0.25*T3</f>
        <v>1.5</v>
      </c>
      <c r="U25">
        <f>-0.25*F11</f>
        <v>-6000000</v>
      </c>
      <c r="V25">
        <v>0</v>
      </c>
      <c r="W25">
        <v>0</v>
      </c>
      <c r="X25" s="78">
        <f>0.25*T70</f>
        <v>0.375</v>
      </c>
      <c r="Y25" t="e">
        <f>-0.25*(F42+F46)</f>
        <v>#VALUE!</v>
      </c>
      <c r="Z25" s="88">
        <v>0</v>
      </c>
      <c r="AA25" s="90">
        <v>3</v>
      </c>
      <c r="AB25" s="78" t="s">
        <v>830</v>
      </c>
      <c r="AE25">
        <f>0.25*VLOOKUP(B25,S5:W11,2)</f>
        <v>6.875</v>
      </c>
      <c r="AF25">
        <f>-0.25*F25</f>
        <v>-20625000</v>
      </c>
      <c r="AG25">
        <v>0</v>
      </c>
      <c r="AH25">
        <v>0</v>
      </c>
      <c r="AI25">
        <v>0</v>
      </c>
      <c r="AJ25">
        <v>3</v>
      </c>
      <c r="AK25">
        <f>0.25*VLOOKUP(B51,X10:AB16,2)</f>
        <v>0</v>
      </c>
      <c r="AL25">
        <f>-0.25*F51</f>
        <v>0</v>
      </c>
      <c r="AM25" s="46">
        <v>0</v>
      </c>
      <c r="AN25" s="78" t="s">
        <v>830</v>
      </c>
      <c r="AS25">
        <f>0.25*T4</f>
        <v>0.75</v>
      </c>
      <c r="AT25">
        <f>-0.25*U4</f>
        <v>-150000</v>
      </c>
      <c r="AU25">
        <v>0</v>
      </c>
      <c r="AV25" s="46">
        <v>0</v>
      </c>
      <c r="AW25" s="2">
        <v>3</v>
      </c>
      <c r="AX25" s="92">
        <f>0.25*T15</f>
        <v>0.75</v>
      </c>
      <c r="AY25" s="2">
        <f>-0.25*U15</f>
        <v>-150000</v>
      </c>
      <c r="AZ25" s="88">
        <v>0</v>
      </c>
    </row>
    <row r="26" spans="1:86" ht="16" thickBot="1">
      <c r="A26" s="22"/>
      <c r="B26" s="103" t="s">
        <v>97</v>
      </c>
      <c r="C26" s="206" t="s">
        <v>99</v>
      </c>
      <c r="D26" s="27"/>
      <c r="E26" s="22"/>
      <c r="F26" s="23" t="str">
        <f>IF(C26=S13,0.5*(F25+F28)," ")</f>
        <v xml:space="preserve"> </v>
      </c>
      <c r="G26" s="22"/>
      <c r="H26" s="359"/>
      <c r="I26" s="27"/>
      <c r="J26" s="22"/>
      <c r="K26" s="27"/>
      <c r="L26" s="22"/>
      <c r="M26" s="235">
        <v>0</v>
      </c>
      <c r="N26" s="235">
        <v>0</v>
      </c>
      <c r="O26" s="289">
        <v>0</v>
      </c>
      <c r="P26" s="235">
        <v>0</v>
      </c>
      <c r="Q26" s="198"/>
      <c r="R26" s="198"/>
      <c r="S26" s="78" t="s">
        <v>831</v>
      </c>
      <c r="T26">
        <v>0</v>
      </c>
      <c r="U26">
        <f>-0.25*F11</f>
        <v>-6000000</v>
      </c>
      <c r="V26">
        <v>0</v>
      </c>
      <c r="W26">
        <f>0.3*W3</f>
        <v>18</v>
      </c>
      <c r="X26" s="78">
        <v>0</v>
      </c>
      <c r="Y26" t="e">
        <f>-0.25*(F42+F46)</f>
        <v>#VALUE!</v>
      </c>
      <c r="Z26" s="88">
        <f>0.3*VLOOKUP(B42,S69:W71,5)</f>
        <v>0</v>
      </c>
      <c r="AA26" s="90">
        <v>3</v>
      </c>
      <c r="AB26" s="78" t="s">
        <v>871</v>
      </c>
      <c r="AE26">
        <v>0</v>
      </c>
      <c r="AF26">
        <f>-0.25*F25</f>
        <v>-20625000</v>
      </c>
      <c r="AG26">
        <v>0</v>
      </c>
      <c r="AH26">
        <v>0</v>
      </c>
      <c r="AI26">
        <f>0.3*VLOOKUP(B25,S5:W11,5)</f>
        <v>27</v>
      </c>
      <c r="AJ26">
        <v>3</v>
      </c>
      <c r="AK26">
        <v>0</v>
      </c>
      <c r="AL26">
        <f>-0.25*F51</f>
        <v>0</v>
      </c>
      <c r="AM26" s="46">
        <f>0.3*VLOOKUP(B51,S5:W11,5)</f>
        <v>0</v>
      </c>
      <c r="AN26" s="78" t="s">
        <v>848</v>
      </c>
      <c r="AS26">
        <v>0</v>
      </c>
      <c r="AT26">
        <f>-0.25*U4</f>
        <v>-150000</v>
      </c>
      <c r="AU26">
        <v>0.25</v>
      </c>
      <c r="AV26" s="46">
        <v>0</v>
      </c>
      <c r="AW26" s="2">
        <v>3</v>
      </c>
      <c r="AX26" s="92">
        <v>0</v>
      </c>
      <c r="AY26" s="2">
        <f>-0.25*U15</f>
        <v>-150000</v>
      </c>
      <c r="AZ26" s="88">
        <v>0.25</v>
      </c>
    </row>
    <row r="27" spans="1:86" ht="16" thickBot="1">
      <c r="A27" s="22"/>
      <c r="B27" s="103" t="s">
        <v>98</v>
      </c>
      <c r="C27" s="206" t="s">
        <v>99</v>
      </c>
      <c r="D27" s="22"/>
      <c r="E27" s="22"/>
      <c r="F27" s="23" t="str">
        <f>IF(C27=S13,200000*H27," ")</f>
        <v xml:space="preserve"> </v>
      </c>
      <c r="G27" s="22"/>
      <c r="H27" s="359" t="str">
        <f>IF(C27=S13,0.1*(H25+H28)," ")</f>
        <v xml:space="preserve"> </v>
      </c>
      <c r="I27" s="22"/>
      <c r="J27" s="22"/>
      <c r="K27" s="27"/>
      <c r="L27" s="22"/>
      <c r="M27" s="201"/>
      <c r="N27" s="60"/>
      <c r="O27" s="202"/>
      <c r="P27" s="60"/>
      <c r="Q27" s="203"/>
      <c r="R27" s="97">
        <v>0</v>
      </c>
      <c r="S27" s="78" t="s">
        <v>832</v>
      </c>
      <c r="T27">
        <v>0</v>
      </c>
      <c r="U27">
        <f>-0.25*F11</f>
        <v>-6000000</v>
      </c>
      <c r="V27">
        <v>0</v>
      </c>
      <c r="W27">
        <v>0</v>
      </c>
      <c r="X27" s="78">
        <v>0</v>
      </c>
      <c r="Y27" t="e">
        <f>-0.25*(F42+F46)</f>
        <v>#VALUE!</v>
      </c>
      <c r="Z27" s="88">
        <v>0</v>
      </c>
      <c r="AA27" s="90">
        <v>3</v>
      </c>
      <c r="AB27" s="78" t="s">
        <v>833</v>
      </c>
      <c r="AE27">
        <v>0</v>
      </c>
      <c r="AF27">
        <f>-0.1*F25</f>
        <v>-8250000</v>
      </c>
      <c r="AG27">
        <v>0</v>
      </c>
      <c r="AH27">
        <v>1</v>
      </c>
      <c r="AI27">
        <v>0</v>
      </c>
      <c r="AJ27">
        <v>3</v>
      </c>
      <c r="AK27">
        <v>0</v>
      </c>
      <c r="AL27">
        <f>-0.1*F51</f>
        <v>0</v>
      </c>
      <c r="AM27" s="46">
        <v>0</v>
      </c>
      <c r="AN27" s="78" t="s">
        <v>833</v>
      </c>
      <c r="AS27">
        <v>0</v>
      </c>
      <c r="AT27">
        <f>-0.1*U4</f>
        <v>-60000</v>
      </c>
      <c r="AU27">
        <v>0</v>
      </c>
      <c r="AV27" s="46">
        <v>1</v>
      </c>
      <c r="AW27" s="2">
        <v>3</v>
      </c>
      <c r="AX27" s="92">
        <v>0</v>
      </c>
      <c r="AY27" s="2">
        <f>-0.1*U15</f>
        <v>-60000</v>
      </c>
      <c r="AZ27" s="88">
        <v>0</v>
      </c>
    </row>
    <row r="28" spans="1:86" ht="16" thickBot="1">
      <c r="A28" s="102" t="s">
        <v>126</v>
      </c>
      <c r="B28" s="206" t="s">
        <v>879</v>
      </c>
      <c r="C28" s="22"/>
      <c r="D28" s="22"/>
      <c r="E28" s="22">
        <f>VLOOKUP(B28,AB24:AM48,7)</f>
        <v>1</v>
      </c>
      <c r="F28" s="23">
        <f>AE51</f>
        <v>8250000</v>
      </c>
      <c r="G28" s="22"/>
      <c r="H28" s="359">
        <f>IF(D25=0,0,VLOOKUP(B28,AB24:AM48,4)+VLOOKUP(B29,AB24:AM48,4)+VLOOKUP(B30,AB24:AM48,4))</f>
        <v>0</v>
      </c>
      <c r="I28" s="22"/>
      <c r="J28" s="22"/>
      <c r="K28" s="324">
        <f>IF(B25=S5,0,VLOOKUP(B28,AB24:AM48,8)+VLOOKUP(B29,AB24:AM48,8)+VLOOKUP(B30,AB24:AM48,8))</f>
        <v>0</v>
      </c>
      <c r="L28" s="22"/>
      <c r="S28" s="78" t="s">
        <v>833</v>
      </c>
      <c r="T28">
        <v>0</v>
      </c>
      <c r="U28">
        <f>-0.1*F11</f>
        <v>-2400000</v>
      </c>
      <c r="V28">
        <v>1</v>
      </c>
      <c r="W28">
        <v>0</v>
      </c>
      <c r="X28" s="78">
        <v>0</v>
      </c>
      <c r="Y28" t="e">
        <f>-0.1*(F42+F46)</f>
        <v>#VALUE!</v>
      </c>
      <c r="Z28" s="88">
        <v>0</v>
      </c>
      <c r="AA28" s="90">
        <v>3</v>
      </c>
      <c r="AB28" s="78" t="s">
        <v>834</v>
      </c>
      <c r="AE28">
        <v>0</v>
      </c>
      <c r="AF28">
        <f>-0.2*F25</f>
        <v>-16500000</v>
      </c>
      <c r="AG28">
        <v>0</v>
      </c>
      <c r="AH28">
        <v>2</v>
      </c>
      <c r="AI28">
        <v>0</v>
      </c>
      <c r="AJ28">
        <v>3</v>
      </c>
      <c r="AK28">
        <v>0</v>
      </c>
      <c r="AL28">
        <f>-0.2*F51</f>
        <v>0</v>
      </c>
      <c r="AM28" s="46">
        <v>0</v>
      </c>
      <c r="AN28" s="78" t="s">
        <v>834</v>
      </c>
      <c r="AS28">
        <v>0</v>
      </c>
      <c r="AT28">
        <f>-0.15*U4</f>
        <v>-90000</v>
      </c>
      <c r="AU28">
        <v>0</v>
      </c>
      <c r="AV28" s="46">
        <v>2</v>
      </c>
      <c r="AW28" s="2">
        <v>3</v>
      </c>
      <c r="AX28" s="92">
        <v>0</v>
      </c>
      <c r="AY28" s="2">
        <f>-0.15*U15</f>
        <v>-90000</v>
      </c>
      <c r="AZ28" s="88">
        <v>0</v>
      </c>
    </row>
    <row r="29" spans="1:86" ht="16" thickBot="1">
      <c r="A29" s="22"/>
      <c r="B29" s="206" t="s">
        <v>829</v>
      </c>
      <c r="C29" s="22"/>
      <c r="D29" s="104" t="s">
        <v>818</v>
      </c>
      <c r="E29" s="22">
        <f>VLOOKUP(B29,AB24:AM48,7)</f>
        <v>0</v>
      </c>
      <c r="F29" s="22"/>
      <c r="G29" s="22"/>
      <c r="H29" s="23"/>
      <c r="I29" s="22"/>
      <c r="J29" s="22"/>
      <c r="K29" s="22"/>
      <c r="L29" s="22"/>
      <c r="M29" t="s">
        <v>868</v>
      </c>
      <c r="S29" s="78" t="s">
        <v>834</v>
      </c>
      <c r="T29">
        <v>0</v>
      </c>
      <c r="U29">
        <f>-0.15*F11</f>
        <v>-3600000</v>
      </c>
      <c r="V29">
        <v>2</v>
      </c>
      <c r="W29">
        <v>0</v>
      </c>
      <c r="X29" s="78">
        <v>0</v>
      </c>
      <c r="Y29" t="e">
        <f>-0.15*(F42+F46)</f>
        <v>#VALUE!</v>
      </c>
      <c r="Z29" s="88">
        <v>0</v>
      </c>
      <c r="AA29" s="90">
        <v>3</v>
      </c>
      <c r="AB29" s="78" t="s">
        <v>835</v>
      </c>
      <c r="AE29">
        <v>0</v>
      </c>
      <c r="AF29">
        <f>-0.3*F25</f>
        <v>-24750000</v>
      </c>
      <c r="AG29">
        <v>0</v>
      </c>
      <c r="AH29">
        <v>3</v>
      </c>
      <c r="AI29">
        <v>0</v>
      </c>
      <c r="AJ29">
        <v>3</v>
      </c>
      <c r="AK29">
        <v>0</v>
      </c>
      <c r="AL29">
        <f>-0.3*F51</f>
        <v>0</v>
      </c>
      <c r="AM29" s="46">
        <v>0</v>
      </c>
      <c r="AN29" s="78" t="s">
        <v>835</v>
      </c>
      <c r="AS29">
        <v>0</v>
      </c>
      <c r="AT29">
        <f>-0.2*U4</f>
        <v>-120000</v>
      </c>
      <c r="AU29">
        <v>0</v>
      </c>
      <c r="AV29" s="46">
        <v>3</v>
      </c>
      <c r="AW29" s="2">
        <v>3</v>
      </c>
      <c r="AX29" s="92">
        <v>0</v>
      </c>
      <c r="AY29" s="2">
        <f>-0.2*U15</f>
        <v>-120000</v>
      </c>
      <c r="AZ29" s="88">
        <v>0</v>
      </c>
    </row>
    <row r="30" spans="1:86" ht="16" thickBot="1">
      <c r="A30" s="22"/>
      <c r="B30" s="206" t="s">
        <v>829</v>
      </c>
      <c r="C30" s="22"/>
      <c r="D30" s="27">
        <f>VLOOKUP(B28,AB24:AM48,9)+VLOOKUP(B29,AB24:AM48,9)+VLOOKUP(B30,AB24:AM48,9)</f>
        <v>1</v>
      </c>
      <c r="E30" s="22">
        <f>VLOOKUP(B30,AB24:AM48,7)</f>
        <v>0</v>
      </c>
      <c r="F30" s="22"/>
      <c r="G30" s="22"/>
      <c r="H30" s="23"/>
      <c r="I30" s="22"/>
      <c r="J30" s="22"/>
      <c r="K30" s="22"/>
      <c r="L30" s="22"/>
      <c r="M30" s="83" t="s">
        <v>857</v>
      </c>
      <c r="N30" s="839"/>
      <c r="O30" s="839"/>
      <c r="P30" s="839"/>
      <c r="Q30" s="839"/>
      <c r="R30" s="839"/>
      <c r="S30" t="s">
        <v>835</v>
      </c>
      <c r="T30">
        <v>0</v>
      </c>
      <c r="U30">
        <f>-0.2*F11</f>
        <v>-4800000</v>
      </c>
      <c r="V30">
        <v>3</v>
      </c>
      <c r="W30">
        <v>0</v>
      </c>
      <c r="X30" s="78">
        <v>0</v>
      </c>
      <c r="Y30" t="e">
        <f>-0.2*(F42+F46)</f>
        <v>#VALUE!</v>
      </c>
      <c r="Z30" s="88">
        <v>0</v>
      </c>
      <c r="AA30" s="90">
        <v>3</v>
      </c>
      <c r="AB30" s="78" t="s">
        <v>875</v>
      </c>
      <c r="AE30">
        <v>0</v>
      </c>
      <c r="AF30">
        <v>0</v>
      </c>
      <c r="AG30">
        <v>-0.05</v>
      </c>
      <c r="AH30">
        <v>1</v>
      </c>
      <c r="AI30">
        <v>0</v>
      </c>
      <c r="AJ30">
        <v>1</v>
      </c>
      <c r="AK30">
        <v>0</v>
      </c>
      <c r="AL30">
        <v>0</v>
      </c>
      <c r="AM30" s="46">
        <v>0</v>
      </c>
      <c r="AN30" s="78" t="s">
        <v>849</v>
      </c>
      <c r="AS30">
        <v>0</v>
      </c>
      <c r="AT30">
        <v>0</v>
      </c>
      <c r="AU30">
        <v>-0.2</v>
      </c>
      <c r="AV30" s="46">
        <v>1</v>
      </c>
      <c r="AW30" s="2">
        <v>1</v>
      </c>
      <c r="AX30" s="92">
        <v>0</v>
      </c>
      <c r="AY30" s="2">
        <v>0</v>
      </c>
      <c r="AZ30" s="88">
        <v>-0.2</v>
      </c>
    </row>
    <row r="31" spans="1:86">
      <c r="F31" s="4"/>
      <c r="H31" s="10"/>
      <c r="K31" s="2"/>
      <c r="M31" s="83"/>
      <c r="N31" s="838" t="s">
        <v>866</v>
      </c>
      <c r="O31" s="838"/>
      <c r="P31" s="94"/>
      <c r="Q31" s="57"/>
      <c r="R31" s="94"/>
      <c r="S31" s="78" t="s">
        <v>846</v>
      </c>
      <c r="T31">
        <v>0</v>
      </c>
      <c r="U31">
        <v>0</v>
      </c>
      <c r="V31">
        <v>1</v>
      </c>
      <c r="W31">
        <f>-0.25*W3</f>
        <v>-15</v>
      </c>
      <c r="X31" s="78">
        <v>0</v>
      </c>
      <c r="Y31">
        <v>0</v>
      </c>
      <c r="Z31" s="88">
        <f>-0.25*VLOOKUP(B42,S69:W71,5)</f>
        <v>0</v>
      </c>
      <c r="AA31" s="90">
        <v>1</v>
      </c>
      <c r="AB31" s="78" t="s">
        <v>876</v>
      </c>
      <c r="AE31">
        <v>0</v>
      </c>
      <c r="AF31">
        <v>0</v>
      </c>
      <c r="AG31">
        <v>0</v>
      </c>
      <c r="AH31">
        <v>1</v>
      </c>
      <c r="AI31">
        <v>0</v>
      </c>
      <c r="AJ31">
        <v>1</v>
      </c>
      <c r="AK31">
        <v>0</v>
      </c>
      <c r="AL31">
        <v>0</v>
      </c>
      <c r="AM31" s="46">
        <v>0</v>
      </c>
      <c r="AN31" s="78" t="s">
        <v>836</v>
      </c>
      <c r="AS31">
        <f>-0.1*T4</f>
        <v>-0.30000000000000004</v>
      </c>
      <c r="AT31">
        <v>0</v>
      </c>
      <c r="AU31">
        <v>0</v>
      </c>
      <c r="AV31" s="46">
        <v>1</v>
      </c>
      <c r="AW31" s="2">
        <v>1</v>
      </c>
      <c r="AX31" s="92">
        <f>-0.1*T15</f>
        <v>-0.30000000000000004</v>
      </c>
      <c r="AY31" s="2">
        <v>0</v>
      </c>
      <c r="AZ31" s="88">
        <v>0</v>
      </c>
    </row>
    <row r="32" spans="1:86" ht="16" thickBot="1">
      <c r="A32" s="11" t="s">
        <v>874</v>
      </c>
      <c r="F32" s="4"/>
      <c r="H32" s="10"/>
      <c r="K32" s="2"/>
      <c r="M32" s="95" t="s">
        <v>867</v>
      </c>
      <c r="N32" s="93" t="s">
        <v>1</v>
      </c>
      <c r="O32" s="57" t="s">
        <v>55</v>
      </c>
      <c r="P32" s="96" t="s">
        <v>67</v>
      </c>
      <c r="Q32" s="93" t="s">
        <v>26</v>
      </c>
      <c r="R32" s="96" t="s">
        <v>860</v>
      </c>
      <c r="S32" s="78" t="s">
        <v>836</v>
      </c>
      <c r="T32">
        <f>-0.1*T3</f>
        <v>-0.60000000000000009</v>
      </c>
      <c r="U32">
        <v>0</v>
      </c>
      <c r="V32">
        <v>1</v>
      </c>
      <c r="W32">
        <v>0</v>
      </c>
      <c r="X32" s="78">
        <f>-0.1*T70</f>
        <v>-0.15000000000000002</v>
      </c>
      <c r="Y32">
        <v>0</v>
      </c>
      <c r="Z32" s="88">
        <v>0</v>
      </c>
      <c r="AA32" s="90">
        <v>1</v>
      </c>
      <c r="AB32" s="78" t="s">
        <v>877</v>
      </c>
      <c r="AE32">
        <v>0</v>
      </c>
      <c r="AF32">
        <v>0</v>
      </c>
      <c r="AG32">
        <v>0</v>
      </c>
      <c r="AH32">
        <v>1</v>
      </c>
      <c r="AI32">
        <f>-0.25*VLOOKUP(B25,S5:W11,5)</f>
        <v>-22.5</v>
      </c>
      <c r="AJ32">
        <v>1</v>
      </c>
      <c r="AK32">
        <v>0</v>
      </c>
      <c r="AL32">
        <v>0</v>
      </c>
      <c r="AM32" s="46">
        <f>-0.25*VLOOKUP(B51,S5:W11,5)</f>
        <v>0</v>
      </c>
      <c r="AN32" s="78" t="s">
        <v>837</v>
      </c>
      <c r="AS32">
        <v>0</v>
      </c>
      <c r="AT32">
        <v>0</v>
      </c>
      <c r="AU32">
        <v>0</v>
      </c>
      <c r="AV32" s="46">
        <v>1</v>
      </c>
      <c r="AW32" s="2">
        <v>1</v>
      </c>
      <c r="AX32" s="92">
        <v>0</v>
      </c>
      <c r="AY32" s="2">
        <v>0</v>
      </c>
      <c r="AZ32" s="88">
        <v>0</v>
      </c>
    </row>
    <row r="33" spans="1:53" ht="16" thickBot="1">
      <c r="A33" s="7" t="s">
        <v>56</v>
      </c>
      <c r="B33" s="255" t="s">
        <v>2071</v>
      </c>
      <c r="C33" s="7" t="s">
        <v>51</v>
      </c>
      <c r="D33" s="198">
        <v>0</v>
      </c>
      <c r="E33">
        <f>INDEX(S14:V15,MATCH(B33,S14:S15,0),4)+SUM(E35:E37)</f>
        <v>0</v>
      </c>
      <c r="F33" s="4">
        <f>INDEX(S14:V15,MATCH(B33,S14:S15,0),3)*'Ship Info'!G31</f>
        <v>0</v>
      </c>
      <c r="H33" s="10">
        <f>INDEX(S14:V15,MATCH(B33,S14:S15,0),2)</f>
        <v>0</v>
      </c>
      <c r="K33" s="2"/>
      <c r="M33" s="235">
        <v>0</v>
      </c>
      <c r="N33" s="235">
        <v>0</v>
      </c>
      <c r="O33" s="289">
        <v>0</v>
      </c>
      <c r="P33" s="235">
        <v>0</v>
      </c>
      <c r="Q33" s="198">
        <v>0</v>
      </c>
      <c r="R33" s="198">
        <v>0</v>
      </c>
      <c r="S33" t="s">
        <v>837</v>
      </c>
      <c r="T33">
        <v>0</v>
      </c>
      <c r="U33">
        <v>0</v>
      </c>
      <c r="V33">
        <v>1</v>
      </c>
      <c r="W33">
        <v>0</v>
      </c>
      <c r="X33" s="78">
        <v>0</v>
      </c>
      <c r="Y33">
        <v>0</v>
      </c>
      <c r="Z33" s="88">
        <v>0</v>
      </c>
      <c r="AA33" s="90">
        <v>1</v>
      </c>
      <c r="AB33" s="78" t="s">
        <v>878</v>
      </c>
      <c r="AE33">
        <f>-0.1*VLOOKUP(B25,S5:W11,2)</f>
        <v>-2.75</v>
      </c>
      <c r="AF33">
        <v>0</v>
      </c>
      <c r="AG33">
        <v>0</v>
      </c>
      <c r="AH33">
        <v>1</v>
      </c>
      <c r="AI33">
        <v>0</v>
      </c>
      <c r="AJ33">
        <v>1</v>
      </c>
      <c r="AK33">
        <f>-0.1*VLOOKUP(B51,X10:AB16,2)</f>
        <v>0</v>
      </c>
      <c r="AL33">
        <v>0</v>
      </c>
      <c r="AM33" s="46">
        <v>0</v>
      </c>
      <c r="AN33" s="78" t="s">
        <v>854</v>
      </c>
      <c r="AS33">
        <v>0</v>
      </c>
      <c r="AT33">
        <v>0</v>
      </c>
      <c r="AU33">
        <v>0</v>
      </c>
      <c r="AV33" s="46">
        <v>2</v>
      </c>
      <c r="AW33" s="2">
        <v>2</v>
      </c>
      <c r="AX33" s="92">
        <v>0</v>
      </c>
      <c r="AY33" s="2">
        <v>0</v>
      </c>
      <c r="AZ33" s="88">
        <v>0</v>
      </c>
    </row>
    <row r="34" spans="1:53" ht="16" thickBot="1">
      <c r="B34" s="1" t="s">
        <v>98</v>
      </c>
      <c r="C34" s="197" t="s">
        <v>99</v>
      </c>
      <c r="F34" s="4" t="str">
        <f>IF(C34=S13,200000*H34," ")</f>
        <v xml:space="preserve"> </v>
      </c>
      <c r="H34" s="10" t="str">
        <f>IF(C34=S13,0.1*(H33+H35)," ")</f>
        <v xml:space="preserve"> </v>
      </c>
      <c r="K34" s="2"/>
      <c r="M34" s="201"/>
      <c r="N34" s="60"/>
      <c r="O34" s="202"/>
      <c r="P34" s="60"/>
      <c r="Q34" s="203"/>
      <c r="R34" s="97">
        <f>IF(N33=0,R33,3)</f>
        <v>0</v>
      </c>
      <c r="S34" t="s">
        <v>2159</v>
      </c>
      <c r="T34">
        <v>0</v>
      </c>
      <c r="U34">
        <v>0</v>
      </c>
      <c r="V34">
        <v>1</v>
      </c>
      <c r="W34">
        <v>0</v>
      </c>
      <c r="X34" s="78">
        <v>0</v>
      </c>
      <c r="Y34">
        <v>0</v>
      </c>
      <c r="Z34" s="88">
        <v>0</v>
      </c>
      <c r="AA34" s="90">
        <v>1</v>
      </c>
      <c r="AB34" s="78" t="s">
        <v>879</v>
      </c>
      <c r="AE34">
        <v>0</v>
      </c>
      <c r="AF34">
        <v>0</v>
      </c>
      <c r="AG34">
        <v>0</v>
      </c>
      <c r="AH34">
        <v>1</v>
      </c>
      <c r="AI34">
        <v>0</v>
      </c>
      <c r="AJ34">
        <v>1</v>
      </c>
      <c r="AK34">
        <v>0</v>
      </c>
      <c r="AL34">
        <v>0</v>
      </c>
      <c r="AM34" s="46">
        <v>0</v>
      </c>
      <c r="AN34" s="78" t="s">
        <v>840</v>
      </c>
      <c r="AS34">
        <f>0.25*T4</f>
        <v>0.75</v>
      </c>
      <c r="AT34">
        <f>5*U4</f>
        <v>3000000</v>
      </c>
      <c r="AU34">
        <v>0</v>
      </c>
      <c r="AV34" s="46">
        <v>-1</v>
      </c>
      <c r="AW34" s="2">
        <v>3</v>
      </c>
      <c r="AX34" s="92">
        <f>0.25*T15</f>
        <v>0.75</v>
      </c>
      <c r="AY34" s="2">
        <f>5*U15</f>
        <v>3000000</v>
      </c>
      <c r="AZ34" s="88">
        <v>0</v>
      </c>
    </row>
    <row r="35" spans="1:53" ht="16" thickBot="1">
      <c r="A35" s="7" t="s">
        <v>844</v>
      </c>
      <c r="B35" s="197" t="s">
        <v>829</v>
      </c>
      <c r="E35">
        <f>VLOOKUP(B35,AN24:AZ42,9)</f>
        <v>0</v>
      </c>
      <c r="F35" s="4">
        <f>AY47</f>
        <v>0</v>
      </c>
      <c r="H35" s="10">
        <f>VLOOKUP(B35,AN24:AZ42,11)+VLOOKUP(B36,AN24:AZ42,11)+VLOOKUP(B37,AN24:AZ42,11)</f>
        <v>0</v>
      </c>
      <c r="S35" t="s">
        <v>1391</v>
      </c>
      <c r="T35">
        <f>INDEX(AF1:AQ3,2,MATCH(D11*2,AF1:AQ1,0))*Tonnage-H11+0.25*INDEX(AF1:AQ3,2,MATCH(D11*2,AF1:AQ1,0))*Tonnage</f>
        <v>9</v>
      </c>
      <c r="U35">
        <v>-1.0000000000000001E-9</v>
      </c>
      <c r="V35">
        <f>INDEX(AF1:AV3,3,MATCH(D11*2,AF1:AV1,0))-INDEX(AF1:AV3,3,MATCH(D11,AF1:AV1,0))</f>
        <v>1</v>
      </c>
      <c r="W35">
        <v>0</v>
      </c>
      <c r="X35" s="78">
        <f>INDEX(AF1:AQ3,2,MATCH(D42*2,AF1:AQ1,0))*Tonnage-H42+0.25*INDEX(AF1:AQ3,2,MATCH(D42*2,AF1:AQ1,0))*Tonnage</f>
        <v>1.875</v>
      </c>
      <c r="Y35">
        <v>-1.0000000000000001E-9</v>
      </c>
      <c r="Z35" s="88">
        <f>INDEX(AF1:AQ3,3,MATCH(D42*2,AF1:AQ1,0))-INDEX(AF1:AQ3,3,MATCH(D42,AF1:AQ1,0))</f>
        <v>0</v>
      </c>
      <c r="AA35" s="90">
        <v>0</v>
      </c>
      <c r="AB35" s="78" t="s">
        <v>880</v>
      </c>
      <c r="AE35">
        <v>0</v>
      </c>
      <c r="AF35">
        <v>0</v>
      </c>
      <c r="AG35">
        <v>0</v>
      </c>
      <c r="AH35">
        <v>2</v>
      </c>
      <c r="AI35">
        <v>0</v>
      </c>
      <c r="AJ35">
        <v>1</v>
      </c>
      <c r="AK35">
        <v>0</v>
      </c>
      <c r="AL35">
        <v>0</v>
      </c>
      <c r="AM35" s="46">
        <v>0</v>
      </c>
      <c r="AN35" s="78" t="s">
        <v>855</v>
      </c>
      <c r="AS35">
        <v>0</v>
      </c>
      <c r="AT35">
        <f>5*U4</f>
        <v>3000000</v>
      </c>
      <c r="AU35">
        <v>0.25</v>
      </c>
      <c r="AV35" s="46">
        <v>-1</v>
      </c>
      <c r="AW35" s="2">
        <v>3</v>
      </c>
      <c r="AX35" s="92">
        <v>0</v>
      </c>
      <c r="AY35" s="2">
        <f>5*U15</f>
        <v>3000000</v>
      </c>
      <c r="AZ35" s="88">
        <v>0.25</v>
      </c>
    </row>
    <row r="36" spans="1:53" ht="16" thickBot="1">
      <c r="B36" s="197" t="s">
        <v>829</v>
      </c>
      <c r="D36" s="52" t="s">
        <v>818</v>
      </c>
      <c r="E36">
        <f>VLOOKUP(B36,AN24:AV42,9)</f>
        <v>0</v>
      </c>
      <c r="H36" s="4"/>
      <c r="M36" t="s">
        <v>868</v>
      </c>
      <c r="S36" s="78" t="s">
        <v>840</v>
      </c>
      <c r="T36">
        <f>0.25*T3</f>
        <v>1.5</v>
      </c>
      <c r="U36">
        <f>5*F11</f>
        <v>120000000</v>
      </c>
      <c r="V36">
        <v>-1</v>
      </c>
      <c r="W36">
        <v>0</v>
      </c>
      <c r="X36" s="78">
        <f>0.25*T70</f>
        <v>0.375</v>
      </c>
      <c r="Y36" t="e">
        <f>5*(F42+F46)</f>
        <v>#VALUE!</v>
      </c>
      <c r="Z36" s="88">
        <v>0</v>
      </c>
      <c r="AA36" s="90">
        <v>3</v>
      </c>
      <c r="AB36" s="78" t="s">
        <v>840</v>
      </c>
      <c r="AE36">
        <f>0.25*VLOOKUP(B25,S5:W11,2)</f>
        <v>6.875</v>
      </c>
      <c r="AF36">
        <f>5*F25</f>
        <v>412500000</v>
      </c>
      <c r="AG36">
        <v>0</v>
      </c>
      <c r="AH36">
        <v>-1</v>
      </c>
      <c r="AI36">
        <v>0</v>
      </c>
      <c r="AJ36">
        <v>3</v>
      </c>
      <c r="AK36">
        <f>0.25*VLOOKUP(B51,X10:AB16,2)</f>
        <v>0</v>
      </c>
      <c r="AL36">
        <f>5*F51</f>
        <v>0</v>
      </c>
      <c r="AM36" s="46">
        <v>0</v>
      </c>
      <c r="AN36" s="78" t="s">
        <v>850</v>
      </c>
      <c r="AS36">
        <f>1.5*T4</f>
        <v>4.5</v>
      </c>
      <c r="AT36">
        <f>10*U4</f>
        <v>6000000</v>
      </c>
      <c r="AU36">
        <v>0</v>
      </c>
      <c r="AV36" s="46">
        <v>-2</v>
      </c>
      <c r="AW36" s="2">
        <v>3</v>
      </c>
      <c r="AX36" s="92">
        <f>1.5*T15</f>
        <v>4.5</v>
      </c>
      <c r="AY36" s="2">
        <f>10*U15</f>
        <v>6000000</v>
      </c>
      <c r="AZ36" s="88">
        <v>0</v>
      </c>
    </row>
    <row r="37" spans="1:53" ht="16" thickBot="1">
      <c r="B37" s="197" t="s">
        <v>829</v>
      </c>
      <c r="D37" s="2">
        <f>VLOOKUP(B35,AN24:AZ42,10)+VLOOKUP(B36,AN24:AZ42,10)+VLOOKUP(B37,AN24:AZ42,10)</f>
        <v>0</v>
      </c>
      <c r="E37">
        <f>VLOOKUP(B37,AN24:AV42,9)</f>
        <v>0</v>
      </c>
      <c r="H37" s="4"/>
      <c r="M37" s="83" t="s">
        <v>858</v>
      </c>
      <c r="N37" s="839"/>
      <c r="O37" s="839"/>
      <c r="P37" s="839"/>
      <c r="Q37" s="839"/>
      <c r="R37" s="839"/>
      <c r="S37" s="78" t="s">
        <v>847</v>
      </c>
      <c r="T37">
        <v>0</v>
      </c>
      <c r="U37">
        <f>5*F11</f>
        <v>120000000</v>
      </c>
      <c r="V37">
        <v>-1</v>
      </c>
      <c r="W37">
        <f>0.3*W3</f>
        <v>18</v>
      </c>
      <c r="X37" s="78">
        <f>-0.2*VLOOKUP(B42,S69:T71,2)</f>
        <v>0</v>
      </c>
      <c r="Y37" t="e">
        <f>5*(F42+F46)</f>
        <v>#VALUE!</v>
      </c>
      <c r="Z37" s="88">
        <f>0.3*VLOOKUP(B42,S69:W71,5)</f>
        <v>0</v>
      </c>
      <c r="AA37" s="90">
        <v>3</v>
      </c>
      <c r="AB37" s="78" t="s">
        <v>847</v>
      </c>
      <c r="AE37">
        <v>0</v>
      </c>
      <c r="AF37">
        <f>5*F25</f>
        <v>412500000</v>
      </c>
      <c r="AG37">
        <v>0</v>
      </c>
      <c r="AH37">
        <v>-1</v>
      </c>
      <c r="AI37">
        <f>0.3*VLOOKUP(B25,S5:W11,5)</f>
        <v>27</v>
      </c>
      <c r="AJ37">
        <v>3</v>
      </c>
      <c r="AK37">
        <v>0</v>
      </c>
      <c r="AL37">
        <f>5*F51</f>
        <v>0</v>
      </c>
      <c r="AM37" s="46">
        <f>0.3*VLOOKUP(B51,S5:W11,5)</f>
        <v>0</v>
      </c>
      <c r="AN37" s="78" t="s">
        <v>851</v>
      </c>
      <c r="AS37">
        <f>1*T4</f>
        <v>3</v>
      </c>
      <c r="AT37">
        <f>10*U4</f>
        <v>6000000</v>
      </c>
      <c r="AU37">
        <v>0.5</v>
      </c>
      <c r="AV37" s="46">
        <v>-2</v>
      </c>
      <c r="AW37" s="2">
        <v>3</v>
      </c>
      <c r="AX37" s="92">
        <f>T15</f>
        <v>3</v>
      </c>
      <c r="AY37" s="2">
        <f>10*U15</f>
        <v>6000000</v>
      </c>
      <c r="AZ37" s="88">
        <v>0.5</v>
      </c>
    </row>
    <row r="38" spans="1:53">
      <c r="B38" s="77"/>
      <c r="H38" s="4"/>
      <c r="M38" s="83"/>
      <c r="N38" s="838" t="s">
        <v>866</v>
      </c>
      <c r="O38" s="838"/>
      <c r="P38" s="94"/>
      <c r="Q38" s="57"/>
      <c r="R38" s="94"/>
      <c r="S38" t="s">
        <v>841</v>
      </c>
      <c r="T38">
        <v>0</v>
      </c>
      <c r="U38">
        <f>5*F11</f>
        <v>120000000</v>
      </c>
      <c r="V38">
        <v>-1</v>
      </c>
      <c r="W38">
        <v>0</v>
      </c>
      <c r="X38" s="78">
        <v>0</v>
      </c>
      <c r="Y38" t="e">
        <f>5*(F42+F46)</f>
        <v>#VALUE!</v>
      </c>
      <c r="Z38" s="88">
        <v>0</v>
      </c>
      <c r="AA38" s="90">
        <v>3</v>
      </c>
      <c r="AB38" s="78" t="s">
        <v>862</v>
      </c>
      <c r="AE38">
        <v>0</v>
      </c>
      <c r="AF38">
        <f>5*F25</f>
        <v>412500000</v>
      </c>
      <c r="AG38">
        <v>0</v>
      </c>
      <c r="AH38">
        <v>-1</v>
      </c>
      <c r="AI38">
        <v>0</v>
      </c>
      <c r="AJ38">
        <v>3</v>
      </c>
      <c r="AK38">
        <v>0</v>
      </c>
      <c r="AL38">
        <f>5*F51</f>
        <v>0</v>
      </c>
      <c r="AM38" s="46">
        <v>0</v>
      </c>
      <c r="AN38" s="78" t="s">
        <v>852</v>
      </c>
      <c r="AS38">
        <f>1*T4</f>
        <v>3</v>
      </c>
      <c r="AT38">
        <f>10*U4</f>
        <v>6000000</v>
      </c>
      <c r="AU38">
        <v>0.25</v>
      </c>
      <c r="AV38" s="46">
        <v>-2</v>
      </c>
      <c r="AW38" s="2">
        <v>3</v>
      </c>
      <c r="AX38" s="92">
        <f>T15</f>
        <v>3</v>
      </c>
      <c r="AY38" s="2">
        <f>10*U15</f>
        <v>6000000</v>
      </c>
      <c r="AZ38" s="88">
        <v>0.25</v>
      </c>
    </row>
    <row r="39" spans="1:53" ht="16" thickBot="1">
      <c r="F39" s="4"/>
      <c r="H39" s="10"/>
      <c r="K39" s="2"/>
      <c r="M39" s="95" t="s">
        <v>867</v>
      </c>
      <c r="N39" s="93" t="s">
        <v>1</v>
      </c>
      <c r="O39" s="57" t="s">
        <v>55</v>
      </c>
      <c r="P39" s="96" t="s">
        <v>67</v>
      </c>
      <c r="Q39" s="93" t="s">
        <v>26</v>
      </c>
      <c r="R39" s="96" t="s">
        <v>860</v>
      </c>
      <c r="S39" s="78" t="s">
        <v>825</v>
      </c>
      <c r="T39">
        <f>1*T3</f>
        <v>6</v>
      </c>
      <c r="U39">
        <f>10*F11</f>
        <v>240000000</v>
      </c>
      <c r="V39">
        <v>-2</v>
      </c>
      <c r="W39">
        <v>0</v>
      </c>
      <c r="X39" s="78">
        <f>1*T70</f>
        <v>1.5</v>
      </c>
      <c r="Y39" t="e">
        <f>10*(F42+F46)</f>
        <v>#VALUE!</v>
      </c>
      <c r="Z39" s="88">
        <v>0</v>
      </c>
      <c r="AA39" s="90">
        <v>3</v>
      </c>
      <c r="AB39" s="78" t="s">
        <v>863</v>
      </c>
      <c r="AE39">
        <f>1*VLOOKUP(B25,S5:W11,2)</f>
        <v>27.5</v>
      </c>
      <c r="AF39">
        <f>10*F25</f>
        <v>825000000</v>
      </c>
      <c r="AG39">
        <v>0</v>
      </c>
      <c r="AH39">
        <v>-3</v>
      </c>
      <c r="AI39">
        <v>0</v>
      </c>
      <c r="AJ39">
        <v>3</v>
      </c>
      <c r="AK39">
        <f>1*VLOOKUP(B51,X10:AB16,2)</f>
        <v>0</v>
      </c>
      <c r="AL39">
        <f>10*F51</f>
        <v>0</v>
      </c>
      <c r="AM39" s="46">
        <v>0</v>
      </c>
      <c r="AN39" s="78" t="str">
        <f>M23&amp;" "&amp;N23</f>
        <v xml:space="preserve">X1 </v>
      </c>
      <c r="AS39">
        <f>T4*M26</f>
        <v>0</v>
      </c>
      <c r="AT39">
        <f>U4*N26</f>
        <v>0</v>
      </c>
      <c r="AU39">
        <f>P26</f>
        <v>0</v>
      </c>
      <c r="AV39" s="46">
        <f>Q26</f>
        <v>0</v>
      </c>
      <c r="AW39" s="2">
        <f>R27</f>
        <v>0</v>
      </c>
      <c r="AX39" s="78">
        <f>T15*M26</f>
        <v>0</v>
      </c>
      <c r="AY39">
        <f>U15*N26</f>
        <v>0</v>
      </c>
      <c r="AZ39" s="46">
        <f>P26</f>
        <v>0</v>
      </c>
    </row>
    <row r="40" spans="1:53" ht="16" thickBot="1">
      <c r="A40" s="7"/>
      <c r="B40" s="197" t="s">
        <v>2072</v>
      </c>
      <c r="C40" s="7" t="s">
        <v>51</v>
      </c>
      <c r="D40" t="str">
        <f>VLOOKUP(B40,S16:W17,5)</f>
        <v xml:space="preserve"> </v>
      </c>
      <c r="F40" s="4">
        <f>VLOOKUP(B40,S16:W17,3)*'Ship Info'!G31</f>
        <v>0</v>
      </c>
      <c r="H40" s="10">
        <f>VLOOKUP(B40,S16:W17,2)</f>
        <v>0</v>
      </c>
      <c r="K40" s="2"/>
      <c r="M40" s="235">
        <v>0</v>
      </c>
      <c r="N40" s="235">
        <v>0</v>
      </c>
      <c r="O40" s="289">
        <v>0</v>
      </c>
      <c r="P40" s="235">
        <v>0</v>
      </c>
      <c r="Q40" s="198">
        <v>0</v>
      </c>
      <c r="R40" s="198">
        <v>0</v>
      </c>
      <c r="S40" s="78" t="s">
        <v>826</v>
      </c>
      <c r="T40">
        <f>1.5*T3</f>
        <v>9</v>
      </c>
      <c r="U40">
        <f>10*F11</f>
        <v>240000000</v>
      </c>
      <c r="V40">
        <v>-2</v>
      </c>
      <c r="W40">
        <v>0</v>
      </c>
      <c r="X40" s="78">
        <f>1.5*T70</f>
        <v>2.25</v>
      </c>
      <c r="Y40" t="e">
        <f>10*(F42+F46)</f>
        <v>#VALUE!</v>
      </c>
      <c r="Z40" s="88">
        <v>0</v>
      </c>
      <c r="AA40" s="90">
        <v>3</v>
      </c>
      <c r="AB40" s="78" t="s">
        <v>826</v>
      </c>
      <c r="AE40">
        <f>1.5*VLOOKUP(B25,S5:W11,2)</f>
        <v>41.25</v>
      </c>
      <c r="AF40">
        <f>10*F25</f>
        <v>825000000</v>
      </c>
      <c r="AG40">
        <v>0</v>
      </c>
      <c r="AH40">
        <v>-2</v>
      </c>
      <c r="AI40">
        <v>0</v>
      </c>
      <c r="AJ40">
        <v>3</v>
      </c>
      <c r="AK40">
        <f>1.5*VLOOKUP(B51,X10:AB16,2)</f>
        <v>0</v>
      </c>
      <c r="AL40">
        <f>10*F51</f>
        <v>0</v>
      </c>
      <c r="AM40" s="46">
        <v>0</v>
      </c>
      <c r="AN40" s="78" t="str">
        <f>M30&amp;" "&amp;N30</f>
        <v xml:space="preserve">X2 </v>
      </c>
      <c r="AS40">
        <f>T4*M33</f>
        <v>0</v>
      </c>
      <c r="AT40">
        <f>U4*N33</f>
        <v>0</v>
      </c>
      <c r="AU40">
        <f>P33</f>
        <v>0</v>
      </c>
      <c r="AV40" s="46">
        <f>Q33</f>
        <v>0</v>
      </c>
      <c r="AW40" s="2">
        <f>R34</f>
        <v>0</v>
      </c>
      <c r="AX40" s="78">
        <f>T15*M33</f>
        <v>0</v>
      </c>
      <c r="AY40">
        <f>U15*N33</f>
        <v>0</v>
      </c>
      <c r="AZ40" s="46">
        <f>P33</f>
        <v>0</v>
      </c>
    </row>
    <row r="41" spans="1:53" ht="16" thickBot="1">
      <c r="F41" s="4"/>
      <c r="H41" s="10"/>
      <c r="K41" s="2"/>
      <c r="M41" s="201"/>
      <c r="N41" s="60"/>
      <c r="O41" s="202"/>
      <c r="P41" s="60"/>
      <c r="Q41" s="203"/>
      <c r="R41" s="97">
        <f>IF(N40=0,R40,3)</f>
        <v>0</v>
      </c>
      <c r="S41" t="s">
        <v>861</v>
      </c>
      <c r="T41">
        <f>1*T3</f>
        <v>6</v>
      </c>
      <c r="U41">
        <f>10*F11</f>
        <v>240000000</v>
      </c>
      <c r="V41">
        <v>-2</v>
      </c>
      <c r="W41">
        <f>0.6*W3</f>
        <v>36</v>
      </c>
      <c r="X41" s="78">
        <f>1*T70</f>
        <v>1.5</v>
      </c>
      <c r="Y41" t="e">
        <f>10*(F42+F46)</f>
        <v>#VALUE!</v>
      </c>
      <c r="Z41" s="88">
        <f>0.6*VLOOKUP(B42,S69:W71,5)</f>
        <v>0</v>
      </c>
      <c r="AA41" s="90">
        <v>3</v>
      </c>
      <c r="AB41" s="78" t="s">
        <v>861</v>
      </c>
      <c r="AE41">
        <f>1*VLOOKUP(B25,S5:W11,2)</f>
        <v>27.5</v>
      </c>
      <c r="AF41">
        <f>10*F25</f>
        <v>825000000</v>
      </c>
      <c r="AG41">
        <v>0</v>
      </c>
      <c r="AH41">
        <v>-2</v>
      </c>
      <c r="AI41">
        <f>0.6*VLOOKUP(B25,S5:W11,5)</f>
        <v>54</v>
      </c>
      <c r="AJ41">
        <v>3</v>
      </c>
      <c r="AK41">
        <f>1*VLOOKUP(B51,X10:AB16,2)</f>
        <v>0</v>
      </c>
      <c r="AL41">
        <f>10*F51</f>
        <v>0</v>
      </c>
      <c r="AM41" s="46">
        <f>0.6*VLOOKUP(B51,S5:W11,5)</f>
        <v>0</v>
      </c>
      <c r="AN41" s="78" t="str">
        <f>M37&amp;" "&amp;N37</f>
        <v xml:space="preserve">X3 </v>
      </c>
      <c r="AS41">
        <f>T4*M40</f>
        <v>0</v>
      </c>
      <c r="AT41">
        <f>U4*N40</f>
        <v>0</v>
      </c>
      <c r="AU41">
        <f>P40</f>
        <v>0</v>
      </c>
      <c r="AV41" s="46">
        <f>Q40</f>
        <v>0</v>
      </c>
      <c r="AW41" s="2">
        <f>R41</f>
        <v>0</v>
      </c>
      <c r="AX41" s="78">
        <f>T15*M40</f>
        <v>0</v>
      </c>
      <c r="AY41">
        <f>U15*N40</f>
        <v>0</v>
      </c>
      <c r="AZ41" s="46">
        <f>P40</f>
        <v>0</v>
      </c>
    </row>
    <row r="42" spans="1:53" ht="16" thickBot="1">
      <c r="A42" s="102" t="s">
        <v>842</v>
      </c>
      <c r="B42" s="254" t="s">
        <v>764</v>
      </c>
      <c r="C42" s="102" t="s">
        <v>51</v>
      </c>
      <c r="D42" s="205">
        <v>0</v>
      </c>
      <c r="E42" s="22">
        <f>VLOOKUP(B42,S69:W71,4)+SUM(E47:E49)</f>
        <v>0</v>
      </c>
      <c r="F42" s="23">
        <f>VLOOKUP(B42,S69:W71,3)*'Ship Info'!G31</f>
        <v>0</v>
      </c>
      <c r="G42" s="22"/>
      <c r="H42" s="359">
        <f>VLOOKUP(B42,S69:W71,2)</f>
        <v>0</v>
      </c>
      <c r="I42" s="22"/>
      <c r="J42" s="22"/>
      <c r="K42" s="324">
        <f>VLOOKUP(B42,S69:W71,5)</f>
        <v>0</v>
      </c>
      <c r="L42" s="22"/>
      <c r="S42" s="78" t="s">
        <v>827</v>
      </c>
      <c r="T42">
        <f>1.25*T3</f>
        <v>7.5</v>
      </c>
      <c r="U42">
        <f>10*F11</f>
        <v>240000000</v>
      </c>
      <c r="V42">
        <v>-2</v>
      </c>
      <c r="W42">
        <f>0.3*W3</f>
        <v>18</v>
      </c>
      <c r="X42" s="78">
        <f>1.25*T70</f>
        <v>1.875</v>
      </c>
      <c r="Y42" t="e">
        <f>10*(F42+F46)</f>
        <v>#VALUE!</v>
      </c>
      <c r="Z42" s="88">
        <v>0</v>
      </c>
      <c r="AA42" s="90">
        <v>3</v>
      </c>
      <c r="AB42" s="78" t="s">
        <v>827</v>
      </c>
      <c r="AE42">
        <f>1.25*VLOOKUP(B25,S5:W11,2)</f>
        <v>34.375</v>
      </c>
      <c r="AF42">
        <f>10*F25</f>
        <v>825000000</v>
      </c>
      <c r="AG42">
        <v>0</v>
      </c>
      <c r="AH42">
        <v>-2</v>
      </c>
      <c r="AI42">
        <f>0.3*VLOOKUP(B25,S5:W11,5)</f>
        <v>27</v>
      </c>
      <c r="AJ42">
        <v>3</v>
      </c>
      <c r="AK42">
        <f>1.25*VLOOKUP(B51,X10:AB16,2)</f>
        <v>0</v>
      </c>
      <c r="AL42">
        <f>10*F51</f>
        <v>0</v>
      </c>
      <c r="AM42" s="46">
        <f>0.3*VLOOKUP(B51,S5:W11,5)</f>
        <v>0</v>
      </c>
      <c r="AN42" s="86" t="str">
        <f>M44&amp;" "&amp;N44</f>
        <v xml:space="preserve">X4 </v>
      </c>
      <c r="AO42" s="28"/>
      <c r="AP42" s="28"/>
      <c r="AQ42" s="28"/>
      <c r="AR42" s="28"/>
      <c r="AS42" s="28">
        <f>T4*M47</f>
        <v>0</v>
      </c>
      <c r="AT42" s="28">
        <f>U4*N47</f>
        <v>0</v>
      </c>
      <c r="AU42" s="28">
        <f>P47</f>
        <v>0</v>
      </c>
      <c r="AV42" s="79">
        <f>Q47</f>
        <v>0</v>
      </c>
      <c r="AW42" s="2">
        <f>R48</f>
        <v>0</v>
      </c>
      <c r="AX42" s="86">
        <f>T15*M47</f>
        <v>0</v>
      </c>
      <c r="AY42" s="28">
        <f>U15*N47</f>
        <v>0</v>
      </c>
      <c r="AZ42" s="79">
        <f>P47</f>
        <v>0</v>
      </c>
    </row>
    <row r="43" spans="1:53" ht="16" thickBot="1">
      <c r="A43" s="22"/>
      <c r="B43" s="103" t="s">
        <v>97</v>
      </c>
      <c r="C43" s="206" t="s">
        <v>99</v>
      </c>
      <c r="D43" s="27"/>
      <c r="E43" s="22"/>
      <c r="F43" s="23" t="str">
        <f>IF(C43=S13,0.5*(SUM(F42,F45,F47))," ")</f>
        <v xml:space="preserve"> </v>
      </c>
      <c r="G43" s="22"/>
      <c r="H43" s="359"/>
      <c r="I43" s="22"/>
      <c r="J43" s="22"/>
      <c r="K43" s="27"/>
      <c r="L43" s="22"/>
      <c r="M43" t="s">
        <v>868</v>
      </c>
      <c r="S43" s="78" t="s">
        <v>828</v>
      </c>
      <c r="T43">
        <f>1.25*T3</f>
        <v>7.5</v>
      </c>
      <c r="U43">
        <f>10*F11</f>
        <v>240000000</v>
      </c>
      <c r="V43">
        <v>-2</v>
      </c>
      <c r="W43">
        <v>0</v>
      </c>
      <c r="X43" s="78">
        <f>1.25*T70</f>
        <v>1.875</v>
      </c>
      <c r="Y43" t="e">
        <f>10*(F42+F46)</f>
        <v>#VALUE!</v>
      </c>
      <c r="Z43" s="88">
        <v>0</v>
      </c>
      <c r="AA43" s="90">
        <v>3</v>
      </c>
      <c r="AB43" s="78" t="s">
        <v>864</v>
      </c>
      <c r="AE43">
        <f>1*VLOOKUP(B25,S5:W11,2)</f>
        <v>27.5</v>
      </c>
      <c r="AF43">
        <f>10*F25</f>
        <v>825000000</v>
      </c>
      <c r="AG43">
        <v>0</v>
      </c>
      <c r="AH43">
        <v>-2</v>
      </c>
      <c r="AI43">
        <f>0.3*VLOOKUP(B25,S5:W11,5)</f>
        <v>27</v>
      </c>
      <c r="AJ43">
        <v>3</v>
      </c>
      <c r="AK43">
        <f>1*VLOOKUP(B51,X10:AB16,2)</f>
        <v>0</v>
      </c>
      <c r="AL43">
        <f>10*F51</f>
        <v>0</v>
      </c>
      <c r="AM43" s="46">
        <f>0.3*VLOOKUP(B51,S5:W11,5)</f>
        <v>0</v>
      </c>
      <c r="AW43" s="2"/>
    </row>
    <row r="44" spans="1:53" ht="16" thickBot="1">
      <c r="A44" s="22"/>
      <c r="B44" s="103" t="s">
        <v>98</v>
      </c>
      <c r="C44" s="206" t="s">
        <v>99</v>
      </c>
      <c r="D44" s="22"/>
      <c r="E44" s="22"/>
      <c r="F44" s="23" t="str">
        <f>IF(C44=S13,200000*H44," ")</f>
        <v xml:space="preserve"> </v>
      </c>
      <c r="G44" s="22"/>
      <c r="H44" s="359" t="str">
        <f>IF(C44=S13,0.1*(SUM(H42,H45,H47))," ")</f>
        <v xml:space="preserve"> </v>
      </c>
      <c r="I44" s="22"/>
      <c r="J44" s="22"/>
      <c r="K44" s="27"/>
      <c r="L44" s="22"/>
      <c r="M44" s="83" t="s">
        <v>859</v>
      </c>
      <c r="N44" s="839"/>
      <c r="O44" s="839"/>
      <c r="P44" s="839"/>
      <c r="Q44" s="839"/>
      <c r="R44" s="839"/>
      <c r="S44" s="78" t="s">
        <v>869</v>
      </c>
      <c r="T44">
        <f>1*T3</f>
        <v>6</v>
      </c>
      <c r="U44">
        <f>10*F11</f>
        <v>240000000</v>
      </c>
      <c r="V44">
        <v>-2</v>
      </c>
      <c r="W44">
        <f>0.3*W3</f>
        <v>18</v>
      </c>
      <c r="X44" s="78">
        <f>1*T70</f>
        <v>1.5</v>
      </c>
      <c r="Y44" s="2" t="e">
        <f>10*(F42+F46)</f>
        <v>#VALUE!</v>
      </c>
      <c r="Z44" s="88">
        <f>0.3*VLOOKUP(B42,S69:W71,5)</f>
        <v>0</v>
      </c>
      <c r="AA44" s="90">
        <v>3</v>
      </c>
      <c r="AB44" s="78" t="s">
        <v>865</v>
      </c>
      <c r="AE44">
        <f>1.25*VLOOKUP(B25,S5:W11,2)</f>
        <v>34.375</v>
      </c>
      <c r="AF44">
        <f>10*F25</f>
        <v>825000000</v>
      </c>
      <c r="AG44">
        <v>0</v>
      </c>
      <c r="AH44">
        <v>-2</v>
      </c>
      <c r="AI44">
        <v>0</v>
      </c>
      <c r="AJ44">
        <v>3</v>
      </c>
      <c r="AK44">
        <f>1.25*VLOOKUP(B51,X10:AB16,2)</f>
        <v>0</v>
      </c>
      <c r="AL44">
        <f>10*F51</f>
        <v>0</v>
      </c>
      <c r="AM44" s="46">
        <v>0</v>
      </c>
      <c r="AW44" s="2"/>
    </row>
    <row r="45" spans="1:53" ht="16" thickBot="1">
      <c r="A45" s="22"/>
      <c r="B45" s="102" t="s">
        <v>1666</v>
      </c>
      <c r="C45" s="206" t="s">
        <v>99</v>
      </c>
      <c r="D45" s="27" t="str">
        <f>IF(C45=S13,(AA1-8)*5&amp;"% Efficiency","")</f>
        <v/>
      </c>
      <c r="E45" s="22"/>
      <c r="F45" s="23" t="str">
        <f>IF(C45=S13,0.6*SUM(F42,F47:F49)," ")</f>
        <v xml:space="preserve"> </v>
      </c>
      <c r="G45" s="22"/>
      <c r="H45" s="359" t="str">
        <f>IF(C45=S13,SUM(H42,H47:H49)*((200-((AA1-9)*25))/100)," ")</f>
        <v xml:space="preserve"> </v>
      </c>
      <c r="I45" s="22"/>
      <c r="J45" s="22"/>
      <c r="K45" s="27" t="str">
        <f>IF(C45=S13,SUM(K42,K47:K49)*3,"")</f>
        <v/>
      </c>
      <c r="L45" s="22"/>
      <c r="M45" s="83"/>
      <c r="N45" s="838" t="s">
        <v>866</v>
      </c>
      <c r="O45" s="838"/>
      <c r="P45" s="94"/>
      <c r="Q45" s="57"/>
      <c r="R45" s="94"/>
      <c r="S45" t="str">
        <f>M23&amp;" "&amp;N23</f>
        <v xml:space="preserve">X1 </v>
      </c>
      <c r="T45">
        <f>M26*T3</f>
        <v>0</v>
      </c>
      <c r="U45">
        <f>N33*F11</f>
        <v>0</v>
      </c>
      <c r="V45">
        <f>Q26</f>
        <v>0</v>
      </c>
      <c r="W45">
        <f>O26*W3</f>
        <v>0</v>
      </c>
      <c r="X45" s="78">
        <f>M26*T70</f>
        <v>0</v>
      </c>
      <c r="Y45">
        <f>N26*F42</f>
        <v>0</v>
      </c>
      <c r="Z45" s="88">
        <f>O26*VLOOKUP(B42,S69:W71,5)</f>
        <v>0</v>
      </c>
      <c r="AA45" s="90">
        <f>R27</f>
        <v>0</v>
      </c>
      <c r="AB45" s="78" t="str">
        <f>M23&amp;" "&amp;N23</f>
        <v xml:space="preserve">X1 </v>
      </c>
      <c r="AE45">
        <f>M26*VLOOKUP(B25,S5:W11,2)</f>
        <v>0</v>
      </c>
      <c r="AF45">
        <f>N26*F25</f>
        <v>0</v>
      </c>
      <c r="AG45">
        <f>P26</f>
        <v>0</v>
      </c>
      <c r="AH45">
        <f>Q26</f>
        <v>0</v>
      </c>
      <c r="AI45">
        <f>O26*VLOOKUP(B25,S5:W11,5)</f>
        <v>0</v>
      </c>
      <c r="AJ45">
        <f>R27</f>
        <v>0</v>
      </c>
      <c r="AK45">
        <f>M27*VLOOKUP(B51,S5:W11,2)</f>
        <v>0</v>
      </c>
      <c r="AL45">
        <f>N26*F51</f>
        <v>0</v>
      </c>
      <c r="AM45" s="46">
        <f>O26*VLOOKUP(B51,S5:W11,5)</f>
        <v>0</v>
      </c>
      <c r="AW45" s="2"/>
    </row>
    <row r="46" spans="1:53" ht="16" thickBot="1">
      <c r="A46" s="22"/>
      <c r="B46" s="102" t="s">
        <v>2305</v>
      </c>
      <c r="C46" s="206" t="s">
        <v>99</v>
      </c>
      <c r="D46" s="27" t="str">
        <f>IF(C46=S14,(AA2-8)*5&amp;"% Efficiency","")</f>
        <v/>
      </c>
      <c r="E46" s="22"/>
      <c r="F46" s="23" t="str">
        <f>IF(C46="No","",F42*-0.9)</f>
        <v/>
      </c>
      <c r="G46" s="22"/>
      <c r="H46" s="359"/>
      <c r="I46" s="22"/>
      <c r="J46" s="22"/>
      <c r="K46" s="27"/>
      <c r="L46" s="22"/>
      <c r="M46" s="95" t="s">
        <v>867</v>
      </c>
      <c r="N46" s="93" t="s">
        <v>1</v>
      </c>
      <c r="O46" s="57" t="s">
        <v>55</v>
      </c>
      <c r="P46" s="96" t="s">
        <v>67</v>
      </c>
      <c r="Q46" s="93" t="s">
        <v>26</v>
      </c>
      <c r="R46" s="96" t="s">
        <v>860</v>
      </c>
      <c r="S46" s="78" t="str">
        <f>M30&amp;" "&amp;N30</f>
        <v xml:space="preserve">X2 </v>
      </c>
      <c r="T46">
        <f>M33*T3</f>
        <v>0</v>
      </c>
      <c r="U46">
        <f>N33*F11</f>
        <v>0</v>
      </c>
      <c r="V46">
        <f>Q33</f>
        <v>0</v>
      </c>
      <c r="W46">
        <f>O33*W3</f>
        <v>0</v>
      </c>
      <c r="X46" s="78">
        <f>M33*T70</f>
        <v>0</v>
      </c>
      <c r="Y46" s="9">
        <f>N33*F42</f>
        <v>0</v>
      </c>
      <c r="Z46" s="88">
        <f>O33*VLOOKUP(B42,S69:W71,5)</f>
        <v>0</v>
      </c>
      <c r="AA46" s="90">
        <f>R34</f>
        <v>0</v>
      </c>
      <c r="AB46" s="78" t="str">
        <f>M30&amp;" "&amp;N30</f>
        <v xml:space="preserve">X2 </v>
      </c>
      <c r="AE46">
        <f>M33*VLOOKUP(B25,S5:W11,2)</f>
        <v>0</v>
      </c>
      <c r="AF46">
        <f>N33*F25</f>
        <v>0</v>
      </c>
      <c r="AG46">
        <f>P33</f>
        <v>0</v>
      </c>
      <c r="AH46">
        <f>Q33</f>
        <v>0</v>
      </c>
      <c r="AI46">
        <f>O33*VLOOKUP(B25,S5:W11,5)</f>
        <v>0</v>
      </c>
      <c r="AJ46">
        <f>R34</f>
        <v>0</v>
      </c>
      <c r="AK46">
        <f>R34*VLOOKUP(B51,S5:W11,2)</f>
        <v>0</v>
      </c>
      <c r="AL46">
        <f>N34*F51</f>
        <v>0</v>
      </c>
      <c r="AM46" s="46">
        <f>O34*VLOOKUP(B51,S5:W11,5)</f>
        <v>0</v>
      </c>
      <c r="AP46" t="s">
        <v>895</v>
      </c>
      <c r="AW46" s="2"/>
      <c r="BA46" t="s">
        <v>896</v>
      </c>
    </row>
    <row r="47" spans="1:53" ht="16" thickBot="1">
      <c r="A47" s="102" t="s">
        <v>843</v>
      </c>
      <c r="B47" s="206" t="s">
        <v>829</v>
      </c>
      <c r="C47" s="22"/>
      <c r="D47" s="22"/>
      <c r="E47" s="22">
        <f>VLOOKUP(B47,$S$24:$AA$48,4)</f>
        <v>0</v>
      </c>
      <c r="F47" s="23">
        <f>Y49</f>
        <v>0</v>
      </c>
      <c r="G47" s="22"/>
      <c r="H47" s="359">
        <f>VLOOKUP(B47,S24:AA48,6)+VLOOKUP(B48,S24:AA48,6)+VLOOKUP(B49,S24:AA48,6)</f>
        <v>0</v>
      </c>
      <c r="I47" s="22"/>
      <c r="J47" s="22"/>
      <c r="K47" s="324">
        <f>VLOOKUP(B47,S24:AA48,8)+VLOOKUP(B48,S24:AA48,8)+VLOOKUP(B49,S24:AA48,8)</f>
        <v>0</v>
      </c>
      <c r="L47" s="22"/>
      <c r="M47" s="235">
        <v>0</v>
      </c>
      <c r="N47" s="235">
        <v>0</v>
      </c>
      <c r="O47" s="289">
        <v>0</v>
      </c>
      <c r="P47" s="235">
        <v>0</v>
      </c>
      <c r="Q47" s="198">
        <v>0</v>
      </c>
      <c r="R47" s="198">
        <v>0</v>
      </c>
      <c r="S47" s="78" t="str">
        <f>M37&amp;" "&amp;N37</f>
        <v xml:space="preserve">X3 </v>
      </c>
      <c r="T47">
        <f>M40*T3</f>
        <v>0</v>
      </c>
      <c r="U47">
        <f>N40*F11</f>
        <v>0</v>
      </c>
      <c r="V47">
        <f>Q40</f>
        <v>0</v>
      </c>
      <c r="W47">
        <f>O40*W3</f>
        <v>0</v>
      </c>
      <c r="X47" s="78">
        <f>M40*T70</f>
        <v>0</v>
      </c>
      <c r="Y47" s="9">
        <f>N40*F42</f>
        <v>0</v>
      </c>
      <c r="Z47" s="88">
        <f>O40*VLOOKUP(B42,S69:W71,5)</f>
        <v>0</v>
      </c>
      <c r="AA47" s="90">
        <f>R41</f>
        <v>0</v>
      </c>
      <c r="AB47" s="78" t="str">
        <f>M37&amp;" "&amp;N37</f>
        <v xml:space="preserve">X3 </v>
      </c>
      <c r="AE47">
        <f>M40*VLOOKUP(B25,S5:W11,2)</f>
        <v>0</v>
      </c>
      <c r="AF47">
        <f>N40*F25</f>
        <v>0</v>
      </c>
      <c r="AG47">
        <f>P40</f>
        <v>0</v>
      </c>
      <c r="AH47">
        <f>Q40</f>
        <v>0</v>
      </c>
      <c r="AI47">
        <f>O40*VLOOKUP(B25,S5:W11,5)</f>
        <v>0</v>
      </c>
      <c r="AJ47">
        <f>R41</f>
        <v>0</v>
      </c>
      <c r="AK47">
        <f>M41*VLOOKUP(B51,S5:W11,2)</f>
        <v>0</v>
      </c>
      <c r="AL47">
        <f>N40*F51</f>
        <v>0</v>
      </c>
      <c r="AM47" s="46">
        <f>O40*VLOOKUP(B51,S5:W11,5)</f>
        <v>0</v>
      </c>
      <c r="AP47" t="s">
        <v>67</v>
      </c>
      <c r="AQ47">
        <f>SUM(1,AQ48:AQ50)</f>
        <v>1</v>
      </c>
      <c r="AS47" s="2" t="s">
        <v>123</v>
      </c>
      <c r="AT47">
        <f>IF(SUM(AT48:AT50)=0,VLOOKUP(SUM(E21:E23),Y3:AA6,3)*F19,SUM(AT48:AT50))</f>
        <v>0</v>
      </c>
      <c r="AW47" s="2"/>
      <c r="AX47" s="2" t="s">
        <v>123</v>
      </c>
      <c r="AY47">
        <f>IF(SUM(AY48:AY50)=0,VLOOKUP(SUM(E35:E37),Y3:AA6,3)*F33,SUM(AY48:AY50))</f>
        <v>0</v>
      </c>
      <c r="BA47">
        <f>SUM(1,BA48:BA50)</f>
        <v>1</v>
      </c>
    </row>
    <row r="48" spans="1:53" ht="16" thickBot="1">
      <c r="A48" s="102"/>
      <c r="B48" s="206" t="s">
        <v>829</v>
      </c>
      <c r="C48" s="22"/>
      <c r="D48" s="104" t="s">
        <v>818</v>
      </c>
      <c r="E48" s="22">
        <f>VLOOKUP(B48,$S$24:$AA$48,4)</f>
        <v>0</v>
      </c>
      <c r="F48" s="23"/>
      <c r="G48" s="22"/>
      <c r="H48" s="359"/>
      <c r="I48" s="22"/>
      <c r="J48" s="22"/>
      <c r="K48" s="27"/>
      <c r="L48" s="22"/>
      <c r="M48" s="201"/>
      <c r="N48" s="60"/>
      <c r="O48" s="202"/>
      <c r="P48" s="60"/>
      <c r="Q48" s="203"/>
      <c r="R48" s="97">
        <f>IF(N47=0,R47,3)</f>
        <v>0</v>
      </c>
      <c r="S48" s="28" t="str">
        <f>M44&amp;" "&amp;N44</f>
        <v xml:space="preserve">X4 </v>
      </c>
      <c r="T48" s="28">
        <f>M47*T3</f>
        <v>0</v>
      </c>
      <c r="U48">
        <f>N47*F11</f>
        <v>0</v>
      </c>
      <c r="V48" s="28">
        <f>Q47</f>
        <v>0</v>
      </c>
      <c r="W48" s="28">
        <f>O47*W3</f>
        <v>0</v>
      </c>
      <c r="X48" s="86">
        <f>M47*T70</f>
        <v>0</v>
      </c>
      <c r="Y48" s="101">
        <f>N47*F42</f>
        <v>0</v>
      </c>
      <c r="Z48" s="91">
        <f>O47*VLOOKUP(B42,S69:W71,5)</f>
        <v>0</v>
      </c>
      <c r="AA48" s="97">
        <f>R48</f>
        <v>0</v>
      </c>
      <c r="AB48" s="86" t="str">
        <f>M44&amp;" "&amp;N44</f>
        <v xml:space="preserve">X4 </v>
      </c>
      <c r="AC48" s="28"/>
      <c r="AD48" s="28"/>
      <c r="AE48" s="28">
        <f>M47*VLOOKUP(B25,S5:W11,2)</f>
        <v>0</v>
      </c>
      <c r="AF48" s="28">
        <f>N47*F25</f>
        <v>0</v>
      </c>
      <c r="AG48" s="28">
        <f>P47</f>
        <v>0</v>
      </c>
      <c r="AH48" s="28">
        <f>Q47</f>
        <v>0</v>
      </c>
      <c r="AI48" s="28">
        <f>O47*VLOOKUP(B25,S5:W11,5)</f>
        <v>0</v>
      </c>
      <c r="AJ48" s="28">
        <f>R48</f>
        <v>0</v>
      </c>
      <c r="AK48" s="28">
        <f>M48*VLOOKUP(B51,S5:W11,2)</f>
        <v>0</v>
      </c>
      <c r="AL48" s="28">
        <f>N47*F51</f>
        <v>0</v>
      </c>
      <c r="AM48" s="79">
        <f>O47*VLOOKUP(B51,S5:W11,5)</f>
        <v>0</v>
      </c>
      <c r="AQ48">
        <f>VLOOKUP(B21,AN24:AV42,8)</f>
        <v>0</v>
      </c>
      <c r="AS48" s="2">
        <v>1</v>
      </c>
      <c r="AT48">
        <f>VLOOKUP(B21,AN24:AV42,7)</f>
        <v>0</v>
      </c>
      <c r="AX48" s="2">
        <v>1</v>
      </c>
      <c r="AY48">
        <f>VLOOKUP(B35,AN24:AZ42,12)</f>
        <v>0</v>
      </c>
      <c r="BA48">
        <f>VLOOKUP(B35,AN24:AZ42,13)</f>
        <v>0</v>
      </c>
    </row>
    <row r="49" spans="1:53" ht="16" thickBot="1">
      <c r="A49" s="102"/>
      <c r="B49" s="206" t="s">
        <v>829</v>
      </c>
      <c r="C49" s="22"/>
      <c r="D49" s="27">
        <f>VLOOKUP(B47,S24:AA48,9)+VLOOKUP(B48,S24:AA48,9)+VLOOKUP(B49,S24:AA48,9)</f>
        <v>0</v>
      </c>
      <c r="E49" s="22">
        <f>VLOOKUP(B49,$S$24:$AA$48,4)</f>
        <v>0</v>
      </c>
      <c r="F49" s="23"/>
      <c r="G49" s="22"/>
      <c r="H49" s="359"/>
      <c r="I49" s="22"/>
      <c r="J49" s="22"/>
      <c r="K49" s="27"/>
      <c r="L49" s="22"/>
      <c r="T49" t="s">
        <v>872</v>
      </c>
      <c r="U49" s="45">
        <f>IF(SUM(U50:U52)=0,VLOOKUP(SUM(E15:E17),Y3:AA6,3)*F11,SUM(U50:U52))</f>
        <v>12000000</v>
      </c>
      <c r="X49" t="s">
        <v>872</v>
      </c>
      <c r="Y49" s="9">
        <f>IF(SUM(Y50:Y52)=0,VLOOKUP(SUM(E47:E49),Y3:AA6,3)*F42,SUM(Y50:Y52))</f>
        <v>0</v>
      </c>
      <c r="Z49" s="2"/>
      <c r="AG49" t="s">
        <v>893</v>
      </c>
      <c r="AI49" t="s">
        <v>894</v>
      </c>
      <c r="AQ49">
        <f>VLOOKUP(B22,AN24:AV42,8)</f>
        <v>0</v>
      </c>
      <c r="AS49" s="2">
        <v>2</v>
      </c>
      <c r="AT49">
        <f>VLOOKUP(B22,AN24:AV42,7)</f>
        <v>0</v>
      </c>
      <c r="AX49" s="2">
        <v>2</v>
      </c>
      <c r="AY49">
        <f>VLOOKUP(B36,AN24:AZ42,12)</f>
        <v>0</v>
      </c>
      <c r="BA49">
        <f>VLOOKUP(B36,AN24:AZ42,13)</f>
        <v>0</v>
      </c>
    </row>
    <row r="50" spans="1:53" ht="16" thickBot="1">
      <c r="A50" s="7"/>
      <c r="B50" s="77"/>
      <c r="F50" s="4"/>
      <c r="H50" s="10"/>
      <c r="K50" s="2"/>
      <c r="S50" t="s">
        <v>908</v>
      </c>
      <c r="T50">
        <v>1</v>
      </c>
      <c r="U50">
        <f>VLOOKUP(B15,S24:U48,3)</f>
        <v>0</v>
      </c>
      <c r="X50">
        <v>1</v>
      </c>
      <c r="Y50" s="9">
        <f>VLOOKUP(B47,S24:AA48,7)</f>
        <v>0</v>
      </c>
      <c r="Z50" s="2"/>
      <c r="AG50" t="s">
        <v>67</v>
      </c>
      <c r="AI50" t="s">
        <v>67</v>
      </c>
      <c r="AQ50">
        <f>VLOOKUP(B23,AN24:AV42,8)</f>
        <v>0</v>
      </c>
      <c r="AS50" s="2">
        <v>3</v>
      </c>
      <c r="AT50">
        <f>VLOOKUP(B23,AN24:AV42,7)</f>
        <v>0</v>
      </c>
      <c r="AX50" s="2">
        <v>3</v>
      </c>
      <c r="AY50">
        <f>VLOOKUP(B37,AN24:AZ42,12)</f>
        <v>0</v>
      </c>
      <c r="BA50">
        <f>VLOOKUP(B37,AN24:AZ42,13)</f>
        <v>0</v>
      </c>
    </row>
    <row r="51" spans="1:53" ht="16" thickBot="1">
      <c r="A51" s="7" t="s">
        <v>52</v>
      </c>
      <c r="B51" s="254" t="s">
        <v>870</v>
      </c>
      <c r="C51" s="7" t="s">
        <v>51</v>
      </c>
      <c r="D51" s="198">
        <v>0</v>
      </c>
      <c r="E51">
        <f>VLOOKUP(B51,X10:AB16,4)+SUM(E54:E56)</f>
        <v>0</v>
      </c>
      <c r="F51" s="4">
        <f>IF(D51=0,0,VLOOKUP(B51,X10:AB16,3))*'Ship Info'!G31</f>
        <v>0</v>
      </c>
      <c r="H51" s="10">
        <f>IF(D51=0,0,VLOOKUP(B51,X10:AB16,2))</f>
        <v>0</v>
      </c>
      <c r="I51" s="2"/>
      <c r="K51" s="270">
        <f>IF(D51=0,0,VLOOKUP(B51,X10:AB16,5))</f>
        <v>0</v>
      </c>
      <c r="S51" t="s">
        <v>907</v>
      </c>
      <c r="T51">
        <v>2</v>
      </c>
      <c r="U51">
        <f>VLOOKUP(B16,S24:U48,3)</f>
        <v>0</v>
      </c>
      <c r="X51">
        <v>2</v>
      </c>
      <c r="Y51" s="9">
        <f>VLOOKUP(B48,S24:AA48,7)</f>
        <v>0</v>
      </c>
      <c r="Z51" s="2"/>
      <c r="AD51" t="s">
        <v>123</v>
      </c>
      <c r="AE51">
        <f>IF(SUM(AE52:AE54)=0,VLOOKUP(SUM(E28:E30),Y3:AA6,3)*F25,SUM(AE52:AE54))</f>
        <v>8250000</v>
      </c>
      <c r="AG51">
        <f>SUM(1,AG52:AG54)</f>
        <v>1</v>
      </c>
      <c r="AI51">
        <f>SUM(1,AI52:AI54)</f>
        <v>1</v>
      </c>
      <c r="AK51" t="s">
        <v>882</v>
      </c>
      <c r="AL51">
        <f>IF(SUM(AL52:AL54)=0,VLOOKUP(SUM(E54:E56),Y3:AA6,3)*F51,SUM(AL52:AL54))</f>
        <v>0</v>
      </c>
    </row>
    <row r="52" spans="1:53" ht="16" thickBot="1">
      <c r="B52" s="1" t="s">
        <v>97</v>
      </c>
      <c r="C52" s="197" t="s">
        <v>99</v>
      </c>
      <c r="D52" s="2"/>
      <c r="F52" s="4" t="str">
        <f>IF(C52=S37,0.5*(F51+F54)," ")</f>
        <v xml:space="preserve"> </v>
      </c>
      <c r="H52" s="10"/>
      <c r="I52" s="2"/>
      <c r="K52" s="2"/>
      <c r="T52">
        <v>3</v>
      </c>
      <c r="U52">
        <f>VLOOKUP(B17,S24:U48,3)</f>
        <v>0</v>
      </c>
      <c r="X52">
        <v>3</v>
      </c>
      <c r="Y52" s="9">
        <f>VLOOKUP(B49,S24:AA48,7)</f>
        <v>0</v>
      </c>
      <c r="AD52">
        <v>1</v>
      </c>
      <c r="AE52">
        <f>VLOOKUP(B28,AB24:AM48,5)</f>
        <v>0</v>
      </c>
      <c r="AG52">
        <f>VLOOKUP(B28,AB24:AM48,6)</f>
        <v>0</v>
      </c>
      <c r="AI52">
        <f>VLOOKUP(B54,AB24:AM48,6)</f>
        <v>0</v>
      </c>
      <c r="AK52">
        <v>1</v>
      </c>
      <c r="AL52">
        <f>VLOOKUP(B54,AB24:AM48,11)</f>
        <v>0</v>
      </c>
    </row>
    <row r="53" spans="1:53" ht="16" thickBot="1">
      <c r="B53" s="1" t="s">
        <v>98</v>
      </c>
      <c r="C53" s="197" t="s">
        <v>99</v>
      </c>
      <c r="F53" s="4" t="str">
        <f>IF(C53=S13,200000*H53," ")</f>
        <v xml:space="preserve"> </v>
      </c>
      <c r="H53" s="10" t="str">
        <f>IF(C53=S13,0.1*(H51+H54)," ")</f>
        <v xml:space="preserve"> </v>
      </c>
      <c r="K53" s="2"/>
      <c r="S53" s="9" t="s">
        <v>881</v>
      </c>
      <c r="T53" t="s">
        <v>117</v>
      </c>
      <c r="U53" t="s">
        <v>1</v>
      </c>
      <c r="V53" t="s">
        <v>26</v>
      </c>
      <c r="W53" t="s">
        <v>55</v>
      </c>
      <c r="AD53">
        <v>2</v>
      </c>
      <c r="AE53">
        <f>VLOOKUP(B29,AB24:AM48,5)</f>
        <v>0</v>
      </c>
      <c r="AG53">
        <f>VLOOKUP(B29,AB24:AM48,6)</f>
        <v>0</v>
      </c>
      <c r="AI53">
        <f>VLOOKUP(B55,AB24:AM48,6)</f>
        <v>0</v>
      </c>
      <c r="AK53">
        <v>2</v>
      </c>
      <c r="AL53">
        <f>VLOOKUP(B55,AB24:AM48,11)</f>
        <v>0</v>
      </c>
    </row>
    <row r="54" spans="1:53" ht="16" thickBot="1">
      <c r="A54" s="7" t="s">
        <v>126</v>
      </c>
      <c r="B54" s="197" t="s">
        <v>829</v>
      </c>
      <c r="E54">
        <f>VLOOKUP(B54,AB24:AM48,7)</f>
        <v>0</v>
      </c>
      <c r="F54" s="4">
        <f>AL51</f>
        <v>0</v>
      </c>
      <c r="H54" s="10">
        <f>IF(D51=0,0,VLOOKUP(B54,AB24:AM48,10)+VLOOKUP(B55,AB24:AM48,10)+VLOOKUP(B56,AB24:AM48,10))</f>
        <v>0</v>
      </c>
      <c r="K54" s="270">
        <f>VLOOKUP(B54,AB24:AM48,8)+VLOOKUP(B55,AB24:AM48,8)+VLOOKUP(B56,AB24:AM48,8)</f>
        <v>0</v>
      </c>
      <c r="S54" s="9"/>
      <c r="AD54">
        <v>3</v>
      </c>
      <c r="AE54">
        <f>VLOOKUP(B30,AB24:AM48,5)</f>
        <v>0</v>
      </c>
      <c r="AG54">
        <f>VLOOKUP(B30,AB24:AM48,6)</f>
        <v>0</v>
      </c>
      <c r="AI54">
        <f>VLOOKUP(B56,AB24:AM48,6)</f>
        <v>0</v>
      </c>
      <c r="AK54">
        <v>3</v>
      </c>
      <c r="AL54">
        <f>VLOOKUP(B56,AB24:AM48,11)</f>
        <v>0</v>
      </c>
    </row>
    <row r="55" spans="1:53" ht="16" thickBot="1">
      <c r="B55" s="197" t="s">
        <v>829</v>
      </c>
      <c r="D55" s="52" t="s">
        <v>818</v>
      </c>
      <c r="E55">
        <f>VLOOKUP(B55,AB24:AM48,7)</f>
        <v>0</v>
      </c>
      <c r="S55" s="9" t="s">
        <v>870</v>
      </c>
      <c r="T55" s="72">
        <v>0</v>
      </c>
      <c r="U55" s="72">
        <v>0</v>
      </c>
      <c r="V55" s="72">
        <v>0</v>
      </c>
      <c r="W55" s="72">
        <v>0</v>
      </c>
      <c r="AB55" s="44"/>
      <c r="AC55" s="45"/>
      <c r="AD55" s="45"/>
      <c r="AE55" s="45"/>
      <c r="AF55" s="45" t="s">
        <v>52</v>
      </c>
      <c r="AG55" s="45"/>
      <c r="AH55" s="45" t="s">
        <v>62</v>
      </c>
      <c r="AI55" s="47"/>
      <c r="AP55" t="s">
        <v>62</v>
      </c>
    </row>
    <row r="56" spans="1:53" ht="16" thickBot="1">
      <c r="B56" s="197" t="s">
        <v>829</v>
      </c>
      <c r="D56" s="2">
        <f>VLOOKUP(B54,AB24:AM48,9)+VLOOKUP(B55,AB24:AM48,9)+VLOOKUP(B56,AB24:AM48,9)</f>
        <v>0</v>
      </c>
      <c r="E56">
        <f>VLOOKUP(B56,AB24:AM48,7)</f>
        <v>0</v>
      </c>
      <c r="S56" s="9" t="s">
        <v>57</v>
      </c>
      <c r="AB56" s="78" t="s">
        <v>912</v>
      </c>
      <c r="AF56" t="s">
        <v>928</v>
      </c>
      <c r="AG56" t="s">
        <v>929</v>
      </c>
      <c r="AH56" t="s">
        <v>928</v>
      </c>
      <c r="AI56" s="46" t="s">
        <v>929</v>
      </c>
      <c r="AP56">
        <v>0</v>
      </c>
      <c r="AQ56">
        <v>0</v>
      </c>
    </row>
    <row r="57" spans="1:53">
      <c r="K57" s="2"/>
      <c r="S57" s="9" t="s">
        <v>53</v>
      </c>
      <c r="Y57" s="9"/>
      <c r="AB57" s="78" t="s">
        <v>52</v>
      </c>
      <c r="AC57">
        <f>VLOOKUP(C6,AE57:AG58,2)</f>
        <v>1</v>
      </c>
      <c r="AD57">
        <f>VLOOKUP(C6,AE57:AG58,3)</f>
        <v>3</v>
      </c>
      <c r="AE57" t="s">
        <v>908</v>
      </c>
      <c r="AF57">
        <f>AI51</f>
        <v>1</v>
      </c>
      <c r="AG57">
        <f>D51</f>
        <v>0</v>
      </c>
      <c r="AH57">
        <f>BA47</f>
        <v>1</v>
      </c>
      <c r="AI57" s="46">
        <f>D33</f>
        <v>0</v>
      </c>
      <c r="AP57">
        <v>0.01</v>
      </c>
      <c r="AQ57">
        <v>0.5</v>
      </c>
    </row>
    <row r="58" spans="1:53">
      <c r="A58" s="9" t="s">
        <v>102</v>
      </c>
      <c r="B58" t="s">
        <v>103</v>
      </c>
      <c r="H58" s="2"/>
      <c r="K58" s="2"/>
      <c r="S58" s="9" t="s">
        <v>58</v>
      </c>
      <c r="Y58" s="9"/>
      <c r="AB58" s="86" t="s">
        <v>62</v>
      </c>
      <c r="AC58" s="28">
        <f>VLOOKUP(C6,AE57:AI58,4)</f>
        <v>1</v>
      </c>
      <c r="AD58" s="28">
        <f>VLOOKUP(C6,AE57:AI58,5)</f>
        <v>0</v>
      </c>
      <c r="AE58" s="28" t="s">
        <v>907</v>
      </c>
      <c r="AF58" s="28">
        <f>AG51</f>
        <v>1</v>
      </c>
      <c r="AG58" s="28">
        <f>D25</f>
        <v>3</v>
      </c>
      <c r="AH58" s="28">
        <f>AQ47</f>
        <v>1</v>
      </c>
      <c r="AI58" s="79">
        <f>D19</f>
        <v>0</v>
      </c>
      <c r="AP58">
        <v>0.02</v>
      </c>
      <c r="AQ58">
        <v>1</v>
      </c>
    </row>
    <row r="59" spans="1:53">
      <c r="A59" s="9"/>
      <c r="K59" s="2"/>
      <c r="S59" s="9" t="s">
        <v>59</v>
      </c>
      <c r="AP59">
        <v>0.03</v>
      </c>
      <c r="AQ59">
        <v>1.5</v>
      </c>
    </row>
    <row r="60" spans="1:53">
      <c r="A60" s="9" t="s">
        <v>102</v>
      </c>
      <c r="B60" t="s">
        <v>101</v>
      </c>
      <c r="K60" s="2"/>
      <c r="AP60">
        <v>0.04</v>
      </c>
      <c r="AQ60">
        <v>2</v>
      </c>
    </row>
    <row r="61" spans="1:53">
      <c r="AP61">
        <v>0.05</v>
      </c>
      <c r="AQ61">
        <v>2.5</v>
      </c>
    </row>
    <row r="62" spans="1:53">
      <c r="A62" s="9" t="s">
        <v>102</v>
      </c>
      <c r="B62" t="s">
        <v>128</v>
      </c>
      <c r="S62" t="s">
        <v>399</v>
      </c>
      <c r="U62" t="s">
        <v>637</v>
      </c>
      <c r="V62">
        <f>SUM(V63:V65)</f>
        <v>0</v>
      </c>
      <c r="Z62" t="s">
        <v>982</v>
      </c>
      <c r="AE62" s="44" t="s">
        <v>829</v>
      </c>
      <c r="AF62" t="str">
        <f>""</f>
        <v/>
      </c>
      <c r="AP62">
        <v>0.06</v>
      </c>
      <c r="AQ62">
        <v>3</v>
      </c>
    </row>
    <row r="63" spans="1:53">
      <c r="S63">
        <f>SUM(H11:H56)</f>
        <v>32.9</v>
      </c>
      <c r="U63" t="s">
        <v>922</v>
      </c>
      <c r="V63">
        <f>SUM('6-Comp'!Y14)</f>
        <v>0</v>
      </c>
      <c r="Z63" s="44" t="str">
        <f>VLOOKUP(B15,AE62:AF86,2)</f>
        <v>Efficient</v>
      </c>
      <c r="AA63" s="47"/>
      <c r="AE63" s="78" t="s">
        <v>830</v>
      </c>
      <c r="AF63" t="s">
        <v>955</v>
      </c>
      <c r="AP63">
        <v>7.0000000000000007E-2</v>
      </c>
      <c r="AQ63">
        <v>3.5</v>
      </c>
    </row>
    <row r="64" spans="1:53">
      <c r="A64" s="9" t="s">
        <v>102</v>
      </c>
      <c r="B64" t="s">
        <v>124</v>
      </c>
      <c r="U64" t="s">
        <v>923</v>
      </c>
      <c r="V64">
        <f>IF(C7="Yes",1,0)</f>
        <v>0</v>
      </c>
      <c r="Z64" s="78" t="str">
        <f>VLOOKUP(B16,AE62:AF86,2)</f>
        <v>Small</v>
      </c>
      <c r="AA64" s="46"/>
      <c r="AB64" t="s">
        <v>995</v>
      </c>
      <c r="AC64" t="str">
        <f>C12</f>
        <v>Yes</v>
      </c>
      <c r="AE64" s="78" t="s">
        <v>831</v>
      </c>
      <c r="AF64" t="s">
        <v>974</v>
      </c>
      <c r="AP64">
        <v>0.08</v>
      </c>
      <c r="AQ64">
        <v>4</v>
      </c>
    </row>
    <row r="65" spans="1:43">
      <c r="B65" t="s">
        <v>125</v>
      </c>
      <c r="S65" t="s">
        <v>400</v>
      </c>
      <c r="U65" t="s">
        <v>924</v>
      </c>
      <c r="V65">
        <f>IF(C8="Yes",1,0)</f>
        <v>0</v>
      </c>
      <c r="Z65" s="78" t="str">
        <f>VLOOKUP(B17,AE62:AF86,2)</f>
        <v>Easy to Repair</v>
      </c>
      <c r="AA65" s="46"/>
      <c r="AB65" t="s">
        <v>7</v>
      </c>
      <c r="AC65" t="str">
        <f>C13</f>
        <v>No</v>
      </c>
      <c r="AE65" s="78" t="s">
        <v>832</v>
      </c>
      <c r="AF65" t="s">
        <v>969</v>
      </c>
      <c r="AP65">
        <v>0.09</v>
      </c>
      <c r="AQ65">
        <v>4.5</v>
      </c>
    </row>
    <row r="66" spans="1:43">
      <c r="S66">
        <f>SUM(K11:K56)</f>
        <v>135</v>
      </c>
      <c r="Z66" s="78"/>
      <c r="AA66" s="46"/>
      <c r="AB66" t="s">
        <v>1667</v>
      </c>
      <c r="AC66" t="str">
        <f>C14</f>
        <v>No</v>
      </c>
      <c r="AE66" s="78" t="s">
        <v>833</v>
      </c>
      <c r="AF66" t="s">
        <v>970</v>
      </c>
      <c r="AP66">
        <v>0.1</v>
      </c>
      <c r="AQ66">
        <v>5</v>
      </c>
    </row>
    <row r="67" spans="1:43">
      <c r="A67" s="9" t="s">
        <v>909</v>
      </c>
      <c r="B67" t="s">
        <v>910</v>
      </c>
      <c r="Z67" s="78" t="str">
        <f>IF(Z63=AE62,"",Z63)</f>
        <v>Efficient</v>
      </c>
      <c r="AA67" s="46" t="str">
        <f>IF(Z67="","",IF(AND(Z63=Z64,Z63=Z65)," x3",IF(OR(Z63=Z64,Z63=Z65)," x2","")))</f>
        <v/>
      </c>
      <c r="AE67" s="78" t="s">
        <v>834</v>
      </c>
      <c r="AF67" t="s">
        <v>971</v>
      </c>
      <c r="AP67">
        <v>0.11</v>
      </c>
      <c r="AQ67">
        <v>5.5</v>
      </c>
    </row>
    <row r="68" spans="1:43">
      <c r="B68" t="s">
        <v>911</v>
      </c>
      <c r="S68" t="s">
        <v>122</v>
      </c>
      <c r="T68" s="3" t="s">
        <v>2</v>
      </c>
      <c r="U68" s="3" t="s">
        <v>1</v>
      </c>
      <c r="V68" s="3" t="s">
        <v>26</v>
      </c>
      <c r="W68" s="3" t="s">
        <v>55</v>
      </c>
      <c r="X68" s="3"/>
      <c r="Y68" s="3"/>
      <c r="Z68" s="78" t="str">
        <f>IF(OR(Z67="",Z64="",Z64=Z63),"",", ")&amp;IF(OR(Z64=Z63,Z64=AE62),"",Z64)</f>
        <v>, Small</v>
      </c>
      <c r="AA68" s="46" t="str">
        <f>IF(Z68="","",IF(Z68=Z65," x2",""))</f>
        <v/>
      </c>
      <c r="AE68" s="78" t="s">
        <v>835</v>
      </c>
      <c r="AF68" t="s">
        <v>972</v>
      </c>
      <c r="AP68">
        <v>0.12</v>
      </c>
      <c r="AQ68">
        <v>6</v>
      </c>
    </row>
    <row r="69" spans="1:43">
      <c r="S69" t="s">
        <v>764</v>
      </c>
      <c r="T69">
        <v>0</v>
      </c>
      <c r="U69">
        <v>0</v>
      </c>
      <c r="V69">
        <v>0</v>
      </c>
      <c r="W69">
        <v>0</v>
      </c>
      <c r="Z69" s="86" t="str">
        <f>IF(OR(AND(Z67="",Z68=""),Z65="",Z65=Z63,Z65=Z64),"",", ")&amp;IF(OR(Z65=Z67,Z65=Z68,Z65=AE62),"",Z65)</f>
        <v>, Easy to Repair</v>
      </c>
      <c r="AA69" s="79"/>
      <c r="AE69" s="78" t="s">
        <v>846</v>
      </c>
      <c r="AF69" t="s">
        <v>960</v>
      </c>
      <c r="AP69">
        <v>0.13</v>
      </c>
      <c r="AQ69">
        <v>6.5</v>
      </c>
    </row>
    <row r="70" spans="1:43">
      <c r="A70" s="9" t="s">
        <v>102</v>
      </c>
      <c r="B70" t="s">
        <v>1416</v>
      </c>
      <c r="S70" t="s">
        <v>50</v>
      </c>
      <c r="T70">
        <f>C4*HLOOKUP(D42,AF1:AQ3,2)</f>
        <v>1.5</v>
      </c>
      <c r="U70">
        <f>2000000*(T70+H47)</f>
        <v>3000000</v>
      </c>
      <c r="V70">
        <f>HLOOKUP(D42,AF1:AQ3,3)</f>
        <v>9</v>
      </c>
      <c r="W70">
        <f>IF(D42&gt;0,D42*0.1*C4,0.1*C4*0.25)</f>
        <v>7.5</v>
      </c>
      <c r="AE70" s="78" t="s">
        <v>836</v>
      </c>
      <c r="AF70" t="s">
        <v>961</v>
      </c>
      <c r="AP70">
        <v>0.14000000000000001</v>
      </c>
      <c r="AQ70">
        <v>7</v>
      </c>
    </row>
    <row r="71" spans="1:43">
      <c r="B71" t="s">
        <v>1415</v>
      </c>
      <c r="Z71" t="s">
        <v>983</v>
      </c>
      <c r="AE71" s="78" t="s">
        <v>837</v>
      </c>
      <c r="AF71" t="s">
        <v>973</v>
      </c>
      <c r="AP71">
        <v>0.15</v>
      </c>
      <c r="AQ71">
        <v>7.5</v>
      </c>
    </row>
    <row r="72" spans="1:43">
      <c r="S72" t="s">
        <v>794</v>
      </c>
      <c r="T72">
        <f>SUM(T73,T74,T82,W74,T87)</f>
        <v>0</v>
      </c>
      <c r="Z72" s="44" t="str">
        <f>VLOOKUP(B47,AE62:AF86,2)</f>
        <v/>
      </c>
      <c r="AA72" s="47"/>
      <c r="AE72" s="78" t="s">
        <v>2160</v>
      </c>
      <c r="AF72" t="s">
        <v>2158</v>
      </c>
      <c r="AP72">
        <v>0.16</v>
      </c>
      <c r="AQ72">
        <v>8</v>
      </c>
    </row>
    <row r="73" spans="1:43">
      <c r="S73" t="s">
        <v>1467</v>
      </c>
      <c r="T73">
        <f>IF(AND(S63&gt;0,'Ship Info'!F7),1,0)</f>
        <v>0</v>
      </c>
      <c r="Z73" s="78" t="str">
        <f>VLOOKUP(B48,AE62:AF86,2)</f>
        <v/>
      </c>
      <c r="AA73" s="46"/>
      <c r="AB73" t="s">
        <v>995</v>
      </c>
      <c r="AC73" t="str">
        <f>C43</f>
        <v>No</v>
      </c>
      <c r="AE73" s="78" t="s">
        <v>1391</v>
      </c>
      <c r="AF73" t="s">
        <v>1392</v>
      </c>
      <c r="AP73">
        <v>0.17</v>
      </c>
      <c r="AQ73">
        <v>8.5</v>
      </c>
    </row>
    <row r="74" spans="1:43">
      <c r="S74" t="s">
        <v>773</v>
      </c>
      <c r="T74">
        <f>SUM(T75:T80)+T73</f>
        <v>0</v>
      </c>
      <c r="V74" t="s">
        <v>883</v>
      </c>
      <c r="W74">
        <f>SUM(W75:W80)</f>
        <v>0</v>
      </c>
      <c r="Z74" s="78" t="str">
        <f>VLOOKUP(B49,AE62:AF86,2)</f>
        <v/>
      </c>
      <c r="AA74" s="46"/>
      <c r="AB74" t="s">
        <v>7</v>
      </c>
      <c r="AC74" t="str">
        <f>C44</f>
        <v>No</v>
      </c>
      <c r="AE74" s="78" t="s">
        <v>840</v>
      </c>
      <c r="AF74" t="s">
        <v>963</v>
      </c>
      <c r="AP74">
        <v>0.18</v>
      </c>
      <c r="AQ74">
        <v>9</v>
      </c>
    </row>
    <row r="75" spans="1:43">
      <c r="S75" t="s">
        <v>774</v>
      </c>
      <c r="T75">
        <f>IF(E11&gt;E2,1,0)</f>
        <v>0</v>
      </c>
      <c r="V75" t="s">
        <v>884</v>
      </c>
      <c r="W75">
        <f>IF(D17&gt;3,1,0)</f>
        <v>0</v>
      </c>
      <c r="Z75" s="78"/>
      <c r="AA75" s="46"/>
      <c r="AB75" t="s">
        <v>1667</v>
      </c>
      <c r="AC75" t="str">
        <f>C45</f>
        <v>No</v>
      </c>
      <c r="AE75" s="78" t="s">
        <v>847</v>
      </c>
      <c r="AF75" t="s">
        <v>964</v>
      </c>
      <c r="AP75">
        <v>0.19</v>
      </c>
      <c r="AQ75">
        <v>9.5</v>
      </c>
    </row>
    <row r="76" spans="1:43">
      <c r="S76" t="s">
        <v>775</v>
      </c>
      <c r="T76">
        <f>IF(E15&gt;E2,1,0)</f>
        <v>0</v>
      </c>
      <c r="V76" t="s">
        <v>885</v>
      </c>
      <c r="W76">
        <f>IF(D23&gt;3,1,0)</f>
        <v>0</v>
      </c>
      <c r="Z76" s="78" t="str">
        <f>IF(Z72=AE62,"",Z72)</f>
        <v/>
      </c>
      <c r="AA76" s="46" t="str">
        <f>IF(Z76="","",IF(AND(Z72=Z73,Z72=Z74)," x3",IF(OR(Z72=Z73,Z72=Z74)," x2","")))</f>
        <v/>
      </c>
      <c r="AE76" s="78" t="s">
        <v>841</v>
      </c>
      <c r="AF76" t="s">
        <v>979</v>
      </c>
      <c r="AP76">
        <v>0.2</v>
      </c>
      <c r="AQ76">
        <v>10</v>
      </c>
    </row>
    <row r="77" spans="1:43">
      <c r="S77" t="s">
        <v>776</v>
      </c>
      <c r="T77">
        <f>IF(E33&gt;E2,1,0)</f>
        <v>0</v>
      </c>
      <c r="V77" t="s">
        <v>886</v>
      </c>
      <c r="W77">
        <f>IF(D30&gt;3,1,0)</f>
        <v>0</v>
      </c>
      <c r="Z77" s="78" t="str">
        <f>IF(OR(Z76="",Z73="",Z73=Z72),"",", ")&amp;IF(OR(Z73=Z72,Z73=AE62),"",Z73)</f>
        <v/>
      </c>
      <c r="AA77" s="46" t="str">
        <f>IF(Z77="","",IF(Z73=Z74," x2",""))</f>
        <v/>
      </c>
      <c r="AE77" s="78" t="s">
        <v>825</v>
      </c>
      <c r="AF77" t="s">
        <v>975</v>
      </c>
      <c r="AP77">
        <v>0.21</v>
      </c>
      <c r="AQ77">
        <v>10.5</v>
      </c>
    </row>
    <row r="78" spans="1:43">
      <c r="S78" t="s">
        <v>777</v>
      </c>
      <c r="T78">
        <f>IF(E35&gt;E2,1,0)</f>
        <v>0</v>
      </c>
      <c r="V78" t="s">
        <v>887</v>
      </c>
      <c r="W78">
        <f>IF(D37&gt;3,1,0)</f>
        <v>0</v>
      </c>
      <c r="Z78" s="86" t="str">
        <f>IF(OR(AND(Z76="",Z77=""),Z74="",Z74=Z72,Z74=Z73),"",", ")&amp;IF(OR(Z74=Z72,Z74=Z73,Z74=AE62),"",Z74)</f>
        <v/>
      </c>
      <c r="AA78" s="79"/>
      <c r="AE78" s="78" t="s">
        <v>826</v>
      </c>
      <c r="AF78" t="s">
        <v>976</v>
      </c>
      <c r="AP78">
        <v>0.22</v>
      </c>
      <c r="AQ78">
        <v>11</v>
      </c>
    </row>
    <row r="79" spans="1:43">
      <c r="S79" t="s">
        <v>778</v>
      </c>
      <c r="T79">
        <f>IF(E42&gt;E2,1,0)</f>
        <v>0</v>
      </c>
      <c r="V79" t="s">
        <v>888</v>
      </c>
      <c r="W79">
        <f>IF(D49&gt;3,1,0)</f>
        <v>0</v>
      </c>
      <c r="AE79" s="78" t="s">
        <v>861</v>
      </c>
      <c r="AF79" t="s">
        <v>977</v>
      </c>
      <c r="AP79">
        <v>0.23</v>
      </c>
      <c r="AQ79">
        <v>11.5</v>
      </c>
    </row>
    <row r="80" spans="1:43">
      <c r="S80" t="s">
        <v>779</v>
      </c>
      <c r="T80">
        <f>IF(E47&gt;E2,1,0)</f>
        <v>0</v>
      </c>
      <c r="V80" t="s">
        <v>889</v>
      </c>
      <c r="W80">
        <f>IF(D56&gt;3,1,0)</f>
        <v>0</v>
      </c>
      <c r="AE80" s="78" t="s">
        <v>827</v>
      </c>
      <c r="AF80" t="s">
        <v>978</v>
      </c>
      <c r="AP80">
        <v>0.24</v>
      </c>
      <c r="AQ80">
        <v>12</v>
      </c>
    </row>
    <row r="81" spans="19:43">
      <c r="AE81" s="78" t="s">
        <v>828</v>
      </c>
      <c r="AF81" t="s">
        <v>980</v>
      </c>
      <c r="AP81">
        <v>0.25</v>
      </c>
      <c r="AQ81">
        <v>12.5</v>
      </c>
    </row>
    <row r="82" spans="19:43">
      <c r="S82" t="s">
        <v>780</v>
      </c>
      <c r="T82">
        <f>SUM(T83:T85)+T73</f>
        <v>0</v>
      </c>
      <c r="U82" t="s">
        <v>788</v>
      </c>
      <c r="V82" t="s">
        <v>785</v>
      </c>
      <c r="W82" t="s">
        <v>786</v>
      </c>
      <c r="X82" t="s">
        <v>787</v>
      </c>
      <c r="AE82" s="78" t="s">
        <v>869</v>
      </c>
      <c r="AF82" t="s">
        <v>981</v>
      </c>
      <c r="AP82">
        <v>0.26</v>
      </c>
      <c r="AQ82">
        <v>13</v>
      </c>
    </row>
    <row r="83" spans="19:43">
      <c r="S83" t="s">
        <v>781</v>
      </c>
      <c r="T83">
        <f>IF(X83=3,1,0)</f>
        <v>0</v>
      </c>
      <c r="U83">
        <f>IF(C7=S12,1,0)</f>
        <v>1</v>
      </c>
      <c r="V83">
        <f>IF('1-Hull'!B4&lt;100,1,0)</f>
        <v>0</v>
      </c>
      <c r="W83">
        <f>IF(D25&gt;0,1,0)</f>
        <v>1</v>
      </c>
      <c r="X83">
        <f>SUM(U83:W83)</f>
        <v>2</v>
      </c>
      <c r="AE83" t="str">
        <f>M23&amp;" "&amp;N23</f>
        <v xml:space="preserve">X1 </v>
      </c>
      <c r="AF83">
        <f>N23</f>
        <v>0</v>
      </c>
      <c r="AP83">
        <v>0.27</v>
      </c>
      <c r="AQ83">
        <v>13.5</v>
      </c>
    </row>
    <row r="84" spans="19:43">
      <c r="S84" t="s">
        <v>782</v>
      </c>
      <c r="T84">
        <f>IF(E25&gt;E2,1,0)</f>
        <v>0</v>
      </c>
      <c r="AE84" t="str">
        <f>M30&amp;" "&amp;N30</f>
        <v xml:space="preserve">X2 </v>
      </c>
      <c r="AF84">
        <f>N30</f>
        <v>0</v>
      </c>
      <c r="AP84">
        <v>0.28000000000000003</v>
      </c>
      <c r="AQ84">
        <v>14</v>
      </c>
    </row>
    <row r="85" spans="19:43">
      <c r="S85" t="s">
        <v>783</v>
      </c>
      <c r="T85">
        <f>IF(E28&gt;E2,1,0)</f>
        <v>0</v>
      </c>
      <c r="AE85" t="str">
        <f>M37&amp;" "&amp;N37</f>
        <v xml:space="preserve">X3 </v>
      </c>
      <c r="AF85">
        <f>N37</f>
        <v>0</v>
      </c>
      <c r="AP85">
        <v>0.28999999999999998</v>
      </c>
      <c r="AQ85">
        <v>14.5</v>
      </c>
    </row>
    <row r="86" spans="19:43">
      <c r="AE86" t="str">
        <f>M44&amp;" "&amp;N44</f>
        <v xml:space="preserve">X4 </v>
      </c>
      <c r="AF86">
        <f>N44</f>
        <v>0</v>
      </c>
      <c r="AP86">
        <v>0.3</v>
      </c>
      <c r="AQ86">
        <v>15</v>
      </c>
    </row>
    <row r="87" spans="19:43">
      <c r="S87" t="s">
        <v>897</v>
      </c>
      <c r="T87">
        <f>IF(MAX(E11:E56)&gt;E2,1,0)</f>
        <v>0</v>
      </c>
      <c r="AE87" t="s">
        <v>62</v>
      </c>
      <c r="AP87">
        <v>0.31</v>
      </c>
      <c r="AQ87">
        <v>15.5</v>
      </c>
    </row>
    <row r="88" spans="19:43">
      <c r="Z88" t="s">
        <v>984</v>
      </c>
      <c r="AE88" s="44" t="s">
        <v>829</v>
      </c>
      <c r="AF88" t="str">
        <f>""</f>
        <v/>
      </c>
      <c r="AP88">
        <v>0.32</v>
      </c>
      <c r="AQ88">
        <v>16</v>
      </c>
    </row>
    <row r="89" spans="19:43">
      <c r="T89" t="s">
        <v>117</v>
      </c>
      <c r="U89" t="s">
        <v>1</v>
      </c>
      <c r="Z89" s="44" t="str">
        <f>VLOOKUP(B21,AE88:AF106,2)</f>
        <v/>
      </c>
      <c r="AA89" s="47"/>
      <c r="AE89" s="78" t="s">
        <v>830</v>
      </c>
      <c r="AF89" t="s">
        <v>955</v>
      </c>
    </row>
    <row r="90" spans="19:43">
      <c r="S90" s="3" t="s">
        <v>994</v>
      </c>
      <c r="T90" s="4">
        <f>SUM(H11:H23,H33:H49)</f>
        <v>5.4</v>
      </c>
      <c r="U90" s="115">
        <f>SUM(F11:F23,F33:F49)</f>
        <v>54000000</v>
      </c>
      <c r="Z90" s="78" t="str">
        <f>VLOOKUP(B22,AE88:AF106,2)</f>
        <v/>
      </c>
      <c r="AA90" s="46"/>
      <c r="AE90" s="78" t="s">
        <v>848</v>
      </c>
      <c r="AF90" t="s">
        <v>974</v>
      </c>
    </row>
    <row r="91" spans="19:43">
      <c r="S91" t="str">
        <f>IF(B11=S2,"","M-Drive: "&amp;D11&amp;" "&amp;Z67&amp;AA67&amp;Z68&amp;AA68&amp;Z69&amp;IF(AC66="No","",", DSMS "&amp;D14)&amp;IF(AC64="No","",", EMP")&amp;IF(AC65="No","",", Armored"))</f>
        <v>M-Drive: 2 Efficient, Small, Easy to Repair, EMP</v>
      </c>
      <c r="Z91" s="78" t="str">
        <f>VLOOKUP(B23,AE88:AF106,2)</f>
        <v/>
      </c>
      <c r="AA91" s="46"/>
      <c r="AB91" t="s">
        <v>7</v>
      </c>
      <c r="AC91" t="str">
        <f>C20</f>
        <v>No</v>
      </c>
      <c r="AE91" s="78" t="s">
        <v>833</v>
      </c>
      <c r="AF91" t="s">
        <v>970</v>
      </c>
    </row>
    <row r="92" spans="19:43">
      <c r="S92" t="str">
        <f>IF(B42=S69,"",", B/U M-Drive: "&amp;D42&amp;" "&amp;Z76&amp;AA76&amp;Z77&amp;AA77&amp;Z78&amp;IF(AC75="No","",", DSMS "&amp;D45)&amp;IF(AC73="No","",", EMP")&amp;IF(AC74="No","",", Armored"))</f>
        <v/>
      </c>
      <c r="Z92" s="78"/>
      <c r="AA92" s="46"/>
      <c r="AE92" s="78" t="s">
        <v>834</v>
      </c>
      <c r="AF92" t="s">
        <v>971</v>
      </c>
    </row>
    <row r="93" spans="19:43">
      <c r="S93" t="str">
        <f>IF(AND(S91="",S92=""),"No M-Drive","")</f>
        <v/>
      </c>
      <c r="Z93" s="78" t="str">
        <f>IF(Z89=AE88,"",Z89)</f>
        <v/>
      </c>
      <c r="AA93" s="46" t="str">
        <f>IF(Z93="","",IF(AND(Z89=Z90,Z89=Z91)," x3",IF(OR(Z89=Z90,Z89=Z91)," x2","")))</f>
        <v/>
      </c>
      <c r="AE93" s="78" t="s">
        <v>835</v>
      </c>
      <c r="AF93" t="s">
        <v>972</v>
      </c>
    </row>
    <row r="94" spans="19:43">
      <c r="S94" s="3" t="s">
        <v>996</v>
      </c>
      <c r="Z94" s="78" t="str">
        <f>IF(OR(Z93="",Z90="",Z90=Z89),"",", ")&amp;IF(OR(Z90=Z89,Z90=AE88),"",Z90)</f>
        <v/>
      </c>
      <c r="AA94" s="46" t="str">
        <f>IF(Z94="","",IF(Z94=Z91," x2",""))</f>
        <v/>
      </c>
      <c r="AE94" s="78" t="s">
        <v>849</v>
      </c>
      <c r="AF94" t="s">
        <v>960</v>
      </c>
    </row>
    <row r="95" spans="19:43">
      <c r="S95" t="str">
        <f>IF(S91="","",", ")&amp;IF(B19=S2,"","R-Drive: "&amp;D19&amp;" "&amp;Z93&amp;AA93&amp;Z94&amp;AA94&amp;Z95&amp;IF(AC91="No","",", Armored"))</f>
        <v xml:space="preserve">, </v>
      </c>
      <c r="Z95" s="86" t="str">
        <f>IF(OR(AND(Z93="",Z94=""),Z91="",Z91=Z89,Z91=Z90),"",", ")&amp;IF(OR(Z91=Z93,Z91=Z94,Z91=AE88),"",Z91)</f>
        <v/>
      </c>
      <c r="AA95" s="79"/>
      <c r="AE95" s="78" t="s">
        <v>836</v>
      </c>
      <c r="AF95" t="s">
        <v>961</v>
      </c>
    </row>
    <row r="96" spans="19:43">
      <c r="S96" t="str">
        <f>IF(D33=0,"",", High Burn Thruster: "&amp;D33&amp;" "&amp;Z102&amp;AA102&amp;Z103&amp;AA103&amp;Z104&amp;IF(AC100="No","",", Armored"))</f>
        <v/>
      </c>
      <c r="AE96" s="78" t="s">
        <v>837</v>
      </c>
      <c r="AF96" t="s">
        <v>973</v>
      </c>
    </row>
    <row r="97" spans="19:32">
      <c r="Z97" t="s">
        <v>985</v>
      </c>
      <c r="AE97" s="78" t="s">
        <v>854</v>
      </c>
      <c r="AF97" t="s">
        <v>41</v>
      </c>
    </row>
    <row r="98" spans="19:32">
      <c r="S98" t="str">
        <f>S91&amp;S92&amp;S93&amp;S95&amp;S96&amp;IF(B40=S17,", Solar Sails","")&amp;IF(C9=S107,"",", Drives Rated for "&amp;C4&amp;" Dtons")</f>
        <v xml:space="preserve">M-Drive: 2 Efficient, Small, Easy to Repair, EMP, </v>
      </c>
      <c r="Z98" s="44" t="str">
        <f>VLOOKUP(B35,AE88:AF106,2)</f>
        <v/>
      </c>
      <c r="AA98" s="47"/>
      <c r="AE98" s="78" t="s">
        <v>840</v>
      </c>
      <c r="AF98" t="s">
        <v>963</v>
      </c>
    </row>
    <row r="99" spans="19:32">
      <c r="Z99" s="78" t="str">
        <f>VLOOKUP(B36,AE88:AF106,2)</f>
        <v/>
      </c>
      <c r="AA99" s="46"/>
      <c r="AE99" s="78" t="s">
        <v>855</v>
      </c>
      <c r="AF99" t="s">
        <v>964</v>
      </c>
    </row>
    <row r="100" spans="19:32">
      <c r="S100" s="3" t="s">
        <v>52</v>
      </c>
      <c r="T100" s="4">
        <f>SUM(H25:H28,H51:H54)</f>
        <v>27.5</v>
      </c>
      <c r="U100" s="4">
        <f>SUM(F25:F28,F51:F54)</f>
        <v>90750000</v>
      </c>
      <c r="Z100" s="78" t="str">
        <f>VLOOKUP(B37,AE88:AF106,2)</f>
        <v/>
      </c>
      <c r="AA100" s="46"/>
      <c r="AB100" t="s">
        <v>7</v>
      </c>
      <c r="AC100" t="str">
        <f>C34</f>
        <v>No</v>
      </c>
      <c r="AE100" s="78" t="s">
        <v>850</v>
      </c>
      <c r="AF100" t="s">
        <v>976</v>
      </c>
    </row>
    <row r="101" spans="19:32">
      <c r="S101" t="str">
        <f>IF(B25=S5,"",B25&amp;": "&amp;D25&amp;" "&amp;Z114&amp;AA114&amp;Z115&amp;AA115&amp;Z116&amp;IF(AC111="No","",", EMP")&amp;IF(AC112="No","",", Armored"))</f>
        <v>Jump Drive: 3 Easy to Repair</v>
      </c>
      <c r="Z101" s="78"/>
      <c r="AA101" s="46"/>
      <c r="AE101" s="78" t="s">
        <v>851</v>
      </c>
      <c r="AF101" t="s">
        <v>977</v>
      </c>
    </row>
    <row r="102" spans="19:32">
      <c r="S102" t="str">
        <f>IF(B51=S5,"",", B/U "&amp;B51&amp;", "&amp;D51&amp;" "&amp;Z123&amp;AA123&amp;Z124&amp;AA124&amp;Z125&amp;IF(AC120="No","",", EMP")&amp;IF(AC121="No","",", Armored"))</f>
        <v/>
      </c>
      <c r="Z102" s="78" t="str">
        <f>IF(Z98=AE88,"",Z98)</f>
        <v/>
      </c>
      <c r="AA102" s="46" t="str">
        <f>IF(Z102="","",IF(AND(Z98=Z99,Z98=Z100)," x3",IF(OR(Z98=Z99,Z98=Z100)," x2","")))</f>
        <v/>
      </c>
      <c r="AE102" s="78" t="s">
        <v>852</v>
      </c>
      <c r="AF102" t="s">
        <v>978</v>
      </c>
    </row>
    <row r="103" spans="19:32">
      <c r="S103" t="str">
        <f>IF(AND(S101="",S102=""),"No FTL","")</f>
        <v/>
      </c>
      <c r="Z103" s="78" t="str">
        <f>IF(OR(Z102="",Z99="",Z99=Z98),"",", ")&amp;IF(OR(Z99=Z98,Z99=AE88),"",Z99)</f>
        <v/>
      </c>
      <c r="AA103" s="46" t="str">
        <f>IF(Z103="","",IF(Z103=Z100," x2",""))</f>
        <v/>
      </c>
      <c r="AE103" t="str">
        <f>M23&amp;" "&amp;N23</f>
        <v xml:space="preserve">X1 </v>
      </c>
      <c r="AF103">
        <f>N23</f>
        <v>0</v>
      </c>
    </row>
    <row r="104" spans="19:32">
      <c r="Z104" s="86" t="str">
        <f>IF(OR(AND(Z102="",Z103=""),Z100="",Z100=Z98,Z100=Z99),"",", ")&amp;IF(OR(Z100=Z102,Z100=Z103,Z100=AE88),"",Z100)</f>
        <v/>
      </c>
      <c r="AA104" s="79"/>
      <c r="AE104" t="str">
        <f>M30&amp;" "&amp;N30</f>
        <v xml:space="preserve">X2 </v>
      </c>
      <c r="AF104">
        <f>N30</f>
        <v>0</v>
      </c>
    </row>
    <row r="105" spans="19:32">
      <c r="S105" t="str">
        <f>S101&amp;S102&amp;S103&amp;IF(C9=S107,"",", Drives Rated for "&amp;C4&amp;" Dtons")</f>
        <v>Jump Drive: 3 Easy to Repair</v>
      </c>
      <c r="AE105" t="str">
        <f>M37&amp;" "&amp;N37</f>
        <v xml:space="preserve">X3 </v>
      </c>
      <c r="AF105">
        <f>N37</f>
        <v>0</v>
      </c>
    </row>
    <row r="106" spans="19:32">
      <c r="AE106" t="str">
        <f>M44&amp;" "&amp;N44</f>
        <v xml:space="preserve">X4 </v>
      </c>
      <c r="AF106">
        <f>N44</f>
        <v>0</v>
      </c>
    </row>
    <row r="107" spans="19:32">
      <c r="S107" t="s">
        <v>1009</v>
      </c>
      <c r="T107">
        <f>'1-Hull'!B4</f>
        <v>300</v>
      </c>
      <c r="U107">
        <f>IF(C9=S107,T107,T108)</f>
        <v>300</v>
      </c>
    </row>
    <row r="108" spans="19:32">
      <c r="S108" t="s">
        <v>1010</v>
      </c>
      <c r="T108">
        <f>IF(P8=0,B4,P8)</f>
        <v>300</v>
      </c>
      <c r="AE108" t="s">
        <v>52</v>
      </c>
    </row>
    <row r="109" spans="19:32">
      <c r="Z109" t="s">
        <v>992</v>
      </c>
      <c r="AE109" s="44" t="s">
        <v>829</v>
      </c>
      <c r="AF109" t="str">
        <f>""</f>
        <v/>
      </c>
    </row>
    <row r="110" spans="19:32">
      <c r="Z110" s="44" t="str">
        <f>VLOOKUP(B28,AE109:AF133,2)</f>
        <v>Easy to Repair</v>
      </c>
      <c r="AA110" s="47"/>
      <c r="AE110" s="78" t="s">
        <v>830</v>
      </c>
      <c r="AF110" t="s">
        <v>955</v>
      </c>
    </row>
    <row r="111" spans="19:32">
      <c r="Z111" s="78" t="str">
        <f>VLOOKUP(B29,AE109:AF133,2)</f>
        <v/>
      </c>
      <c r="AA111" s="46"/>
      <c r="AB111" t="s">
        <v>995</v>
      </c>
      <c r="AC111" t="str">
        <f>C26</f>
        <v>No</v>
      </c>
      <c r="AE111" s="78" t="s">
        <v>871</v>
      </c>
      <c r="AF111" t="s">
        <v>974</v>
      </c>
    </row>
    <row r="112" spans="19:32">
      <c r="Z112" s="78" t="str">
        <f>VLOOKUP(B30,AE109:AF133,2)</f>
        <v/>
      </c>
      <c r="AA112" s="46"/>
      <c r="AB112" t="s">
        <v>7</v>
      </c>
      <c r="AC112" t="str">
        <f>C27</f>
        <v>No</v>
      </c>
      <c r="AE112" s="78" t="s">
        <v>833</v>
      </c>
      <c r="AF112" t="s">
        <v>970</v>
      </c>
    </row>
    <row r="113" spans="26:32">
      <c r="Z113" s="78"/>
      <c r="AA113" s="46"/>
      <c r="AE113" s="78" t="s">
        <v>834</v>
      </c>
      <c r="AF113" t="s">
        <v>971</v>
      </c>
    </row>
    <row r="114" spans="26:32">
      <c r="Z114" s="78" t="str">
        <f>IF(Z110=AE109,"",Z110)</f>
        <v>Easy to Repair</v>
      </c>
      <c r="AA114" s="46" t="str">
        <f>IF(Z114="","",IF(AND(Z110=Z111,Z110=Z112)," x3",IF(OR(Z110=Z111,Z110=Z112)," x2","")))</f>
        <v/>
      </c>
      <c r="AE114" s="78" t="s">
        <v>835</v>
      </c>
      <c r="AF114" t="s">
        <v>972</v>
      </c>
    </row>
    <row r="115" spans="26:32">
      <c r="Z115" s="78" t="str">
        <f>IF(OR(Z114="",Z111="",Z111=Z110),"",", ")&amp;IF(OR(Z111=Z110,Z111=AE109),"",Z111)</f>
        <v/>
      </c>
      <c r="AA115" s="46" t="str">
        <f>IF(Z115="","",IF(Z115=Z112," x2",""))</f>
        <v/>
      </c>
      <c r="AE115" s="78" t="s">
        <v>875</v>
      </c>
      <c r="AF115" t="s">
        <v>986</v>
      </c>
    </row>
    <row r="116" spans="26:32">
      <c r="Z116" s="86" t="str">
        <f>IF(OR(AND(Z114="",Z115=""),Z112="",Z112=Z110,Z112=Z111),"",", ")&amp;IF(OR(Z112=Z114,Z112=Z115,Z112=AE109),"",Z112)</f>
        <v/>
      </c>
      <c r="AA116" s="79"/>
      <c r="AE116" s="78" t="s">
        <v>876</v>
      </c>
      <c r="AF116" t="s">
        <v>987</v>
      </c>
    </row>
    <row r="117" spans="26:32">
      <c r="AE117" s="78" t="s">
        <v>877</v>
      </c>
      <c r="AF117" t="s">
        <v>960</v>
      </c>
    </row>
    <row r="118" spans="26:32">
      <c r="Z118" t="s">
        <v>993</v>
      </c>
      <c r="AE118" s="78" t="s">
        <v>878</v>
      </c>
      <c r="AF118" t="s">
        <v>961</v>
      </c>
    </row>
    <row r="119" spans="26:32">
      <c r="Z119" s="44" t="str">
        <f>VLOOKUP(B54,AE109:AF133,2)</f>
        <v/>
      </c>
      <c r="AA119" s="47"/>
      <c r="AE119" s="78" t="s">
        <v>879</v>
      </c>
      <c r="AF119" t="s">
        <v>973</v>
      </c>
    </row>
    <row r="120" spans="26:32">
      <c r="Z120" s="78" t="str">
        <f>VLOOKUP(B55,AE109:AF133,2)</f>
        <v/>
      </c>
      <c r="AA120" s="46"/>
      <c r="AB120" t="s">
        <v>995</v>
      </c>
      <c r="AC120" t="str">
        <f>C52</f>
        <v>No</v>
      </c>
      <c r="AE120" s="78" t="s">
        <v>880</v>
      </c>
      <c r="AF120" t="s">
        <v>41</v>
      </c>
    </row>
    <row r="121" spans="26:32">
      <c r="Z121" s="78" t="str">
        <f>VLOOKUP(B56,AE109:AF133,2)</f>
        <v/>
      </c>
      <c r="AA121" s="46"/>
      <c r="AB121" t="s">
        <v>7</v>
      </c>
      <c r="AC121" t="str">
        <f>C53</f>
        <v>No</v>
      </c>
      <c r="AE121" s="78" t="s">
        <v>840</v>
      </c>
      <c r="AF121" t="s">
        <v>963</v>
      </c>
    </row>
    <row r="122" spans="26:32">
      <c r="Z122" s="78"/>
      <c r="AA122" s="46"/>
      <c r="AE122" s="78" t="s">
        <v>847</v>
      </c>
      <c r="AF122" t="s">
        <v>964</v>
      </c>
    </row>
    <row r="123" spans="26:32">
      <c r="Z123" s="78" t="str">
        <f>IF(Z119=AE109,"",Z119)</f>
        <v/>
      </c>
      <c r="AA123" s="46" t="str">
        <f>IF(Z123="","",IF(AND(Z119=Z120,Z119=Z121)," x3",IF(OR(Z119=Z120,Z119=Z121)," x2","")))</f>
        <v/>
      </c>
      <c r="AE123" s="78" t="s">
        <v>862</v>
      </c>
      <c r="AF123" t="s">
        <v>988</v>
      </c>
    </row>
    <row r="124" spans="26:32">
      <c r="Z124" s="78" t="str">
        <f>IF(OR(Z123="",Z120="",Z120=Z119),"",", ")&amp;IF(OR(Z120=Z119,Z120=AE109),"",Z120)</f>
        <v/>
      </c>
      <c r="AA124" s="46" t="str">
        <f>IF(Z124="","",IF(Z124=Z121," x2",""))</f>
        <v/>
      </c>
      <c r="AE124" s="78" t="s">
        <v>863</v>
      </c>
      <c r="AF124" t="s">
        <v>989</v>
      </c>
    </row>
    <row r="125" spans="26:32">
      <c r="Z125" s="86" t="str">
        <f>IF(OR(AND(Z123="",Z124=""),Z121="",Z121=Z119,Z121=Z120),"",", ")&amp;IF(OR(Z121=Z123,Z121=Z124,Z121=AE109),"",Z121)</f>
        <v/>
      </c>
      <c r="AA125" s="79"/>
      <c r="AE125" s="78" t="s">
        <v>826</v>
      </c>
      <c r="AF125" t="s">
        <v>976</v>
      </c>
    </row>
    <row r="126" spans="26:32">
      <c r="AE126" s="78" t="s">
        <v>861</v>
      </c>
      <c r="AF126" t="s">
        <v>977</v>
      </c>
    </row>
    <row r="127" spans="26:32">
      <c r="AE127" s="78" t="s">
        <v>827</v>
      </c>
      <c r="AF127" t="s">
        <v>978</v>
      </c>
    </row>
    <row r="128" spans="26:32">
      <c r="AE128" s="78" t="s">
        <v>864</v>
      </c>
      <c r="AF128" t="s">
        <v>990</v>
      </c>
    </row>
    <row r="129" spans="31:32">
      <c r="AE129" s="78" t="s">
        <v>865</v>
      </c>
      <c r="AF129" t="s">
        <v>991</v>
      </c>
    </row>
    <row r="130" spans="31:32">
      <c r="AE130" t="str">
        <f>M23&amp;" "&amp;N23</f>
        <v xml:space="preserve">X1 </v>
      </c>
      <c r="AF130">
        <f>N23</f>
        <v>0</v>
      </c>
    </row>
    <row r="131" spans="31:32">
      <c r="AE131" t="str">
        <f>M30&amp;" "&amp;N30</f>
        <v xml:space="preserve">X2 </v>
      </c>
      <c r="AF131">
        <f>N30</f>
        <v>0</v>
      </c>
    </row>
    <row r="132" spans="31:32">
      <c r="AE132" t="str">
        <f>M37&amp;" "&amp;N37</f>
        <v xml:space="preserve">X3 </v>
      </c>
      <c r="AF132">
        <f>N37</f>
        <v>0</v>
      </c>
    </row>
    <row r="133" spans="31:32">
      <c r="AE133" t="str">
        <f>M44&amp;" "&amp;N44</f>
        <v xml:space="preserve">X4 </v>
      </c>
      <c r="AF133">
        <f>N44</f>
        <v>0</v>
      </c>
    </row>
  </sheetData>
  <sheetProtection algorithmName="SHA-512" hashValue="lA5Zf9tuo5Ar/dAOo+HYqxB9Rj1PbnGc+b5mblFPlm7mbGgIfTiCeTbz+w5f1GZYUR6HXJh4cIOBjHPMTAvT5w==" saltValue="TNJzoNUkXlx700XSDq6org==" spinCount="100000" sheet="1" selectLockedCells="1"/>
  <mergeCells count="99">
    <mergeCell ref="C3:D3"/>
    <mergeCell ref="P8:Q8"/>
    <mergeCell ref="N45:O45"/>
    <mergeCell ref="N23:R23"/>
    <mergeCell ref="N30:R30"/>
    <mergeCell ref="N37:R37"/>
    <mergeCell ref="N44:R44"/>
    <mergeCell ref="N24:O24"/>
    <mergeCell ref="N31:O31"/>
    <mergeCell ref="N38:O38"/>
    <mergeCell ref="BC10:BD10"/>
    <mergeCell ref="BC12:BD12"/>
    <mergeCell ref="BC14:BD14"/>
    <mergeCell ref="BC16:BD16"/>
    <mergeCell ref="BC18:BD18"/>
    <mergeCell ref="BC20:BD20"/>
    <mergeCell ref="BE20:BF20"/>
    <mergeCell ref="BE18:BF18"/>
    <mergeCell ref="BE16:BF16"/>
    <mergeCell ref="BE14:BF14"/>
    <mergeCell ref="BE12:BF12"/>
    <mergeCell ref="BE10:BF10"/>
    <mergeCell ref="BG10:BH10"/>
    <mergeCell ref="BG12:BH12"/>
    <mergeCell ref="BG14:BH14"/>
    <mergeCell ref="BG16:BH16"/>
    <mergeCell ref="BI10:BJ10"/>
    <mergeCell ref="BK10:BL10"/>
    <mergeCell ref="BM10:BN10"/>
    <mergeCell ref="BO10:BP10"/>
    <mergeCell ref="BI14:BJ14"/>
    <mergeCell ref="BK14:BL14"/>
    <mergeCell ref="BM14:BN14"/>
    <mergeCell ref="BO14:BP14"/>
    <mergeCell ref="BQ10:BR10"/>
    <mergeCell ref="BS10:BT10"/>
    <mergeCell ref="BI12:BJ12"/>
    <mergeCell ref="BK12:BL12"/>
    <mergeCell ref="BM12:BN12"/>
    <mergeCell ref="BO12:BP12"/>
    <mergeCell ref="BQ12:BR12"/>
    <mergeCell ref="BS12:BT12"/>
    <mergeCell ref="BQ14:BR14"/>
    <mergeCell ref="BS14:BT14"/>
    <mergeCell ref="BI16:BJ16"/>
    <mergeCell ref="BK16:BL16"/>
    <mergeCell ref="BM16:BN16"/>
    <mergeCell ref="BO16:BP16"/>
    <mergeCell ref="BQ16:BR16"/>
    <mergeCell ref="BS16:BT16"/>
    <mergeCell ref="BQ18:BR18"/>
    <mergeCell ref="BS18:BT18"/>
    <mergeCell ref="BG20:BH20"/>
    <mergeCell ref="BI20:BJ20"/>
    <mergeCell ref="BK20:BL20"/>
    <mergeCell ref="BM20:BN20"/>
    <mergeCell ref="BO20:BP20"/>
    <mergeCell ref="BQ20:BR20"/>
    <mergeCell ref="BS20:BT20"/>
    <mergeCell ref="BG18:BH18"/>
    <mergeCell ref="BI18:BJ18"/>
    <mergeCell ref="BK18:BL18"/>
    <mergeCell ref="BM18:BN18"/>
    <mergeCell ref="BO18:BP18"/>
    <mergeCell ref="BM8:BN8"/>
    <mergeCell ref="BO8:BP8"/>
    <mergeCell ref="BQ8:BR8"/>
    <mergeCell ref="BS8:BT8"/>
    <mergeCell ref="BC6:BN6"/>
    <mergeCell ref="BC8:BD8"/>
    <mergeCell ref="BE8:BF8"/>
    <mergeCell ref="BG8:BH8"/>
    <mergeCell ref="BI8:BJ8"/>
    <mergeCell ref="BK8:BL8"/>
    <mergeCell ref="CA16:CB16"/>
    <mergeCell ref="CC16:CD16"/>
    <mergeCell ref="CE16:CF16"/>
    <mergeCell ref="CG16:CH16"/>
    <mergeCell ref="BU12:BV12"/>
    <mergeCell ref="BW12:BX12"/>
    <mergeCell ref="BY12:BZ12"/>
    <mergeCell ref="CA12:CB12"/>
    <mergeCell ref="CC12:CD12"/>
    <mergeCell ref="CE8:CF8"/>
    <mergeCell ref="CG8:CH8"/>
    <mergeCell ref="BU10:BV10"/>
    <mergeCell ref="BW10:BX10"/>
    <mergeCell ref="BU18:BV18"/>
    <mergeCell ref="BW18:BX18"/>
    <mergeCell ref="BU8:BV8"/>
    <mergeCell ref="BW8:BX8"/>
    <mergeCell ref="BY8:BZ8"/>
    <mergeCell ref="CA8:CB8"/>
    <mergeCell ref="CC8:CD8"/>
    <mergeCell ref="CE12:CF12"/>
    <mergeCell ref="CG12:CH12"/>
    <mergeCell ref="BU16:BV16"/>
    <mergeCell ref="BW16:BX16"/>
    <mergeCell ref="BY16:BZ16"/>
  </mergeCells>
  <conditionalFormatting sqref="B4">
    <cfRule type="expression" dxfId="648" priority="937">
      <formula>$C$9=$S$107</formula>
    </cfRule>
  </conditionalFormatting>
  <conditionalFormatting sqref="B11">
    <cfRule type="cellIs" dxfId="647" priority="16" operator="equal">
      <formula>$S$2</formula>
    </cfRule>
  </conditionalFormatting>
  <conditionalFormatting sqref="B19">
    <cfRule type="cellIs" dxfId="646" priority="15" operator="equal">
      <formula>$S$2</formula>
    </cfRule>
  </conditionalFormatting>
  <conditionalFormatting sqref="B21:B23 B15:B17 B28:B30 B35:B37 B47:B49 B54:B56">
    <cfRule type="cellIs" dxfId="645" priority="938" operator="notEqual">
      <formula>$S$24</formula>
    </cfRule>
  </conditionalFormatting>
  <conditionalFormatting sqref="B25 B51">
    <cfRule type="expression" dxfId="644" priority="944" stopIfTrue="1">
      <formula>$X$83=3</formula>
    </cfRule>
  </conditionalFormatting>
  <conditionalFormatting sqref="B25">
    <cfRule type="cellIs" dxfId="642" priority="966" operator="equal">
      <formula>$S$5</formula>
    </cfRule>
  </conditionalFormatting>
  <conditionalFormatting sqref="B33">
    <cfRule type="cellIs" dxfId="641" priority="968" operator="equal">
      <formula>$S$14</formula>
    </cfRule>
  </conditionalFormatting>
  <conditionalFormatting sqref="B40">
    <cfRule type="expression" dxfId="640" priority="1">
      <formula>$H$40&gt;0</formula>
    </cfRule>
  </conditionalFormatting>
  <conditionalFormatting sqref="B42">
    <cfRule type="cellIs" dxfId="639" priority="948" operator="equal">
      <formula>$S$69</formula>
    </cfRule>
  </conditionalFormatting>
  <conditionalFormatting sqref="B51">
    <cfRule type="cellIs" dxfId="637" priority="1196" operator="equal">
      <formula>$S$5</formula>
    </cfRule>
  </conditionalFormatting>
  <conditionalFormatting sqref="B19:E23">
    <cfRule type="expression" dxfId="636" priority="25">
      <formula>$E$19&gt;$E$2</formula>
    </cfRule>
  </conditionalFormatting>
  <conditionalFormatting sqref="C7">
    <cfRule type="expression" dxfId="635" priority="27">
      <formula>$C$7="Yes"</formula>
    </cfRule>
  </conditionalFormatting>
  <conditionalFormatting sqref="C8">
    <cfRule type="expression" dxfId="634" priority="26">
      <formula>$C$8="Yes"</formula>
    </cfRule>
  </conditionalFormatting>
  <conditionalFormatting sqref="C12:C14 C20 C26:C27 C34 C43:C46 C52:C53">
    <cfRule type="cellIs" dxfId="633" priority="21" operator="equal">
      <formula>"Yes"</formula>
    </cfRule>
  </conditionalFormatting>
  <conditionalFormatting sqref="D11">
    <cfRule type="expression" dxfId="632" priority="24">
      <formula>AND($B$11=$S$2,$D$11&gt;0)</formula>
    </cfRule>
  </conditionalFormatting>
  <conditionalFormatting sqref="D16:D17">
    <cfRule type="expression" dxfId="631" priority="57">
      <formula>$D$17&gt;3</formula>
    </cfRule>
  </conditionalFormatting>
  <conditionalFormatting sqref="D22:D23">
    <cfRule type="expression" dxfId="630" priority="51">
      <formula>$D$23&gt;3</formula>
    </cfRule>
  </conditionalFormatting>
  <conditionalFormatting sqref="D25">
    <cfRule type="expression" dxfId="629" priority="37">
      <formula>AND($B$25=$S$5,$D$25&gt;0)</formula>
    </cfRule>
    <cfRule type="expression" dxfId="628" priority="23">
      <formula>AND($B$25&lt;&gt;$S$5,$D$25=0)</formula>
    </cfRule>
  </conditionalFormatting>
  <conditionalFormatting sqref="D29:D30">
    <cfRule type="expression" dxfId="627" priority="35">
      <formula>$D$30&gt;3</formula>
    </cfRule>
  </conditionalFormatting>
  <conditionalFormatting sqref="D33">
    <cfRule type="expression" dxfId="626" priority="972">
      <formula>AND($B$33=$S$14,$D$33&gt;0)</formula>
    </cfRule>
  </conditionalFormatting>
  <conditionalFormatting sqref="D36:D37">
    <cfRule type="expression" dxfId="625" priority="31">
      <formula>$D$37&gt;3</formula>
    </cfRule>
  </conditionalFormatting>
  <conditionalFormatting sqref="D42">
    <cfRule type="expression" dxfId="624" priority="954">
      <formula>AND($B$42=$S$69,$D$42&gt;0)</formula>
    </cfRule>
  </conditionalFormatting>
  <conditionalFormatting sqref="D48:D49">
    <cfRule type="expression" dxfId="623" priority="32">
      <formula>$D$49&gt;3</formula>
    </cfRule>
  </conditionalFormatting>
  <conditionalFormatting sqref="D51">
    <cfRule type="expression" dxfId="622" priority="18">
      <formula>AND($B$51=$S$5,$D$51&gt;0)</formula>
    </cfRule>
  </conditionalFormatting>
  <conditionalFormatting sqref="D55:D56">
    <cfRule type="expression" dxfId="621" priority="30">
      <formula>$D$56&gt;3</formula>
    </cfRule>
  </conditionalFormatting>
  <conditionalFormatting sqref="E2">
    <cfRule type="expression" dxfId="620" priority="956">
      <formula>$T$74&gt;0</formula>
    </cfRule>
  </conditionalFormatting>
  <conditionalFormatting sqref="E11">
    <cfRule type="expression" dxfId="619" priority="355">
      <formula>$E$11&gt;$E$2</formula>
    </cfRule>
  </conditionalFormatting>
  <conditionalFormatting sqref="E25">
    <cfRule type="expression" dxfId="618" priority="69">
      <formula>$E$25&gt;$E$2</formula>
    </cfRule>
  </conditionalFormatting>
  <conditionalFormatting sqref="E28">
    <cfRule type="expression" dxfId="617" priority="393">
      <formula>AND($B$28=#REF!,OR($B$29=#REF!,$B$30=#REF!))</formula>
    </cfRule>
    <cfRule type="expression" dxfId="616" priority="395">
      <formula>$E$28&gt;$E$2</formula>
    </cfRule>
    <cfRule type="expression" dxfId="615" priority="394">
      <formula>AND($B$25=$S$7,$B$28=#REF!)</formula>
    </cfRule>
  </conditionalFormatting>
  <conditionalFormatting sqref="E29">
    <cfRule type="expression" dxfId="614" priority="396">
      <formula>AND($B$29=#REF!,OR($B$28=#REF!,$B$30=#REF!))</formula>
    </cfRule>
    <cfRule type="expression" dxfId="613" priority="397">
      <formula>AND($B$25=$S$7,$B$29=#REF!)</formula>
    </cfRule>
  </conditionalFormatting>
  <conditionalFormatting sqref="E30">
    <cfRule type="expression" dxfId="612" priority="398">
      <formula>AND($B$30=#REF!,OR($B$28=#REF!,$B$29=#REF!))</formula>
    </cfRule>
    <cfRule type="expression" dxfId="611" priority="399">
      <formula>AND($B$25=$S$7,$B$30=#REF!)</formula>
    </cfRule>
  </conditionalFormatting>
  <conditionalFormatting sqref="E42">
    <cfRule type="expression" dxfId="610" priority="28">
      <formula>$E$42&gt;$E$2</formula>
    </cfRule>
  </conditionalFormatting>
  <conditionalFormatting sqref="E51">
    <cfRule type="expression" dxfId="609" priority="60">
      <formula>$E$51&gt;$E$2</formula>
    </cfRule>
  </conditionalFormatting>
  <conditionalFormatting sqref="G9:I9">
    <cfRule type="expression" dxfId="607" priority="964">
      <formula>$T$73</formula>
    </cfRule>
  </conditionalFormatting>
  <conditionalFormatting sqref="H6">
    <cfRule type="expression" dxfId="606" priority="74">
      <formula>$H$6&lt;0</formula>
    </cfRule>
  </conditionalFormatting>
  <conditionalFormatting sqref="K6">
    <cfRule type="expression" dxfId="605" priority="73">
      <formula>$K$6&lt;0</formula>
    </cfRule>
  </conditionalFormatting>
  <conditionalFormatting sqref="N23:R23 M26:R26 R27 N30:R30 M33:R33 R34 N37:R37 M40:R40 R41 N44:R44 M47:R47 R48">
    <cfRule type="cellIs" dxfId="604" priority="17" operator="greaterThan">
      <formula>0</formula>
    </cfRule>
  </conditionalFormatting>
  <conditionalFormatting sqref="P8:Q8">
    <cfRule type="expression" dxfId="603" priority="965">
      <formula>$C$9=$S$108</formula>
    </cfRule>
  </conditionalFormatting>
  <conditionalFormatting sqref="R26">
    <cfRule type="expression" dxfId="602" priority="50">
      <formula>$N$26&lt;&gt;0</formula>
    </cfRule>
  </conditionalFormatting>
  <conditionalFormatting sqref="R33">
    <cfRule type="expression" dxfId="601" priority="49">
      <formula>$N$33&lt;&gt;0</formula>
    </cfRule>
  </conditionalFormatting>
  <conditionalFormatting sqref="R40">
    <cfRule type="expression" dxfId="600" priority="48">
      <formula>$N$40&lt;&gt;0</formula>
    </cfRule>
  </conditionalFormatting>
  <conditionalFormatting sqref="R47 T55:W55">
    <cfRule type="expression" dxfId="599" priority="47">
      <formula>$N$47&lt;&gt;0</formula>
    </cfRule>
  </conditionalFormatting>
  <conditionalFormatting sqref="BC14:BT14">
    <cfRule type="expression" dxfId="598" priority="5">
      <formula>$D$25=0</formula>
    </cfRule>
  </conditionalFormatting>
  <conditionalFormatting sqref="BC20:BT20">
    <cfRule type="expression" dxfId="597" priority="1379">
      <formula>$D$51=0</formula>
    </cfRule>
  </conditionalFormatting>
  <conditionalFormatting sqref="BC10:BX10">
    <cfRule type="expression" dxfId="596" priority="7">
      <formula>$D$11=0</formula>
    </cfRule>
  </conditionalFormatting>
  <conditionalFormatting sqref="BC18:BX18">
    <cfRule type="expression" dxfId="595" priority="3">
      <formula>$D$42=0</formula>
    </cfRule>
  </conditionalFormatting>
  <conditionalFormatting sqref="BC12:CH12">
    <cfRule type="expression" dxfId="594" priority="6">
      <formula>$D$19=0</formula>
    </cfRule>
  </conditionalFormatting>
  <conditionalFormatting sqref="BC16:CH16">
    <cfRule type="expression" dxfId="593" priority="4">
      <formula>$D$33=0</formula>
    </cfRule>
  </conditionalFormatting>
  <dataValidations count="24">
    <dataValidation type="whole" allowBlank="1" showInputMessage="1" showErrorMessage="1" sqref="D25 D51" xr:uid="{A85589D1-808D-4808-B45E-3051EF50E45B}">
      <formula1>0</formula1>
      <formula2>9</formula2>
    </dataValidation>
    <dataValidation type="whole" allowBlank="1" showInputMessage="1" showErrorMessage="1" sqref="D33 D19" xr:uid="{DF93B94F-0E61-42BC-916D-87C963EDB09C}">
      <formula1>0</formula1>
      <formula2>16</formula2>
    </dataValidation>
    <dataValidation type="whole" operator="greaterThanOrEqual" allowBlank="1" showInputMessage="1" showErrorMessage="1" prompt="Enter New Ship Displacement in Dtons. Includes towed vessels, External Cargo, Drop Tanks, etc." sqref="P8" xr:uid="{EAF52FDC-CF05-45EA-BEE8-5ADFD921A53A}">
      <formula1>0</formula1>
    </dataValidation>
    <dataValidation type="list" allowBlank="1" showInputMessage="1" showErrorMessage="1" sqref="B11" xr:uid="{F662CE12-0BF0-4EA7-9F28-E1FDF072954C}">
      <formula1>$S$2:$S$3</formula1>
    </dataValidation>
    <dataValidation type="decimal" allowBlank="1" showInputMessage="1" showErrorMessage="1" promptTitle="Decimal Mod Cost Multiplier" prompt="Leaving &quot;Cost&quot; modifier at Zero will calculate the mod cost automatically based on the &quot;# Mods&quot; field._x000a_Entering a cost Mod automatically sets the # Mod field to 3, preventing further mods on that unit when the User Mod is selected. " sqref="N26 N33 N40 N47" xr:uid="{7E822178-59DA-4ACF-A9A7-3A3A4CE556C7}">
      <formula1>-1000</formula1>
      <formula2>1000</formula2>
    </dataValidation>
    <dataValidation type="decimal" allowBlank="1" showInputMessage="1" showErrorMessage="1" promptTitle="Fuel Modifier" prompt="Enter the decimal to be multiplied by current fuel usage to effect the mod. This will be added to current fuel, so a reduction should be a negative value._x000a_Fuel mods will only apply to Reaction/HBT or Jump Drives. " sqref="P26 P33 P40 P47" xr:uid="{C87972E3-97B3-4BA2-B1BA-AFF7ABF146EF}">
      <formula1>-1000</formula1>
      <formula2>1000</formula2>
    </dataValidation>
    <dataValidation type="whole" allowBlank="1" showInputMessage="1" showErrorMessage="1" sqref="Q26 Q33 Q40 Q47" xr:uid="{75A1BB06-5E71-4E36-99AA-300FDA82E704}">
      <formula1>-10</formula1>
      <formula2>10</formula2>
    </dataValidation>
    <dataValidation type="decimal" allowBlank="1" showInputMessage="1" showErrorMessage="1" promptTitle="Dton Mod Multiplier" prompt="This is the decimal multiplied times the base to get only the amount of increase or decrease desired. The resulting Mod is then added to the base, so make reductions negative numbers._x000a_EX:_x000a_Small = -0.1_x000a_Bulky = 0.25" sqref="M26 M33 M40 M47" xr:uid="{433BABC3-219E-4E9F-9587-65E0ED9AE108}">
      <formula1>-1000</formula1>
      <formula2>1000</formula2>
    </dataValidation>
    <dataValidation type="whole" allowBlank="1" showInputMessage="1" showErrorMessage="1" promptTitle="Number of Mods " prompt="Enter 0-3._x000a_" sqref="R47 R40 R33 R26" xr:uid="{931A7600-06BB-41EB-9DCE-7C1B47AF2BC5}">
      <formula1>0</formula1>
      <formula2>3</formula2>
    </dataValidation>
    <dataValidation allowBlank="1" showInputMessage="1" showErrorMessage="1" promptTitle="User Mod Title" prompt="This Mod will be added to all Drive Mod Lists. You will need to self validate whether user mod applies to the unit in question." sqref="N23:R23 N30:R30 N37:R37 N44:R44" xr:uid="{447EA7FA-F694-470E-9DB3-5EB6FF9971C5}"/>
    <dataValidation type="whole" allowBlank="1" showInputMessage="1" showErrorMessage="1" sqref="D11 D42" xr:uid="{BB9FE2E6-D11A-47A8-8097-FD6129FB4137}">
      <formula1>0</formula1>
      <formula2>11</formula2>
    </dataValidation>
    <dataValidation type="list" allowBlank="1" showInputMessage="1" showErrorMessage="1" sqref="B42" xr:uid="{1119EF17-C67C-454F-8B76-CA2EAC578728}">
      <formula1>$S$69:$S$70</formula1>
    </dataValidation>
    <dataValidation type="list" allowBlank="1" showInputMessage="1" showErrorMessage="1" sqref="B21:B23 B35:B37" xr:uid="{6C76C648-165C-4061-AB2F-17E62811E934}">
      <formula1>$AN$24:$AN$42</formula1>
    </dataValidation>
    <dataValidation type="list" allowBlank="1" showInputMessage="1" showErrorMessage="1" sqref="B28:B30 B54:B56" xr:uid="{7801934D-CA09-4BE0-93BA-1CF05A4E68E7}">
      <formula1>$AB$24:$AB$48</formula1>
    </dataValidation>
    <dataValidation type="list" allowBlank="1" showInputMessage="1" showErrorMessage="1" sqref="C9" xr:uid="{526A135A-58C2-4DAB-9351-A8364B6DA4EE}">
      <formula1>$S$107:$S$108</formula1>
    </dataValidation>
    <dataValidation type="list" allowBlank="1" showInputMessage="1" showErrorMessage="1" sqref="C12:C14 C7:C8 C20 C52:C53 C26:C27 C34 C43:C46" xr:uid="{5359644E-C363-4F0C-80C6-CA8B718FA2E9}">
      <formula1>$S$12:$S$13</formula1>
    </dataValidation>
    <dataValidation type="list" allowBlank="1" showInputMessage="1" showErrorMessage="1" sqref="B33" xr:uid="{68BCF9D8-62A7-4758-9211-F8BC94FEB377}">
      <formula1>$S$14:$S$15</formula1>
    </dataValidation>
    <dataValidation type="list" allowBlank="1" showInputMessage="1" showErrorMessage="1" sqref="B40" xr:uid="{8783B864-A092-4E2C-A499-CC1BA1D24CEC}">
      <formula1>$S$16:$S$17</formula1>
    </dataValidation>
    <dataValidation type="list" allowBlank="1" showInputMessage="1" showErrorMessage="1" sqref="B25 B51" xr:uid="{DEB2FDFC-61BA-4AEA-8CC5-D2F14BD69FF5}">
      <formula1>$S$5:$S$11</formula1>
    </dataValidation>
    <dataValidation type="list" allowBlank="1" showInputMessage="1" showErrorMessage="1" sqref="B19" xr:uid="{AA3FD029-2A02-4922-A41B-72DC6EE848D0}">
      <formula1>$T$12:$T$13</formula1>
    </dataValidation>
    <dataValidation type="list" allowBlank="1" showInputMessage="1" showErrorMessage="1" sqref="B38 B50" xr:uid="{FDB67582-58B4-4938-B1AE-B689F7FBA4DC}">
      <formula1>$S$25:$S$55</formula1>
    </dataValidation>
    <dataValidation type="list" allowBlank="1" showInputMessage="1" showErrorMessage="1" sqref="B38" xr:uid="{407AA45A-A926-4C76-8CC7-F601A9A41E31}">
      <formula1>$S$24:$S$39</formula1>
    </dataValidation>
    <dataValidation type="list" allowBlank="1" showInputMessage="1" showErrorMessage="1" sqref="B15:B17 B47:B49" xr:uid="{48B54319-4521-4A71-8CF3-963332D8DB2C}">
      <formula1>$S$24:$S$48</formula1>
    </dataValidation>
    <dataValidation type="list" allowBlank="1" showInputMessage="1" showErrorMessage="1" sqref="C6" xr:uid="{F4FA398A-7F4A-4210-8635-2E25C1BFBB04}">
      <formula1>$S$50:$S$51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67" id="{00000000-000E-0000-0500-000005000000}">
            <xm:f>AND(C7=S12,'1-Hull'!B4&lt;100)</xm:f>
            <x14:dxf>
              <fill>
                <patternFill>
                  <bgColor theme="0" tint="-0.499984740745262"/>
                </patternFill>
              </fill>
            </x14:dxf>
          </x14:cfRule>
          <xm:sqref>B25</xm:sqref>
        </x14:conditionalFormatting>
        <x14:conditionalFormatting xmlns:xm="http://schemas.microsoft.com/office/excel/2006/main">
          <x14:cfRule type="expression" priority="1197" id="{00000000-000E-0000-0500-000005000000}">
            <xm:f>AND(C37=S36,'1-Hull'!A33&lt;100)</xm:f>
            <x14:dxf>
              <fill>
                <patternFill>
                  <bgColor theme="0" tint="-0.499984740745262"/>
                </patternFill>
              </fill>
            </x14:dxf>
          </x14:cfRule>
          <xm:sqref>B51</xm:sqref>
        </x14:conditionalFormatting>
        <x14:conditionalFormatting xmlns:xm="http://schemas.microsoft.com/office/excel/2006/main">
          <x14:cfRule type="expression" priority="9" id="{C5C7FACD-B8DB-4C4E-AA2B-01B85782F921}">
            <xm:f>AND(SUM($D$11,$D$19,$D$25,$D$33,$D$42,$D$51)&gt;0,'Ship Info'!$F$6)</xm:f>
            <x14:dxf>
              <font>
                <color theme="1"/>
              </font>
              <fill>
                <patternFill>
                  <bgColor rgb="FFFF0000"/>
                </patternFill>
              </fill>
            </x14:dxf>
          </x14:cfRule>
          <xm:sqref>G9:I9 D11 D19 D25 D33 D42 D51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A5CB2-3D2B-4816-B5EC-C30968F85095}">
  <dimension ref="A1:AA54"/>
  <sheetViews>
    <sheetView workbookViewId="0">
      <selection activeCell="D18" sqref="D18"/>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4" customWidth="1"/>
    <col min="8" max="8" width="10.6640625" customWidth="1"/>
    <col min="12" max="12" width="10.1640625" customWidth="1"/>
    <col min="15" max="15" width="14" customWidth="1"/>
    <col min="18" max="18" width="9.1640625" customWidth="1"/>
    <col min="19" max="19" width="31.83203125" hidden="1" customWidth="1"/>
    <col min="20" max="27" width="9.1640625" hidden="1" customWidth="1"/>
    <col min="28" max="28" width="9.1640625" customWidth="1"/>
  </cols>
  <sheetData>
    <row r="1" spans="1:27">
      <c r="A1" s="3" t="str">
        <f>'Ship Info'!A1</f>
        <v>Ship's Class Name</v>
      </c>
      <c r="B1" t="str">
        <f>'Ship Info'!B1</f>
        <v>Zhodani Long Range Scout</v>
      </c>
      <c r="D1" s="2"/>
      <c r="E1" s="2"/>
      <c r="F1" s="8" t="s">
        <v>1</v>
      </c>
      <c r="S1" s="3" t="s">
        <v>65</v>
      </c>
      <c r="T1" s="3" t="s">
        <v>2</v>
      </c>
      <c r="U1" s="3" t="s">
        <v>1</v>
      </c>
      <c r="V1" s="3" t="s">
        <v>26</v>
      </c>
      <c r="W1" s="3" t="s">
        <v>66</v>
      </c>
      <c r="X1" s="3" t="s">
        <v>67</v>
      </c>
    </row>
    <row r="2" spans="1:27">
      <c r="A2" s="3" t="s">
        <v>432</v>
      </c>
      <c r="B2" t="str">
        <f>'Ship Info'!B2</f>
        <v>Scout</v>
      </c>
      <c r="D2" t="s">
        <v>0</v>
      </c>
      <c r="E2" s="2">
        <f>Tech_Level</f>
        <v>14</v>
      </c>
      <c r="F2" s="4">
        <f>'Ship Info'!G2</f>
        <v>621511800.00000012</v>
      </c>
      <c r="S2" t="s">
        <v>68</v>
      </c>
      <c r="T2">
        <f>D11/W2</f>
        <v>2.5</v>
      </c>
      <c r="U2">
        <f>10000000*(T2)</f>
        <v>25000000</v>
      </c>
      <c r="V2">
        <v>20</v>
      </c>
      <c r="W2">
        <v>100</v>
      </c>
      <c r="X2">
        <f>IF(T2=0,0,IF(T2&lt;10,IF(AND(B4&lt;100,'4-Fuel'!C5=S14),0.1*(T2+H12),1),0.1*(T2+H12)))</f>
        <v>1</v>
      </c>
    </row>
    <row r="3" spans="1:27">
      <c r="B3" s="24" t="str">
        <f>'1-Hull'!B3</f>
        <v>High Automation - Costs x 2</v>
      </c>
      <c r="D3" s="2"/>
      <c r="E3" s="2"/>
      <c r="G3" s="28"/>
      <c r="H3" s="506">
        <f>S38</f>
        <v>15</v>
      </c>
      <c r="I3" s="78"/>
      <c r="S3" t="s">
        <v>69</v>
      </c>
      <c r="T3">
        <f>D11/W3</f>
        <v>50</v>
      </c>
      <c r="U3">
        <f>(T3)*0.25*1000000</f>
        <v>12500000</v>
      </c>
      <c r="V3">
        <v>7</v>
      </c>
      <c r="W3">
        <v>5</v>
      </c>
      <c r="X3">
        <f>20*(T3+H12)</f>
        <v>966.66666666666674</v>
      </c>
      <c r="Z3" t="s">
        <v>968</v>
      </c>
    </row>
    <row r="4" spans="1:27">
      <c r="A4" t="s">
        <v>2</v>
      </c>
      <c r="B4" s="263">
        <f>'1-Hull'!B4</f>
        <v>300</v>
      </c>
      <c r="D4" s="2"/>
      <c r="E4" s="2"/>
      <c r="F4" s="508" t="s">
        <v>45</v>
      </c>
      <c r="H4" s="787" t="s">
        <v>46</v>
      </c>
      <c r="I4" s="787"/>
      <c r="K4" s="787" t="s">
        <v>47</v>
      </c>
      <c r="L4" s="787"/>
      <c r="S4" t="s">
        <v>70</v>
      </c>
      <c r="T4">
        <f>D11/W4</f>
        <v>31.25</v>
      </c>
      <c r="U4">
        <f>(T4)*400000</f>
        <v>12500000</v>
      </c>
      <c r="V4">
        <v>6</v>
      </c>
      <c r="W4">
        <v>8</v>
      </c>
      <c r="X4">
        <f>IF(T4=0,0,IF((T4+$H$12)&lt;10,IF(AND($B$4&lt;100,'4-Fuel'!C5=$S$14),0.1*(T4+$H$12),1),0.1*(T4+$H$12)))</f>
        <v>2.9583333333333335</v>
      </c>
      <c r="Z4" s="44" t="str">
        <f>VLOOKUP(B12,S16:Z29,8)</f>
        <v>Easy to repair</v>
      </c>
      <c r="AA4" s="47"/>
    </row>
    <row r="5" spans="1:27">
      <c r="F5" s="505">
        <f>SUM(F11:F22)</f>
        <v>41666666.666666672</v>
      </c>
      <c r="H5" s="1" t="s">
        <v>403</v>
      </c>
      <c r="I5" s="1" t="s">
        <v>27</v>
      </c>
      <c r="K5" s="1" t="s">
        <v>403</v>
      </c>
      <c r="L5" s="1" t="s">
        <v>27</v>
      </c>
      <c r="S5" t="s">
        <v>71</v>
      </c>
      <c r="T5">
        <f>D11/W5</f>
        <v>25</v>
      </c>
      <c r="U5">
        <f>(T5)*500000</f>
        <v>12500000</v>
      </c>
      <c r="V5">
        <v>8</v>
      </c>
      <c r="W5">
        <v>10</v>
      </c>
      <c r="X5">
        <f>IF(T5=0,0,IF((T5+$H$12)&lt;10,IF(AND($B$4&lt;100,'4-Fuel'!C5=$S$14),0.1*(T5+$H$12),1),0.1*(T5+$H$12)))</f>
        <v>2.3333333333333335</v>
      </c>
      <c r="Z5" s="78" t="str">
        <f>VLOOKUP(B13,S16:Z29,8)</f>
        <v>Small</v>
      </c>
      <c r="AA5" s="46"/>
    </row>
    <row r="6" spans="1:27">
      <c r="H6" s="10">
        <f>'Ship Info'!I3</f>
        <v>2.6000000000000227</v>
      </c>
      <c r="I6" s="270">
        <f>'1-Hull'!I6</f>
        <v>300</v>
      </c>
      <c r="K6" s="270">
        <f>'Ship Info'!L3</f>
        <v>7</v>
      </c>
      <c r="L6" s="270">
        <f>SUM(D11,L12)</f>
        <v>250</v>
      </c>
      <c r="S6" t="s">
        <v>72</v>
      </c>
      <c r="T6">
        <f>D11/W6</f>
        <v>16.666666666666668</v>
      </c>
      <c r="U6">
        <f>(T6)*1000000</f>
        <v>16666666.666666668</v>
      </c>
      <c r="V6">
        <v>12</v>
      </c>
      <c r="W6">
        <v>15</v>
      </c>
      <c r="X6">
        <f>IF(T6=0,0,IF((T6+$H$12)&lt;10,IF(AND($B$4&lt;100,'4-Fuel'!C5=$S$14),0.1*(T6+$H$12),1),0.1*(T6+$H$12)))</f>
        <v>1.5</v>
      </c>
      <c r="Z6" s="78" t="str">
        <f>VLOOKUP(B14,S16:Z29,8)</f>
        <v/>
      </c>
      <c r="AA6" s="46"/>
    </row>
    <row r="7" spans="1:27">
      <c r="B7" s="3"/>
      <c r="C7" s="2"/>
      <c r="H7" s="1" t="s">
        <v>48</v>
      </c>
      <c r="I7" s="2"/>
      <c r="K7" s="2"/>
      <c r="L7" s="2"/>
      <c r="S7" t="s">
        <v>73</v>
      </c>
      <c r="T7">
        <f>D11/W7</f>
        <v>12.5</v>
      </c>
      <c r="U7">
        <f>(T7)*2000000</f>
        <v>25000000</v>
      </c>
      <c r="V7">
        <v>15</v>
      </c>
      <c r="W7">
        <v>20</v>
      </c>
      <c r="X7">
        <f>IF(T7=0,0,IF((T7+$H$12)&lt;10,IF(AND($B$4&lt;100,'4-Fuel'!C5=$S$14),0.1*(T7+$H$12),1),0.1*(T7+$H$12)))</f>
        <v>1.0833333333333333</v>
      </c>
      <c r="Z7" s="78"/>
      <c r="AA7" s="46"/>
    </row>
    <row r="8" spans="1:27">
      <c r="H8" s="2"/>
      <c r="I8" s="2"/>
      <c r="K8" s="2"/>
      <c r="L8" s="2"/>
      <c r="N8" s="3" t="s">
        <v>945</v>
      </c>
      <c r="Z8" s="78" t="str">
        <f>IF(Z4=Z16,"",Z4)</f>
        <v>Easy to repair</v>
      </c>
      <c r="AA8" s="46" t="str">
        <f>IF(Z8="","",IF(AND(Z4=Z5,Z4=Z6)," x3",IF(OR(Z4=Z5,Z4=Z6)," x2","")))</f>
        <v/>
      </c>
    </row>
    <row r="9" spans="1:27">
      <c r="A9" s="5" t="s">
        <v>49</v>
      </c>
      <c r="E9" s="5" t="s">
        <v>26</v>
      </c>
      <c r="N9" s="108" t="s">
        <v>930</v>
      </c>
      <c r="O9" s="327">
        <f>'1-Hull'!K10</f>
        <v>60</v>
      </c>
      <c r="S9">
        <f>VLOOKUP(B11,S2:V7,4)</f>
        <v>12</v>
      </c>
      <c r="Z9" s="78" t="str">
        <f>IF(OR(Z8="",Z5="",Z5=Z4),"",", ")&amp;IF(OR(Z5=Z4,Z5=Z16),"",Z5)</f>
        <v>, Small</v>
      </c>
      <c r="AA9" s="46" t="str">
        <f>IF(Z5="","",IF(Z5=Z6," x2",""))</f>
        <v/>
      </c>
    </row>
    <row r="10" spans="1:27" ht="16" thickBot="1">
      <c r="C10" s="1" t="s">
        <v>127</v>
      </c>
      <c r="N10" s="105" t="s">
        <v>938</v>
      </c>
      <c r="O10" s="328">
        <f>SUM('1-Hull'!K13:K19)</f>
        <v>0</v>
      </c>
      <c r="S10" t="s">
        <v>99</v>
      </c>
      <c r="T10">
        <v>0</v>
      </c>
      <c r="U10">
        <v>0</v>
      </c>
      <c r="V10">
        <v>0</v>
      </c>
      <c r="Z10" s="86" t="str">
        <f>IF(OR(AND(Z8="",Z9=""),Z6="",Z6=Z4,Z6=Z5),"",", ")&amp;IF(OR(Z6=Z4,Z6=Z5,Z6=Z16),"",Z6)</f>
        <v/>
      </c>
      <c r="AA10" s="79"/>
    </row>
    <row r="11" spans="1:27" ht="16" thickBot="1">
      <c r="A11" s="7" t="s">
        <v>64</v>
      </c>
      <c r="B11" s="197" t="s">
        <v>72</v>
      </c>
      <c r="C11" s="3" t="s">
        <v>74</v>
      </c>
      <c r="D11" s="235">
        <v>250</v>
      </c>
      <c r="E11">
        <f>VLOOKUP(B11,S2:V7,4)+SUM(E12:E14)</f>
        <v>14</v>
      </c>
      <c r="F11" s="4">
        <f>VLOOKUP(B11,S2:U7,3)*'Ship Info'!G31</f>
        <v>33333333.333333336</v>
      </c>
      <c r="H11" s="4">
        <f>VLOOKUP(B11,S2:T7,2)</f>
        <v>16.666666666666668</v>
      </c>
      <c r="L11" s="2"/>
      <c r="N11" s="108" t="s">
        <v>931</v>
      </c>
      <c r="O11" s="327">
        <f>'2-Drives'!K11+'2-Drives'!K15</f>
        <v>45</v>
      </c>
      <c r="S11" t="s">
        <v>105</v>
      </c>
      <c r="T11">
        <v>100000</v>
      </c>
      <c r="U11">
        <v>40</v>
      </c>
      <c r="V11">
        <v>10</v>
      </c>
    </row>
    <row r="12" spans="1:27" ht="16" thickBot="1">
      <c r="A12" s="7" t="s">
        <v>123</v>
      </c>
      <c r="B12" s="252" t="s">
        <v>2425</v>
      </c>
      <c r="C12" s="2"/>
      <c r="D12" t="str">
        <f>IF(T45,"Error: Module","")</f>
        <v/>
      </c>
      <c r="E12">
        <f>VLOOKUP(B12,S16:V29,4)</f>
        <v>1</v>
      </c>
      <c r="F12" s="4">
        <f>U33</f>
        <v>8333333.333333334</v>
      </c>
      <c r="H12" s="4">
        <f>VLOOKUP(B12,S16:W29,2)+VLOOKUP(B13,S16:W29,2)+VLOOKUP(B14,S16:W29,2)</f>
        <v>-1.666666666666667</v>
      </c>
      <c r="L12" s="270">
        <f>VLOOKUP(B12,S16:Y29,5)+VLOOKUP(B13,S16:Y29,5)+VLOOKUP(B14,S16:Y29,5)</f>
        <v>0</v>
      </c>
      <c r="N12" s="105" t="s">
        <v>932</v>
      </c>
      <c r="O12" s="328">
        <f>'2-Drives'!K25+'2-Drives'!K28</f>
        <v>90</v>
      </c>
      <c r="S12" t="s">
        <v>106</v>
      </c>
      <c r="T12">
        <v>200000</v>
      </c>
      <c r="U12">
        <v>60</v>
      </c>
      <c r="V12">
        <v>12</v>
      </c>
      <c r="Z12" t="str">
        <f>Z8&amp;AA8&amp;Z9&amp;AA9&amp;Z10</f>
        <v>Easy to repair, Small</v>
      </c>
    </row>
    <row r="13" spans="1:27" ht="16" thickBot="1">
      <c r="B13" s="252" t="s">
        <v>2424</v>
      </c>
      <c r="D13" s="2" t="s">
        <v>818</v>
      </c>
      <c r="E13">
        <f>VLOOKUP(B13,S16:V29,4)</f>
        <v>1</v>
      </c>
      <c r="N13" s="108" t="s">
        <v>933</v>
      </c>
      <c r="O13" s="329">
        <f>'2-Drives'!K42+'2-Drives'!K47</f>
        <v>0</v>
      </c>
      <c r="P13" s="205" t="s">
        <v>100</v>
      </c>
      <c r="Q13" s="3" t="s">
        <v>1240</v>
      </c>
      <c r="S13" t="s">
        <v>99</v>
      </c>
      <c r="T13">
        <v>0</v>
      </c>
      <c r="U13">
        <v>0</v>
      </c>
    </row>
    <row r="14" spans="1:27" ht="16" thickBot="1">
      <c r="B14" s="252" t="s">
        <v>829</v>
      </c>
      <c r="D14" s="2">
        <f>VLOOKUP(B12,S16:Z29,7)+VLOOKUP(B13,S16:Z29,7)+VLOOKUP(B14,S16:Z29,7)</f>
        <v>2</v>
      </c>
      <c r="E14">
        <f>VLOOKUP(B14,S16:V29,4)</f>
        <v>0</v>
      </c>
      <c r="N14" s="105" t="s">
        <v>934</v>
      </c>
      <c r="O14" s="328">
        <f>'2-Drives'!K51+'2-Drives'!K54</f>
        <v>0</v>
      </c>
      <c r="S14" t="s">
        <v>100</v>
      </c>
      <c r="T14">
        <v>1</v>
      </c>
      <c r="U14">
        <v>14</v>
      </c>
    </row>
    <row r="15" spans="1:27" ht="16" thickBot="1">
      <c r="B15" s="7" t="s">
        <v>104</v>
      </c>
      <c r="C15" s="253" t="s">
        <v>99</v>
      </c>
      <c r="F15" s="4" t="str">
        <f>IF(C15=S14,0.1*(F11+F12)*'Ship Info'!G31," ")</f>
        <v xml:space="preserve"> </v>
      </c>
      <c r="H15" t="str">
        <f>IF(C15=S14,0.1*(H11+H12),"")</f>
        <v/>
      </c>
      <c r="L15" s="10" t="str">
        <f>IF(C15=S14,0.9*L6," ")</f>
        <v xml:space="preserve"> </v>
      </c>
      <c r="N15" s="108" t="s">
        <v>67</v>
      </c>
      <c r="O15" s="330">
        <f>'4-Fuel'!S23</f>
        <v>5</v>
      </c>
    </row>
    <row r="16" spans="1:27" ht="16" thickBot="1">
      <c r="B16" s="7" t="s">
        <v>98</v>
      </c>
      <c r="C16" s="253" t="s">
        <v>99</v>
      </c>
      <c r="F16" s="4" t="str">
        <f>IF(C16=S14,200000*H16*'Ship Info'!G31,"")</f>
        <v/>
      </c>
      <c r="H16" t="str">
        <f>IF(C16=S14,0.1*(H11+H12+H18+H20),"")</f>
        <v/>
      </c>
      <c r="L16" s="2"/>
      <c r="N16" s="105" t="s">
        <v>609</v>
      </c>
      <c r="O16" s="331">
        <f>'7-Sensors'!S17</f>
        <v>21</v>
      </c>
      <c r="S16" t="s">
        <v>829</v>
      </c>
      <c r="T16">
        <v>0</v>
      </c>
      <c r="U16">
        <v>0</v>
      </c>
      <c r="V16">
        <v>0</v>
      </c>
      <c r="W16">
        <v>0</v>
      </c>
      <c r="Y16">
        <v>0</v>
      </c>
      <c r="Z16" t="str">
        <f>""</f>
        <v/>
      </c>
    </row>
    <row r="17" spans="1:26" ht="16" thickBot="1">
      <c r="C17" s="2"/>
      <c r="D17" s="1" t="s">
        <v>108</v>
      </c>
      <c r="L17" s="2"/>
      <c r="N17" s="108" t="s">
        <v>935</v>
      </c>
      <c r="O17" s="327">
        <f>'8a-Weapons'!Q9</f>
        <v>21</v>
      </c>
      <c r="S17" t="s">
        <v>830</v>
      </c>
      <c r="T17">
        <f>0.25*H11</f>
        <v>4.166666666666667</v>
      </c>
      <c r="U17">
        <f>-0.25*F11</f>
        <v>-8333333.333333334</v>
      </c>
      <c r="V17">
        <v>0</v>
      </c>
      <c r="W17">
        <v>0</v>
      </c>
      <c r="Y17">
        <v>3</v>
      </c>
      <c r="Z17" t="s">
        <v>955</v>
      </c>
    </row>
    <row r="18" spans="1:26" ht="16" thickBot="1">
      <c r="B18" s="7" t="s">
        <v>107</v>
      </c>
      <c r="C18" s="253" t="s">
        <v>99</v>
      </c>
      <c r="D18" s="404">
        <v>0</v>
      </c>
      <c r="E18">
        <f>VLOOKUP(C18,S10:V12,4)</f>
        <v>0</v>
      </c>
      <c r="F18" s="4">
        <f>VLOOKUP(C18,S10:U12,2)*D18*'Ship Info'!G31</f>
        <v>0</v>
      </c>
      <c r="H18" s="4">
        <f>IF(C18=S10,0,D18)</f>
        <v>0</v>
      </c>
      <c r="L18" s="270">
        <f>VLOOKUP(C18,S10:U12,3)*D18</f>
        <v>0</v>
      </c>
      <c r="N18" s="105" t="s">
        <v>936</v>
      </c>
      <c r="O18" s="331">
        <f>SUM('8b-Screens'!K9:K22)</f>
        <v>0</v>
      </c>
      <c r="S18" t="s">
        <v>903</v>
      </c>
      <c r="T18">
        <v>0</v>
      </c>
      <c r="U18">
        <f>-0.25*F11</f>
        <v>-8333333.333333334</v>
      </c>
      <c r="V18">
        <v>0</v>
      </c>
      <c r="W18">
        <f>-0.25*D11</f>
        <v>-62.5</v>
      </c>
      <c r="Y18">
        <v>3</v>
      </c>
      <c r="Z18" t="s">
        <v>956</v>
      </c>
    </row>
    <row r="19" spans="1:26" ht="16" thickBot="1">
      <c r="C19" s="2"/>
      <c r="D19" s="1" t="s">
        <v>1709</v>
      </c>
      <c r="H19" s="4"/>
      <c r="L19" s="270"/>
      <c r="N19" s="108" t="s">
        <v>637</v>
      </c>
      <c r="O19" s="330">
        <f>SUM('9b-Optional'!K9:K33,'9a-Optional'!K10:K66)</f>
        <v>1</v>
      </c>
      <c r="S19" t="s">
        <v>833</v>
      </c>
      <c r="T19">
        <v>0</v>
      </c>
      <c r="U19">
        <f>-0.1*F11</f>
        <v>-3333333.333333334</v>
      </c>
      <c r="V19">
        <v>1</v>
      </c>
      <c r="W19">
        <v>0</v>
      </c>
      <c r="Y19">
        <v>3</v>
      </c>
      <c r="Z19" t="s">
        <v>957</v>
      </c>
    </row>
    <row r="20" spans="1:26" ht="16" thickBot="1">
      <c r="A20" s="119" t="s">
        <v>1015</v>
      </c>
      <c r="B20" s="7" t="s">
        <v>214</v>
      </c>
      <c r="C20" s="253" t="s">
        <v>99</v>
      </c>
      <c r="D20" s="404">
        <v>0</v>
      </c>
      <c r="E20">
        <f>VLOOKUP(C20,S13:U14,3)</f>
        <v>0</v>
      </c>
      <c r="F20" s="4">
        <f>H20*500000*'Ship Info'!G31</f>
        <v>0</v>
      </c>
      <c r="H20" s="4">
        <f>IF(AND('2-Drives'!B25=" No FTL",'2-Drives'!B51=" No FTL"),0,IF(MAX('2-Drives'!D25,'2-Drives'!D51)=0,0, (MAX('2-Drives'!D25,'2-Drives'!D51)*(0.01*'2-Drives'!C4)+5)*D20*VLOOKUP(C20,S13:U14,2)))</f>
        <v>0</v>
      </c>
      <c r="K20" s="2"/>
      <c r="L20" s="263"/>
      <c r="N20" s="105" t="s">
        <v>937</v>
      </c>
      <c r="O20" s="328">
        <f>SUM('11-Staterooms'!K15:K60)</f>
        <v>0</v>
      </c>
      <c r="S20" t="s">
        <v>834</v>
      </c>
      <c r="T20">
        <v>0</v>
      </c>
      <c r="U20">
        <f>-0.15*F11</f>
        <v>-5000000</v>
      </c>
      <c r="V20">
        <v>2</v>
      </c>
      <c r="W20">
        <v>0</v>
      </c>
      <c r="Y20">
        <v>3</v>
      </c>
      <c r="Z20" t="s">
        <v>958</v>
      </c>
    </row>
    <row r="21" spans="1:26" ht="16" thickBot="1">
      <c r="D21" s="1" t="s">
        <v>1657</v>
      </c>
      <c r="L21" s="263"/>
      <c r="N21" s="108" t="s">
        <v>610</v>
      </c>
      <c r="O21" s="330">
        <f>SUM('12-Cargo'!K9:K50)</f>
        <v>0</v>
      </c>
      <c r="S21" t="s">
        <v>835</v>
      </c>
      <c r="T21">
        <v>0</v>
      </c>
      <c r="U21">
        <f>-0.2*F11</f>
        <v>-6666666.6666666679</v>
      </c>
      <c r="V21">
        <v>3</v>
      </c>
      <c r="W21">
        <v>0</v>
      </c>
      <c r="Y21">
        <v>3</v>
      </c>
      <c r="Z21" t="s">
        <v>959</v>
      </c>
    </row>
    <row r="22" spans="1:26" ht="16" thickBot="1">
      <c r="B22" s="7" t="s">
        <v>1652</v>
      </c>
      <c r="C22" s="252" t="s">
        <v>99</v>
      </c>
      <c r="D22" s="404">
        <v>0</v>
      </c>
      <c r="E22">
        <f>INDEX(S48:V52,MATCH(C22,S48:S52,0),2)</f>
        <v>0</v>
      </c>
      <c r="F22" s="4">
        <f>INDEX(S48:V52,MATCH(C22,S48:S52,0),4)*D22</f>
        <v>0</v>
      </c>
      <c r="H22" s="4">
        <f>IF(C22=S48,0,D22)</f>
        <v>0</v>
      </c>
      <c r="L22" s="270">
        <f>INDEX(S48:V52,MATCH(C22,S48:S52,0),3)*D22</f>
        <v>0</v>
      </c>
      <c r="N22" s="105" t="s">
        <v>1667</v>
      </c>
      <c r="O22" s="328">
        <f>SUM('2-Drives'!K14,'2-Drives'!K45)</f>
        <v>0</v>
      </c>
      <c r="S22" t="s">
        <v>2424</v>
      </c>
      <c r="T22">
        <f>-0.1*H11</f>
        <v>-1.666666666666667</v>
      </c>
      <c r="U22">
        <v>0</v>
      </c>
      <c r="V22">
        <v>1</v>
      </c>
      <c r="W22">
        <v>0</v>
      </c>
      <c r="Y22">
        <v>1</v>
      </c>
      <c r="Z22" t="s">
        <v>961</v>
      </c>
    </row>
    <row r="23" spans="1:26">
      <c r="N23" s="105" t="s">
        <v>943</v>
      </c>
      <c r="O23" s="332">
        <f>SUM(O9:O10,O11,O13,MAX(O12,O14),O15:O22)</f>
        <v>243</v>
      </c>
      <c r="S23" t="s">
        <v>2425</v>
      </c>
      <c r="T23">
        <v>0</v>
      </c>
      <c r="U23">
        <v>0</v>
      </c>
      <c r="V23">
        <v>1</v>
      </c>
      <c r="W23">
        <v>0</v>
      </c>
      <c r="Y23">
        <v>1</v>
      </c>
      <c r="Z23" t="s">
        <v>962</v>
      </c>
    </row>
    <row r="24" spans="1:26">
      <c r="S24" t="s">
        <v>2423</v>
      </c>
      <c r="T24">
        <v>0</v>
      </c>
      <c r="U24">
        <v>0</v>
      </c>
      <c r="V24">
        <v>2</v>
      </c>
      <c r="W24">
        <f>0.1*D11</f>
        <v>25</v>
      </c>
      <c r="Y24">
        <v>2</v>
      </c>
      <c r="Z24" t="s">
        <v>2426</v>
      </c>
    </row>
    <row r="25" spans="1:26">
      <c r="B25" t="s">
        <v>940</v>
      </c>
      <c r="N25" s="840" t="s">
        <v>946</v>
      </c>
      <c r="O25" s="841"/>
      <c r="S25" t="s">
        <v>840</v>
      </c>
      <c r="T25">
        <f>0.25*H11</f>
        <v>4.166666666666667</v>
      </c>
      <c r="U25">
        <f>5*F11</f>
        <v>166666666.66666669</v>
      </c>
      <c r="V25">
        <v>-1</v>
      </c>
      <c r="W25">
        <v>0</v>
      </c>
      <c r="Y25">
        <v>3</v>
      </c>
      <c r="Z25" t="s">
        <v>963</v>
      </c>
    </row>
    <row r="26" spans="1:26">
      <c r="B26" t="s">
        <v>939</v>
      </c>
      <c r="N26" s="114" t="s">
        <v>944</v>
      </c>
      <c r="O26" s="331">
        <f>SUM(O9/2,O11,IF(P13="Yes",O13,0),O16:O18)</f>
        <v>117</v>
      </c>
      <c r="S26" t="s">
        <v>847</v>
      </c>
      <c r="T26">
        <v>0</v>
      </c>
      <c r="U26">
        <f>5*F11</f>
        <v>166666666.66666669</v>
      </c>
      <c r="V26">
        <v>-1</v>
      </c>
      <c r="W26">
        <f>-0.25*D11</f>
        <v>-62.5</v>
      </c>
      <c r="Y26">
        <v>3</v>
      </c>
      <c r="Z26" t="s">
        <v>964</v>
      </c>
    </row>
    <row r="27" spans="1:26">
      <c r="B27" t="s">
        <v>941</v>
      </c>
      <c r="M27" t="s">
        <v>947</v>
      </c>
      <c r="N27" s="110" t="str">
        <f>"+10%"</f>
        <v>+10%</v>
      </c>
      <c r="O27" s="330">
        <f>ROUNDUP(O26/0.9,0)</f>
        <v>130</v>
      </c>
      <c r="S27" t="s">
        <v>850</v>
      </c>
      <c r="T27">
        <f>1.5*H11</f>
        <v>25</v>
      </c>
      <c r="U27">
        <f>10*F11</f>
        <v>333333333.33333337</v>
      </c>
      <c r="V27">
        <v>-2</v>
      </c>
      <c r="W27">
        <v>0</v>
      </c>
      <c r="Y27">
        <v>3</v>
      </c>
      <c r="Z27" t="s">
        <v>965</v>
      </c>
    </row>
    <row r="28" spans="1:26">
      <c r="M28" t="s">
        <v>948</v>
      </c>
      <c r="N28" s="109" t="str">
        <f>"+20%"</f>
        <v>+20%</v>
      </c>
      <c r="O28" s="328">
        <f>ROUNDUP(O26/0.8,0)</f>
        <v>147</v>
      </c>
      <c r="S28" t="s">
        <v>904</v>
      </c>
      <c r="T28">
        <f>1*H11</f>
        <v>16.666666666666668</v>
      </c>
      <c r="U28">
        <f>10*F11</f>
        <v>333333333.33333337</v>
      </c>
      <c r="V28">
        <v>-2</v>
      </c>
      <c r="W28">
        <f>-0.5*D11</f>
        <v>-125</v>
      </c>
      <c r="Y28">
        <v>3</v>
      </c>
      <c r="Z28" t="s">
        <v>966</v>
      </c>
    </row>
    <row r="29" spans="1:26">
      <c r="B29" t="s">
        <v>942</v>
      </c>
      <c r="M29" t="s">
        <v>949</v>
      </c>
      <c r="N29" s="110" t="str">
        <f>"+70%"</f>
        <v>+70%</v>
      </c>
      <c r="O29" s="330">
        <f>ROUNDUP(O26/0.3,0)</f>
        <v>390</v>
      </c>
      <c r="S29" t="s">
        <v>852</v>
      </c>
      <c r="T29">
        <f>1.25*H11</f>
        <v>20.833333333333336</v>
      </c>
      <c r="U29">
        <f>10*F11</f>
        <v>333333333.33333337</v>
      </c>
      <c r="V29">
        <v>-3</v>
      </c>
      <c r="W29">
        <f>-0.25*D11</f>
        <v>-62.5</v>
      </c>
      <c r="Y29">
        <v>3</v>
      </c>
      <c r="Z29" t="s">
        <v>967</v>
      </c>
    </row>
    <row r="31" spans="1:26">
      <c r="B31" t="s">
        <v>950</v>
      </c>
      <c r="S31" t="str">
        <f>B11&amp;", Output: "&amp;D11&amp;IF(AND(Z4="",Z5="",Z6=""),"",", "&amp;Z8&amp;AA8&amp;Z9&amp;AA9&amp;Z10)&amp;IF(C15=S13,"",", Emergency Power")&amp;IF(C16=S13,"",", Armored")&amp;IF(C18=S10,"",", "&amp;D18&amp;"x "&amp;C18&amp;" Batteries")&amp;IF(C20=S13,"",", Jump Collectors x"&amp;D20)&amp;IF(D22&gt;0,", "&amp;D22&amp;" Units of "&amp;C22&amp;" Solar Panels: "&amp;L22&amp;" Base Power","")</f>
        <v>Fusion TL 12, Output: 250, Easy to repair, Small</v>
      </c>
    </row>
    <row r="32" spans="1:26">
      <c r="B32" t="s">
        <v>951</v>
      </c>
    </row>
    <row r="33" spans="19:24">
      <c r="T33" t="s">
        <v>123</v>
      </c>
      <c r="U33">
        <f>IF(SUM(U34:U36)=0,VLOOKUP(SUM(E12:E14),V40:X43,3)*F11,SUM(U34:U36))</f>
        <v>8333333.333333334</v>
      </c>
    </row>
    <row r="34" spans="19:24">
      <c r="T34">
        <v>1</v>
      </c>
      <c r="U34">
        <f>VLOOKUP(B12,S16:U29,3)</f>
        <v>0</v>
      </c>
    </row>
    <row r="35" spans="19:24">
      <c r="T35">
        <v>2</v>
      </c>
      <c r="U35">
        <f>VLOOKUP(B13,S16:U29,3)</f>
        <v>0</v>
      </c>
    </row>
    <row r="36" spans="19:24">
      <c r="T36">
        <v>3</v>
      </c>
      <c r="U36">
        <f>VLOOKUP(B14,S16:U29,3)</f>
        <v>0</v>
      </c>
    </row>
    <row r="37" spans="19:24">
      <c r="S37" t="s">
        <v>399</v>
      </c>
    </row>
    <row r="38" spans="19:24">
      <c r="S38">
        <f>SUM(H11:H22)</f>
        <v>15</v>
      </c>
    </row>
    <row r="39" spans="19:24">
      <c r="V39" t="s">
        <v>845</v>
      </c>
    </row>
    <row r="40" spans="19:24">
      <c r="S40" s="9" t="s">
        <v>769</v>
      </c>
      <c r="T40">
        <f>SUM(T41:T45)</f>
        <v>0</v>
      </c>
      <c r="V40">
        <v>0</v>
      </c>
      <c r="X40">
        <v>0</v>
      </c>
    </row>
    <row r="41" spans="19:24">
      <c r="S41" s="9" t="s">
        <v>789</v>
      </c>
      <c r="T41">
        <f>IF(E11&gt;E2,1,0)</f>
        <v>0</v>
      </c>
      <c r="V41">
        <v>1</v>
      </c>
      <c r="X41">
        <v>0.1</v>
      </c>
    </row>
    <row r="42" spans="19:24">
      <c r="S42" s="9" t="s">
        <v>905</v>
      </c>
      <c r="T42">
        <f>IF(D14&gt;3,1,0)</f>
        <v>0</v>
      </c>
      <c r="V42">
        <v>2</v>
      </c>
      <c r="X42">
        <v>0.25</v>
      </c>
    </row>
    <row r="43" spans="19:24">
      <c r="S43" s="9" t="s">
        <v>790</v>
      </c>
      <c r="T43">
        <f>IF(E18&gt;E2,1,0)</f>
        <v>0</v>
      </c>
      <c r="V43">
        <v>3</v>
      </c>
      <c r="X43">
        <v>0.5</v>
      </c>
    </row>
    <row r="44" spans="19:24">
      <c r="S44" s="9" t="s">
        <v>1016</v>
      </c>
      <c r="T44">
        <f>IF(E20&gt;E2,1,0)</f>
        <v>0</v>
      </c>
    </row>
    <row r="45" spans="19:24">
      <c r="S45" s="9" t="s">
        <v>1462</v>
      </c>
      <c r="T45">
        <f>IF(AND(U45,SUM('3-Pwr Plant'!H11:H12)&gt;0),1,0)</f>
        <v>0</v>
      </c>
      <c r="U45">
        <f>IF('Ship Info'!F7,IF(AND('Ship Info'!F7,'Ship Info'!I6="Yes"),0,1),0)</f>
        <v>0</v>
      </c>
      <c r="V45" t="s">
        <v>2180</v>
      </c>
    </row>
    <row r="47" spans="19:24">
      <c r="S47" s="16" t="s">
        <v>1653</v>
      </c>
      <c r="T47" t="s">
        <v>26</v>
      </c>
      <c r="U47" t="s">
        <v>1656</v>
      </c>
      <c r="V47" t="s">
        <v>1</v>
      </c>
    </row>
    <row r="48" spans="19:24">
      <c r="S48" s="9" t="s">
        <v>99</v>
      </c>
      <c r="T48">
        <v>0</v>
      </c>
      <c r="U48">
        <v>0</v>
      </c>
      <c r="V48">
        <v>0</v>
      </c>
    </row>
    <row r="49" spans="19:22">
      <c r="S49" s="9" t="s">
        <v>930</v>
      </c>
      <c r="T49">
        <v>6</v>
      </c>
      <c r="U49">
        <v>0.25</v>
      </c>
      <c r="V49">
        <v>100000</v>
      </c>
    </row>
    <row r="50" spans="19:22">
      <c r="S50" s="9" t="s">
        <v>1654</v>
      </c>
      <c r="T50">
        <v>8</v>
      </c>
      <c r="U50">
        <v>0.5</v>
      </c>
      <c r="V50">
        <v>200000</v>
      </c>
    </row>
    <row r="51" spans="19:22">
      <c r="S51" s="9" t="s">
        <v>1655</v>
      </c>
      <c r="T51">
        <v>10</v>
      </c>
      <c r="U51">
        <v>1</v>
      </c>
      <c r="V51">
        <v>300000</v>
      </c>
    </row>
    <row r="52" spans="19:22">
      <c r="S52" s="9" t="s">
        <v>595</v>
      </c>
      <c r="T52">
        <v>12</v>
      </c>
      <c r="U52">
        <v>2</v>
      </c>
      <c r="V52">
        <v>400000</v>
      </c>
    </row>
    <row r="53" spans="19:22">
      <c r="S53" s="9" t="s">
        <v>1671</v>
      </c>
    </row>
    <row r="54" spans="19:22">
      <c r="S54">
        <f>IF(MAX('2-Drives'!D25,'2-Drives'!D51)=0,0,1)</f>
        <v>1</v>
      </c>
    </row>
  </sheetData>
  <sheetProtection algorithmName="SHA-512" hashValue="pJl7H15fun/ryBBG6wMcfUoiGDVN6GJRqchce0/PtxqrkxSBxH2TPT92Scs/dlx18uTyJrm6LY4DDQuWGDC1Dw==" saltValue="yel3lHccIG+pemKrFj0FiA==" spinCount="100000" sheet="1" selectLockedCells="1"/>
  <sortState xmlns:xlrd2="http://schemas.microsoft.com/office/spreadsheetml/2017/richdata2" ref="S22:Z24">
    <sortCondition ref="S22:S24"/>
  </sortState>
  <mergeCells count="3">
    <mergeCell ref="H4:I4"/>
    <mergeCell ref="K4:L4"/>
    <mergeCell ref="N25:O25"/>
  </mergeCells>
  <conditionalFormatting sqref="A20:D20">
    <cfRule type="expression" dxfId="592" priority="6" stopIfTrue="1">
      <formula>AND($C$20="Yes",$S$54=0)</formula>
    </cfRule>
  </conditionalFormatting>
  <conditionalFormatting sqref="B11">
    <cfRule type="expression" dxfId="591" priority="139">
      <formula>$S$9&gt;$E$2</formula>
    </cfRule>
  </conditionalFormatting>
  <conditionalFormatting sqref="B12:B14">
    <cfRule type="cellIs" priority="20" operator="equal">
      <formula>$S$16</formula>
    </cfRule>
    <cfRule type="cellIs" dxfId="590" priority="17" operator="equal">
      <formula>$S$16</formula>
    </cfRule>
  </conditionalFormatting>
  <conditionalFormatting sqref="C7">
    <cfRule type="cellIs" dxfId="589" priority="1" operator="equal">
      <formula>$S$10</formula>
    </cfRule>
  </conditionalFormatting>
  <conditionalFormatting sqref="C15:C16">
    <cfRule type="cellIs" dxfId="588" priority="15" operator="equal">
      <formula>$S$10</formula>
    </cfRule>
  </conditionalFormatting>
  <conditionalFormatting sqref="C18">
    <cfRule type="cellIs" dxfId="587" priority="14" operator="equal">
      <formula>$S$10</formula>
    </cfRule>
  </conditionalFormatting>
  <conditionalFormatting sqref="C20">
    <cfRule type="cellIs" dxfId="586" priority="11" operator="equal">
      <formula>$S$10</formula>
    </cfRule>
  </conditionalFormatting>
  <conditionalFormatting sqref="C22:D22">
    <cfRule type="expression" dxfId="585" priority="4">
      <formula>$H$22=0</formula>
    </cfRule>
    <cfRule type="expression" dxfId="584" priority="2">
      <formula>AND($C$22&lt;&gt;$S$48,$D$22=0)</formula>
    </cfRule>
  </conditionalFormatting>
  <conditionalFormatting sqref="D11">
    <cfRule type="expression" dxfId="583" priority="10">
      <formula>$T$45</formula>
    </cfRule>
    <cfRule type="expression" dxfId="582" priority="25">
      <formula>$D$11=0</formula>
    </cfRule>
  </conditionalFormatting>
  <conditionalFormatting sqref="D13:D14">
    <cfRule type="expression" dxfId="581" priority="24">
      <formula>$D$14&gt;3</formula>
    </cfRule>
  </conditionalFormatting>
  <conditionalFormatting sqref="D18">
    <cfRule type="expression" dxfId="580" priority="12" stopIfTrue="1">
      <formula>AND($C$18=$S$10,$D$18&gt;0)</formula>
    </cfRule>
    <cfRule type="expression" dxfId="579" priority="13" stopIfTrue="1">
      <formula>AND($C$18&lt;&gt;$S$10,$D$18=0)</formula>
    </cfRule>
    <cfRule type="cellIs" dxfId="578" priority="31" operator="equal">
      <formula>0</formula>
    </cfRule>
  </conditionalFormatting>
  <conditionalFormatting sqref="D20">
    <cfRule type="expression" dxfId="577" priority="5" stopIfTrue="1">
      <formula>AND($C$20=$S$14,$D$20=0)</formula>
    </cfRule>
    <cfRule type="expression" dxfId="576" priority="9">
      <formula>AND($C$20=$S$13,$D$20&gt;0)</formula>
    </cfRule>
    <cfRule type="cellIs" dxfId="575" priority="23" operator="equal">
      <formula>0</formula>
    </cfRule>
  </conditionalFormatting>
  <conditionalFormatting sqref="D22">
    <cfRule type="expression" dxfId="574" priority="3">
      <formula>AND($H$22=0,$D$22&gt;0)</formula>
    </cfRule>
  </conditionalFormatting>
  <conditionalFormatting sqref="E11">
    <cfRule type="expression" dxfId="573" priority="27">
      <formula>$E$11&gt;$E$2</formula>
    </cfRule>
  </conditionalFormatting>
  <conditionalFormatting sqref="E12">
    <cfRule type="expression" dxfId="572" priority="140">
      <formula>$E$12&gt;$E$2</formula>
    </cfRule>
  </conditionalFormatting>
  <conditionalFormatting sqref="E18">
    <cfRule type="expression" dxfId="571" priority="26">
      <formula>$E$18&gt;$E$2</formula>
    </cfRule>
  </conditionalFormatting>
  <conditionalFormatting sqref="E20">
    <cfRule type="expression" dxfId="570" priority="22">
      <formula>$E$20&gt;$E$2</formula>
    </cfRule>
  </conditionalFormatting>
  <conditionalFormatting sqref="H6">
    <cfRule type="expression" dxfId="569" priority="29">
      <formula>$H$6&lt;0</formula>
    </cfRule>
  </conditionalFormatting>
  <conditionalFormatting sqref="K6 N23:O23">
    <cfRule type="expression" dxfId="568" priority="28">
      <formula>$K$6&lt;0</formula>
    </cfRule>
  </conditionalFormatting>
  <conditionalFormatting sqref="L6 N26:O26">
    <cfRule type="expression" dxfId="567" priority="21">
      <formula>$O$26&gt;$L$6</formula>
    </cfRule>
  </conditionalFormatting>
  <dataValidations count="7">
    <dataValidation type="list" allowBlank="1" showInputMessage="1" showErrorMessage="1" sqref="B11" xr:uid="{93A2F1D8-0D33-4F42-8622-EDAF80D2A0A3}">
      <formula1>$S$2:$S$7</formula1>
    </dataValidation>
    <dataValidation type="list" allowBlank="1" showInputMessage="1" showErrorMessage="1" sqref="C15:C16 C20 P13" xr:uid="{2BEFE919-23C6-43FF-8F1E-41335614FF77}">
      <formula1>$S$13:$S$14</formula1>
    </dataValidation>
    <dataValidation type="whole" allowBlank="1" showInputMessage="1" showErrorMessage="1" prompt="Enter battery tons" sqref="D18" xr:uid="{9298B520-4FB2-43C0-9794-AA9ECC633C51}">
      <formula1>0</formula1>
      <formula2>5000000</formula2>
    </dataValidation>
    <dataValidation type="list" allowBlank="1" showInputMessage="1" showErrorMessage="1" prompt="Select TL of Batteries or No to ignore" sqref="C18" xr:uid="{E2A918C3-2D29-4B0D-AB2D-84D4AEA8163B}">
      <formula1>$S$10:$S$12</formula1>
    </dataValidation>
    <dataValidation type="list" allowBlank="1" showInputMessage="1" showErrorMessage="1" sqref="B12:B14" xr:uid="{D9525C86-E228-4895-8DA6-F3C388143AE5}">
      <formula1>$S$16:$S$29</formula1>
    </dataValidation>
    <dataValidation type="list" allowBlank="1" showInputMessage="1" showErrorMessage="1" sqref="C22" xr:uid="{3709EE0B-57A6-4E88-84C3-DF6BF65F6070}">
      <formula1>$S$48:$S$52</formula1>
    </dataValidation>
    <dataValidation type="whole" allowBlank="1" showInputMessage="1" showErrorMessage="1" prompt="Enter number of collectors" sqref="D20" xr:uid="{41588261-EA2E-4306-8EBE-A27C75A21A90}">
      <formula1>0</formula1>
      <formula2>5000000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FE47-188E-49CD-A6E0-1F1C915047EE}">
  <dimension ref="A1:V41"/>
  <sheetViews>
    <sheetView workbookViewId="0">
      <selection activeCell="C16" sqref="C16"/>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style="2" customWidth="1"/>
    <col min="7" max="7" width="9.1640625" customWidth="1"/>
    <col min="8" max="8" width="12.6640625" customWidth="1"/>
    <col min="11" max="11" width="10.33203125" customWidth="1"/>
    <col min="12" max="12" width="11.1640625" customWidth="1"/>
    <col min="18" max="18" width="9.1640625" customWidth="1"/>
    <col min="19" max="19" width="27.33203125" hidden="1" customWidth="1"/>
    <col min="20" max="20" width="9.1640625" hidden="1" customWidth="1"/>
    <col min="21" max="21" width="12.6640625" hidden="1" customWidth="1"/>
    <col min="22" max="22" width="9.1640625" hidden="1" customWidth="1"/>
    <col min="23" max="23" width="9.1640625" customWidth="1"/>
  </cols>
  <sheetData>
    <row r="1" spans="1:22">
      <c r="A1" s="3" t="str">
        <f>'Ship Info'!A1</f>
        <v>Ship's Class Name</v>
      </c>
      <c r="B1" t="str">
        <f>'Ship Info'!B1</f>
        <v>Zhodani Long Range Scout</v>
      </c>
      <c r="F1" s="1" t="s">
        <v>1</v>
      </c>
      <c r="S1" s="3" t="s">
        <v>111</v>
      </c>
      <c r="U1" s="121" t="s">
        <v>1014</v>
      </c>
    </row>
    <row r="2" spans="1:22">
      <c r="A2" s="3" t="s">
        <v>432</v>
      </c>
      <c r="B2" t="str">
        <f>'Ship Info'!B2</f>
        <v>Scout</v>
      </c>
      <c r="D2" s="3" t="s">
        <v>0</v>
      </c>
      <c r="E2" s="2">
        <f>Tech_Level</f>
        <v>14</v>
      </c>
      <c r="F2" s="10">
        <f>'Ship Info'!G2</f>
        <v>621511800.00000012</v>
      </c>
      <c r="S2" t="s">
        <v>112</v>
      </c>
      <c r="U2" s="122">
        <f>IF('3-Pwr Plant'!B11='3-Pwr Plant'!S3,1,0)</f>
        <v>0</v>
      </c>
    </row>
    <row r="3" spans="1:22">
      <c r="F3" s="10"/>
      <c r="G3" s="28"/>
      <c r="H3" s="506">
        <f>S20</f>
        <v>97</v>
      </c>
      <c r="I3" s="28"/>
      <c r="J3" s="28"/>
      <c r="K3" s="507">
        <f>S23</f>
        <v>5</v>
      </c>
      <c r="S3" t="s">
        <v>113</v>
      </c>
    </row>
    <row r="4" spans="1:22" ht="16" thickBot="1">
      <c r="F4" s="508" t="s">
        <v>45</v>
      </c>
      <c r="H4" s="787" t="s">
        <v>46</v>
      </c>
      <c r="I4" s="787"/>
      <c r="K4" s="787" t="s">
        <v>47</v>
      </c>
      <c r="L4" s="787"/>
      <c r="S4" t="s">
        <v>114</v>
      </c>
      <c r="U4" t="str">
        <f>B13</f>
        <v>Included Free w/ Streamlining</v>
      </c>
    </row>
    <row r="5" spans="1:22" ht="16" thickBot="1">
      <c r="B5" s="3" t="s">
        <v>2321</v>
      </c>
      <c r="C5" s="253" t="s">
        <v>100</v>
      </c>
      <c r="F5" s="506">
        <f>SUM(F7:F39)</f>
        <v>250000</v>
      </c>
      <c r="H5" s="1" t="s">
        <v>403</v>
      </c>
      <c r="I5" s="1" t="s">
        <v>27</v>
      </c>
      <c r="K5" s="1" t="s">
        <v>403</v>
      </c>
      <c r="L5" s="1" t="s">
        <v>27</v>
      </c>
      <c r="S5" s="3" t="s">
        <v>21</v>
      </c>
    </row>
    <row r="6" spans="1:22" ht="16" thickBot="1">
      <c r="F6" s="10"/>
      <c r="H6" s="26">
        <f>'Ship Info'!I3</f>
        <v>2.6000000000000227</v>
      </c>
      <c r="I6" s="270">
        <f>'1-Hull'!I6</f>
        <v>300</v>
      </c>
      <c r="K6" s="270">
        <f>'Ship Info'!L3</f>
        <v>7</v>
      </c>
      <c r="L6" s="270">
        <f>'3-Pwr Plant'!L6</f>
        <v>250</v>
      </c>
      <c r="S6" t="str">
        <f>'1-Hull'!B7</f>
        <v>Streamlined</v>
      </c>
    </row>
    <row r="7" spans="1:22" ht="16" thickBot="1">
      <c r="A7" s="5" t="s">
        <v>109</v>
      </c>
      <c r="B7" s="198" t="s">
        <v>137</v>
      </c>
      <c r="E7" s="2">
        <f>VLOOKUP(B7,S15:V17,4)</f>
        <v>7</v>
      </c>
      <c r="F7" s="10"/>
      <c r="I7" s="2"/>
      <c r="J7" s="2"/>
      <c r="L7" s="2"/>
      <c r="M7" s="2"/>
      <c r="S7" s="3" t="s">
        <v>115</v>
      </c>
      <c r="T7" t="s">
        <v>99</v>
      </c>
      <c r="U7" t="s">
        <v>791</v>
      </c>
      <c r="V7">
        <f>MAX(U8:U11)</f>
        <v>1</v>
      </c>
    </row>
    <row r="8" spans="1:22" ht="16" thickBot="1">
      <c r="A8" s="3" t="s">
        <v>75</v>
      </c>
      <c r="B8" s="235">
        <v>0</v>
      </c>
      <c r="C8" s="3" t="s">
        <v>119</v>
      </c>
      <c r="D8" s="2" t="str">
        <f>IF(B8=0,"N/A",10*V7*B8)</f>
        <v>N/A</v>
      </c>
      <c r="F8" s="10"/>
      <c r="H8" s="333">
        <f>V7*0.025*'1-Hull'!B4*B8*'2-Drives'!AC58</f>
        <v>0</v>
      </c>
      <c r="J8" s="2"/>
      <c r="L8" s="2"/>
      <c r="M8" s="2"/>
      <c r="S8" t="str">
        <f>'2-Drives'!B19</f>
        <v xml:space="preserve"> No Drive</v>
      </c>
      <c r="T8" t="s">
        <v>100</v>
      </c>
      <c r="U8">
        <f>IF(S8="Reaction Drive",'2-Drives'!D19,0)</f>
        <v>0</v>
      </c>
    </row>
    <row r="9" spans="1:22" ht="16" thickBot="1">
      <c r="A9" s="3" t="str">
        <f>T9&amp;" Available x "&amp;U9&amp;" pc"</f>
        <v>Jumps Available x 1 pc</v>
      </c>
      <c r="B9" s="198">
        <v>3</v>
      </c>
      <c r="D9" s="2"/>
      <c r="F9" s="10"/>
      <c r="H9" s="333">
        <f>IF(LEFT('2-Drives'!B25,10)="Jump Drive",'2-Drives'!U107*0.1*B9,0)*'2-Drives'!AC57</f>
        <v>90</v>
      </c>
      <c r="J9" s="2"/>
      <c r="L9" s="2"/>
      <c r="M9" s="2"/>
      <c r="S9" t="str">
        <f>'2-Drives'!B25</f>
        <v>Jump Drive</v>
      </c>
      <c r="T9" t="str">
        <f>IF(RIGHT(S9,3)="op)","Hops",IF(RIGHT(S9,3)="ip)","Skips","Jumps"))</f>
        <v>Jumps</v>
      </c>
      <c r="U9">
        <f>IF(T9="Skips",100,IF(T9="Hops",10,1))</f>
        <v>1</v>
      </c>
    </row>
    <row r="10" spans="1:22" ht="16" thickBot="1">
      <c r="A10" s="3" t="s">
        <v>64</v>
      </c>
      <c r="B10" s="7" t="s">
        <v>76</v>
      </c>
      <c r="C10" s="235">
        <v>4</v>
      </c>
      <c r="D10" s="118" t="s">
        <v>1013</v>
      </c>
      <c r="F10" s="10"/>
      <c r="H10" s="10">
        <f>IF('3-Pwr Plant'!D11=0,0,IF(U2=0,IF(AND(Tonnage&lt;100,$C$5=$T$8),C10*ROUNDUP(VLOOKUP('3-Pwr Plant'!B11,'3-Pwr Plant'!S2:X7,6)/4,2),MAX(,1,C10*ROUNDUP(VLOOKUP('3-Pwr Plant'!B11,'3-Pwr Plant'!S2:X7,6),0)/4)),C10*VLOOKUP('3-Pwr Plant'!B11,'3-Pwr Plant'!S2:X7,6)/4))</f>
        <v>2</v>
      </c>
      <c r="J10" s="2"/>
      <c r="L10" s="2"/>
      <c r="M10" s="2"/>
      <c r="S10" t="str">
        <f>'2-Drives'!B33</f>
        <v>No High Burn Thruster</v>
      </c>
      <c r="U10">
        <f>IF(S10="High Burn Thruster",'2-Drives'!D33,0)</f>
        <v>0</v>
      </c>
    </row>
    <row r="11" spans="1:22" ht="16" thickBot="1">
      <c r="B11" s="7" t="s">
        <v>77</v>
      </c>
      <c r="C11" s="334">
        <v>0</v>
      </c>
      <c r="D11" s="2"/>
      <c r="F11" s="10"/>
      <c r="H11" s="333">
        <f>C11</f>
        <v>0</v>
      </c>
      <c r="J11" s="2"/>
      <c r="L11" s="2"/>
      <c r="M11" s="2"/>
      <c r="S11" t="str">
        <f>'2-Drives'!B42</f>
        <v xml:space="preserve"> No Back Up Drive</v>
      </c>
      <c r="U11">
        <f>IF(S11="Reaction Drive",'2-Drives'!D42,0)</f>
        <v>0</v>
      </c>
    </row>
    <row r="12" spans="1:22" ht="16" thickBot="1">
      <c r="B12" s="7" t="s">
        <v>98</v>
      </c>
      <c r="C12" s="254" t="s">
        <v>99</v>
      </c>
      <c r="F12" s="10" t="str">
        <f>IF(H12&gt;0,200000*H12," ")</f>
        <v xml:space="preserve"> </v>
      </c>
      <c r="H12" s="333">
        <f>IF(C12=T8,0.1*SUM(H13:H36,H8:H11),0)</f>
        <v>0</v>
      </c>
      <c r="S12" t="s">
        <v>113</v>
      </c>
    </row>
    <row r="13" spans="1:22" ht="16" thickBot="1">
      <c r="A13" s="3" t="s">
        <v>110</v>
      </c>
      <c r="B13" s="198" t="s">
        <v>112</v>
      </c>
      <c r="F13" s="10">
        <f>IF(B13=S3,1000000,0)</f>
        <v>0</v>
      </c>
      <c r="H13" s="120"/>
      <c r="S13" t="s">
        <v>136</v>
      </c>
    </row>
    <row r="14" spans="1:22">
      <c r="F14" s="10"/>
      <c r="H14" s="120"/>
    </row>
    <row r="15" spans="1:22" ht="16" thickBot="1">
      <c r="B15" s="1" t="s">
        <v>118</v>
      </c>
      <c r="C15" s="1" t="s">
        <v>117</v>
      </c>
      <c r="D15" s="1" t="s">
        <v>1672</v>
      </c>
      <c r="F15" s="10"/>
      <c r="H15" s="120"/>
      <c r="S15" t="s">
        <v>138</v>
      </c>
      <c r="T15">
        <v>2</v>
      </c>
      <c r="U15">
        <v>200000</v>
      </c>
      <c r="V15">
        <v>9</v>
      </c>
    </row>
    <row r="16" spans="1:22" ht="16" thickBot="1">
      <c r="A16" s="3" t="s">
        <v>116</v>
      </c>
      <c r="B16" s="270">
        <f>20*C16</f>
        <v>100</v>
      </c>
      <c r="C16" s="334">
        <v>5</v>
      </c>
      <c r="D16" s="333">
        <f>SUM(H9:H11)</f>
        <v>92</v>
      </c>
      <c r="F16" s="10">
        <f>50000*C16</f>
        <v>250000</v>
      </c>
      <c r="H16" s="333">
        <f>C16</f>
        <v>5</v>
      </c>
      <c r="K16" s="270">
        <f>C16</f>
        <v>5</v>
      </c>
      <c r="S16" t="s">
        <v>954</v>
      </c>
      <c r="T16">
        <v>0</v>
      </c>
      <c r="U16">
        <v>0</v>
      </c>
      <c r="V16">
        <v>9</v>
      </c>
    </row>
    <row r="17" spans="1:22">
      <c r="A17" s="316" t="s">
        <v>1649</v>
      </c>
      <c r="B17" s="45"/>
      <c r="D17" s="310" t="s">
        <v>769</v>
      </c>
      <c r="F17" s="10"/>
      <c r="H17" s="120"/>
      <c r="S17" t="s">
        <v>137</v>
      </c>
      <c r="T17">
        <v>1</v>
      </c>
      <c r="U17">
        <v>0</v>
      </c>
      <c r="V17">
        <v>7</v>
      </c>
    </row>
    <row r="18" spans="1:22" ht="30.75" customHeight="1" thickBot="1">
      <c r="A18" s="311" t="s">
        <v>134</v>
      </c>
      <c r="B18" s="12" t="str">
        <f>"(Requires Cargo Bay, No Piping to Jump Drive) Cargo: "&amp;SUM('12-Cargo'!D18,'12-Cargo'!D22,'12-Cargo'!D26)</f>
        <v>(Requires Cargo Bay, No Piping to Jump Drive) Cargo: 10</v>
      </c>
      <c r="C18" s="13" t="s">
        <v>117</v>
      </c>
      <c r="D18" s="312" t="str">
        <f>IF(T26=0,"",S26)&amp;IF(T30=0,""," /"&amp;S30&amp;"/")</f>
        <v/>
      </c>
      <c r="F18" s="10"/>
      <c r="H18" s="120"/>
    </row>
    <row r="19" spans="1:22" ht="16" thickBot="1">
      <c r="A19" s="313" t="s">
        <v>136</v>
      </c>
      <c r="B19" s="7" t="s">
        <v>139</v>
      </c>
      <c r="C19" s="235">
        <v>0</v>
      </c>
      <c r="D19" s="88" t="str">
        <f>IF(T27=0,"","//"&amp;S27&amp;"//")</f>
        <v/>
      </c>
      <c r="F19" s="10">
        <f>C19*500</f>
        <v>0</v>
      </c>
      <c r="H19" s="120"/>
      <c r="S19" t="s">
        <v>399</v>
      </c>
      <c r="U19" t="s">
        <v>109</v>
      </c>
    </row>
    <row r="20" spans="1:22">
      <c r="A20" s="78"/>
      <c r="D20" s="88"/>
      <c r="F20" s="10"/>
      <c r="H20" s="120"/>
      <c r="S20">
        <f>SUM(H7:H39)</f>
        <v>97</v>
      </c>
      <c r="U20">
        <f>SUM(H8:H11)</f>
        <v>92</v>
      </c>
    </row>
    <row r="21" spans="1:22" ht="30.75" customHeight="1" thickBot="1">
      <c r="A21" s="311" t="s">
        <v>1713</v>
      </c>
      <c r="B21" s="12" t="str">
        <f>"(Requires Cargo Bay, Direct Feed to Jump Drives) Cargo: "&amp;SUM('12-Cargo'!D18,'12-Cargo'!D22,'12-Cargo'!D26)</f>
        <v>(Requires Cargo Bay, Direct Feed to Jump Drives) Cargo: 10</v>
      </c>
      <c r="C21" s="13" t="s">
        <v>117</v>
      </c>
      <c r="D21" s="314" t="str">
        <f>IF(T28=0,"",S28)&amp;IF(T30=0,""," /"&amp;S30&amp;"/")</f>
        <v/>
      </c>
      <c r="F21" s="10"/>
      <c r="H21" s="207"/>
    </row>
    <row r="22" spans="1:22" ht="16" thickBot="1">
      <c r="A22" s="315" t="s">
        <v>136</v>
      </c>
      <c r="B22" s="7" t="s">
        <v>140</v>
      </c>
      <c r="C22" s="235">
        <v>0</v>
      </c>
      <c r="D22" s="88" t="str">
        <f>IF(T29=0,"","//"&amp;S29&amp;"//")</f>
        <v/>
      </c>
      <c r="F22" s="10">
        <f>C22*1000</f>
        <v>0</v>
      </c>
      <c r="H22" s="207"/>
      <c r="S22" t="s">
        <v>400</v>
      </c>
    </row>
    <row r="23" spans="1:22">
      <c r="A23" s="466"/>
      <c r="D23" s="46"/>
      <c r="S23" s="263">
        <f>SUM(K16,K28)</f>
        <v>5</v>
      </c>
    </row>
    <row r="24" spans="1:22" ht="16" thickBot="1">
      <c r="A24" s="238" t="s">
        <v>1650</v>
      </c>
      <c r="B24" s="1" t="s">
        <v>1710</v>
      </c>
      <c r="C24" s="1" t="s">
        <v>1712</v>
      </c>
      <c r="D24" s="46"/>
    </row>
    <row r="25" spans="1:22" ht="16" thickBot="1">
      <c r="A25" s="78"/>
      <c r="B25" s="235">
        <v>1</v>
      </c>
      <c r="C25" s="235">
        <v>0</v>
      </c>
      <c r="D25" s="46"/>
      <c r="F25" s="10">
        <f>B25*H25*5000</f>
        <v>0</v>
      </c>
      <c r="H25" s="10">
        <f>(B25*C25*1.05)-IF(C26=T7,0,IF(B25*C25&gt;D16,D16,B25*C25))</f>
        <v>0</v>
      </c>
      <c r="S25" t="s">
        <v>769</v>
      </c>
      <c r="T25">
        <f>SUM(T26:T31)</f>
        <v>0</v>
      </c>
      <c r="U25">
        <f>SUM(U26:U30)</f>
        <v>0</v>
      </c>
    </row>
    <row r="26" spans="1:22" ht="16" thickBot="1">
      <c r="A26" s="78"/>
      <c r="B26" s="3" t="s">
        <v>1711</v>
      </c>
      <c r="C26" s="254" t="s">
        <v>99</v>
      </c>
      <c r="D26" s="46"/>
      <c r="F26" s="10"/>
      <c r="H26" s="207"/>
      <c r="S26" t="s">
        <v>801</v>
      </c>
      <c r="T26">
        <f>IF(AND(A19=S13,C19&gt;0),1,0)</f>
        <v>0</v>
      </c>
    </row>
    <row r="27" spans="1:22" ht="16" thickBot="1">
      <c r="A27" s="78"/>
      <c r="B27" t="s">
        <v>2080</v>
      </c>
      <c r="C27" s="254" t="s">
        <v>99</v>
      </c>
      <c r="D27" s="464"/>
      <c r="F27" s="10">
        <f>1000000*H27</f>
        <v>0</v>
      </c>
      <c r="G27" s="4"/>
      <c r="H27" s="10">
        <f>IF(C27=S40,0,(2.5+0.5*ROUNDUP((C25/150),0))*B25)</f>
        <v>0</v>
      </c>
      <c r="I27" s="4"/>
      <c r="J27" s="4"/>
      <c r="K27" s="4"/>
      <c r="S27" t="s">
        <v>802</v>
      </c>
      <c r="T27">
        <f>IF(C19&gt;SUM('12-Cargo'!D18,'12-Cargo'!D22,'12-Cargo'!D26),1,0)</f>
        <v>0</v>
      </c>
      <c r="U27">
        <f>T27</f>
        <v>0</v>
      </c>
    </row>
    <row r="28" spans="1:22" ht="15" customHeight="1" thickBot="1">
      <c r="A28" s="86"/>
      <c r="B28" s="468" t="s">
        <v>2081</v>
      </c>
      <c r="C28" s="254" t="s">
        <v>99</v>
      </c>
      <c r="D28" s="465"/>
      <c r="E28">
        <f>INDEX(S36:U38,MATCH(C28,S36:S38,0),2)</f>
        <v>0</v>
      </c>
      <c r="F28" s="10">
        <f>INDEX(S36:U38,MATCH(C28,S36:S38,0),3)*B25</f>
        <v>0</v>
      </c>
      <c r="G28" s="4"/>
      <c r="H28" s="10">
        <f>IF(C28=S36,0,B25)</f>
        <v>0</v>
      </c>
      <c r="I28" s="10"/>
      <c r="J28" s="10"/>
      <c r="K28" s="10">
        <f>IF(C28=S36,0,B25)</f>
        <v>0</v>
      </c>
      <c r="S28" t="s">
        <v>803</v>
      </c>
      <c r="T28">
        <f>IF(AND(A22=S13,C22&gt;0),1,0)</f>
        <v>0</v>
      </c>
    </row>
    <row r="29" spans="1:22">
      <c r="C29" s="467"/>
      <c r="F29" s="10"/>
      <c r="G29" s="10"/>
      <c r="H29" s="10"/>
      <c r="I29" s="4"/>
      <c r="J29" s="4"/>
      <c r="K29" s="4"/>
      <c r="S29" t="s">
        <v>804</v>
      </c>
      <c r="T29">
        <f>IF(C22&gt;SUM('12-Cargo'!D18,'12-Cargo'!D22,'12-Cargo'!D26),1,0)</f>
        <v>0</v>
      </c>
      <c r="U29">
        <f>T29</f>
        <v>0</v>
      </c>
    </row>
    <row r="30" spans="1:22">
      <c r="S30" t="s">
        <v>805</v>
      </c>
      <c r="T30">
        <f>IF(C19+C22&gt;SUM('12-Cargo'!D18,'12-Cargo'!D22,'12-Cargo'!D26),1,0)</f>
        <v>0</v>
      </c>
      <c r="U30">
        <f>T30</f>
        <v>0</v>
      </c>
    </row>
    <row r="31" spans="1:22" ht="17" thickBot="1">
      <c r="A31" s="3" t="s">
        <v>135</v>
      </c>
      <c r="C31" s="13" t="s">
        <v>117</v>
      </c>
      <c r="F31" s="10"/>
      <c r="H31" s="207"/>
      <c r="S31" t="s">
        <v>1000</v>
      </c>
      <c r="T31">
        <f>IF(C35&gt;SUM(H8:H11),1,0)</f>
        <v>0</v>
      </c>
    </row>
    <row r="32" spans="1:22" ht="15" customHeight="1" thickBot="1">
      <c r="A32" s="255" t="s">
        <v>136</v>
      </c>
      <c r="B32" s="7" t="s">
        <v>141</v>
      </c>
      <c r="C32" s="235">
        <v>0</v>
      </c>
      <c r="F32" s="10">
        <f>C32*0.004*500000</f>
        <v>0</v>
      </c>
      <c r="H32" s="333">
        <f>C32*0.004</f>
        <v>0</v>
      </c>
    </row>
    <row r="33" spans="1:21">
      <c r="A33" s="7"/>
      <c r="B33" s="406"/>
      <c r="C33" s="405"/>
      <c r="F33" s="10"/>
      <c r="H33" s="120"/>
    </row>
    <row r="34" spans="1:21" ht="16" thickBot="1">
      <c r="C34" s="1" t="s">
        <v>117</v>
      </c>
      <c r="F34" s="10"/>
      <c r="H34" s="120"/>
      <c r="S34" t="str">
        <f>SUM(H8:H11)&amp;" tons"&amp;", "&amp;C10&amp;" Weeks"&amp;IF(B9=0,"",", "&amp;B9&amp;" ")&amp;T9&amp;IF(B8=0,"",", "&amp;B8&amp;" "&amp;A8)&amp;IF(B7=S15,", "&amp;S15,IF(B7=S16,", "&amp;C35&amp;"/"&amp;C36&amp;" tons Standard/Metal Hydride Tanks",""))&amp;IF(C12=T7,"",", Armored")&amp;IF(C16=0,"",", "&amp;C16&amp;" tons "&amp;A16)&amp;IF(A19=S13,"",", "&amp;C19&amp;" tons "&amp;A18)&amp;IF(A22=S13,"",", "&amp;C22&amp;" tons "&amp;A21)&amp;IF(A32=S13,"",", "&amp;C32&amp;" tons "&amp;A31)&amp;IF(F25&gt;0,", "&amp;B25&amp;" x "&amp;C25&amp;" Tons "&amp;A24,"")</f>
        <v>92 tons, 4 Weeks, 3 Jumps, 5 tons Fuel Processor</v>
      </c>
    </row>
    <row r="35" spans="1:21" ht="21" customHeight="1" thickBot="1">
      <c r="B35" t="s">
        <v>137</v>
      </c>
      <c r="C35" s="334">
        <v>0</v>
      </c>
      <c r="D35" t="str">
        <f>IF(T31=0,"","//"&amp;S31&amp;"//")</f>
        <v/>
      </c>
      <c r="F35" s="10"/>
      <c r="H35" s="120"/>
      <c r="S35" s="52" t="s">
        <v>2082</v>
      </c>
    </row>
    <row r="36" spans="1:21">
      <c r="B36" t="s">
        <v>138</v>
      </c>
      <c r="C36" s="270">
        <f>IF(B7=S17,0,IF(B7=S15,U20,U20-C35))</f>
        <v>0</v>
      </c>
      <c r="F36" s="10">
        <f>200000*H36</f>
        <v>0</v>
      </c>
      <c r="H36" s="333">
        <f>C36</f>
        <v>0</v>
      </c>
      <c r="S36" t="s">
        <v>99</v>
      </c>
      <c r="T36">
        <v>0</v>
      </c>
      <c r="U36">
        <v>0</v>
      </c>
    </row>
    <row r="37" spans="1:21">
      <c r="F37" s="10"/>
      <c r="S37" t="str">
        <f>IF(H25&gt;0,"Standard","No")</f>
        <v>No</v>
      </c>
      <c r="T37">
        <v>7</v>
      </c>
      <c r="U37">
        <v>3000</v>
      </c>
    </row>
    <row r="38" spans="1:21" ht="15" customHeight="1">
      <c r="A38" s="843" t="s">
        <v>102</v>
      </c>
      <c r="B38" s="842" t="s">
        <v>952</v>
      </c>
      <c r="C38" s="842"/>
      <c r="D38" s="842"/>
      <c r="F38" s="10"/>
      <c r="S38" t="str">
        <f>IF(H25&gt;0,"Advanced","No")</f>
        <v>No</v>
      </c>
      <c r="T38">
        <v>12</v>
      </c>
      <c r="U38">
        <v>10000</v>
      </c>
    </row>
    <row r="39" spans="1:21" ht="15" customHeight="1">
      <c r="A39" s="843"/>
      <c r="B39" t="s">
        <v>953</v>
      </c>
      <c r="F39" s="10"/>
    </row>
    <row r="40" spans="1:21">
      <c r="S40" t="s">
        <v>99</v>
      </c>
    </row>
    <row r="41" spans="1:21">
      <c r="S41" t="str">
        <f>IF(H25&gt;0,"Yes","No")</f>
        <v>No</v>
      </c>
    </row>
  </sheetData>
  <sheetProtection algorithmName="SHA-512" hashValue="E3Z0BopmiKlmY3OlsJ0qHP1OHQP+nwRGdshR/CuzVhF4xHqrlgH93ihgcqrs4WWq8XpgNkAmhp4eqqKr78XCmA==" saltValue="0LiENbvA4doEP/jmY9uZZA==" spinCount="100000" sheet="1" selectLockedCells="1"/>
  <mergeCells count="4">
    <mergeCell ref="H4:I4"/>
    <mergeCell ref="K4:L4"/>
    <mergeCell ref="B38:D38"/>
    <mergeCell ref="A38:A39"/>
  </mergeCells>
  <conditionalFormatting sqref="A19">
    <cfRule type="cellIs" dxfId="566" priority="14" operator="equal">
      <formula>$S$13</formula>
    </cfRule>
  </conditionalFormatting>
  <conditionalFormatting sqref="A32">
    <cfRule type="cellIs" dxfId="564" priority="13" operator="equal">
      <formula>$S$13</formula>
    </cfRule>
  </conditionalFormatting>
  <conditionalFormatting sqref="B8">
    <cfRule type="expression" dxfId="562" priority="46">
      <formula>AND($S$8="Manoeuvre Drive",$S$10&lt;&gt;"High Burn Thruster",$S$11&lt;&gt;"Reaction Drive")</formula>
    </cfRule>
  </conditionalFormatting>
  <conditionalFormatting sqref="B9">
    <cfRule type="expression" dxfId="561" priority="44">
      <formula>LEFT($S$9,10)&lt;&gt;"Jump Drive"</formula>
    </cfRule>
  </conditionalFormatting>
  <conditionalFormatting sqref="B13">
    <cfRule type="expression" dxfId="560" priority="45">
      <formula>AND(B13&lt;&gt;S2,S6="Streamlined")</formula>
    </cfRule>
  </conditionalFormatting>
  <conditionalFormatting sqref="C5">
    <cfRule type="cellIs" dxfId="554" priority="1" operator="equal">
      <formula>$T$7</formula>
    </cfRule>
  </conditionalFormatting>
  <conditionalFormatting sqref="C11">
    <cfRule type="cellIs" dxfId="553" priority="12" operator="equal">
      <formula>0</formula>
    </cfRule>
  </conditionalFormatting>
  <conditionalFormatting sqref="C12">
    <cfRule type="cellIs" dxfId="552" priority="11" operator="equal">
      <formula>$T$7</formula>
    </cfRule>
  </conditionalFormatting>
  <conditionalFormatting sqref="C16">
    <cfRule type="cellIs" dxfId="551" priority="16" operator="equal">
      <formula>0</formula>
    </cfRule>
  </conditionalFormatting>
  <conditionalFormatting sqref="C19">
    <cfRule type="expression" dxfId="550" priority="22" stopIfTrue="1">
      <formula>AND($A$19=$S$13,$C$19&gt;0)</formula>
    </cfRule>
    <cfRule type="expression" dxfId="549" priority="42">
      <formula>$A$19=$S$13</formula>
    </cfRule>
  </conditionalFormatting>
  <conditionalFormatting sqref="C22">
    <cfRule type="expression" dxfId="548" priority="31" stopIfTrue="1">
      <formula>AND($A$22=$S$13,$C$22&gt;0)</formula>
    </cfRule>
    <cfRule type="expression" dxfId="547" priority="40">
      <formula>$A$22=$S$13</formula>
    </cfRule>
  </conditionalFormatting>
  <conditionalFormatting sqref="C25">
    <cfRule type="expression" dxfId="546" priority="10">
      <formula>$B$25=0</formula>
    </cfRule>
    <cfRule type="expression" dxfId="545" priority="9">
      <formula>AND($B$25=0,$C$25&gt;0)</formula>
    </cfRule>
  </conditionalFormatting>
  <conditionalFormatting sqref="C26:C28">
    <cfRule type="cellIs" dxfId="544" priority="7" operator="equal">
      <formula>$T$7</formula>
    </cfRule>
    <cfRule type="expression" dxfId="543" priority="2">
      <formula>AND($H$25=0,$C26&lt;&gt;"No")</formula>
    </cfRule>
  </conditionalFormatting>
  <conditionalFormatting sqref="C32">
    <cfRule type="expression" dxfId="542" priority="37" stopIfTrue="1">
      <formula>AND($A$32=$S$13,$C$32&gt;0)</formula>
    </cfRule>
    <cfRule type="expression" dxfId="541" priority="38">
      <formula>$A$32=$S$13</formula>
    </cfRule>
  </conditionalFormatting>
  <conditionalFormatting sqref="C35">
    <cfRule type="expression" dxfId="540" priority="18">
      <formula>$C$35&gt;SUM($H$8:$H$11)</formula>
    </cfRule>
    <cfRule type="cellIs" dxfId="539" priority="15" operator="equal">
      <formula>0</formula>
    </cfRule>
  </conditionalFormatting>
  <conditionalFormatting sqref="D8">
    <cfRule type="expression" dxfId="538" priority="34">
      <formula>AND($D$8&lt;&gt;"N/A",$S$8="Manoeuvre Drive",$S$10&lt;&gt;"High Burn Thruster",$S$11&lt;&gt;"Reaction Drive",$D$8&gt;0)</formula>
    </cfRule>
  </conditionalFormatting>
  <conditionalFormatting sqref="D17">
    <cfRule type="expression" dxfId="537" priority="20">
      <formula>$T$25&gt;0</formula>
    </cfRule>
    <cfRule type="expression" dxfId="536" priority="21">
      <formula>$T$25=0</formula>
    </cfRule>
  </conditionalFormatting>
  <conditionalFormatting sqref="E7">
    <cfRule type="expression" dxfId="534" priority="148">
      <formula>$E$7&gt;$E$2</formula>
    </cfRule>
  </conditionalFormatting>
  <conditionalFormatting sqref="H6">
    <cfRule type="expression" dxfId="533" priority="36">
      <formula>$H$6&lt;0</formula>
    </cfRule>
  </conditionalFormatting>
  <conditionalFormatting sqref="K6">
    <cfRule type="expression" dxfId="532" priority="35">
      <formula>$K$6&lt;0</formula>
    </cfRule>
  </conditionalFormatting>
  <dataValidations count="13">
    <dataValidation type="decimal" allowBlank="1" showInputMessage="1" showErrorMessage="1" sqref="C11" xr:uid="{AFE8D20F-7AFC-4E64-96D7-AF7FE8B504BF}">
      <formula1>0</formula1>
      <formula2>B1048565</formula2>
    </dataValidation>
    <dataValidation type="decimal" operator="greaterThan" allowBlank="1" showInputMessage="1" showErrorMessage="1" sqref="C10" xr:uid="{EA9CADC9-6A9D-4AAA-92D3-D42D9DAC7101}">
      <formula1>0</formula1>
    </dataValidation>
    <dataValidation type="decimal" allowBlank="1" showInputMessage="1" showErrorMessage="1" sqref="B8" xr:uid="{81124385-8250-4E46-933B-EE93E0D83D4C}">
      <formula1>0</formula1>
      <formula2>I6</formula2>
    </dataValidation>
    <dataValidation type="whole" allowBlank="1" showInputMessage="1" showErrorMessage="1" sqref="B9" xr:uid="{A9A46466-E807-417D-8B72-443B43BAE813}">
      <formula1>0</formula1>
      <formula2>9</formula2>
    </dataValidation>
    <dataValidation type="list" allowBlank="1" showInputMessage="1" showErrorMessage="1" prompt="Select Fuel Scoop status._x000a_Streamlined ships include fuel scoops at no cost." sqref="B13" xr:uid="{AD018BBD-410A-4339-98D3-9E41F2818473}">
      <formula1>$S$2:$S$4</formula1>
    </dataValidation>
    <dataValidation type="decimal" allowBlank="1" showInputMessage="1" showErrorMessage="1" prompt="Enter size of processor_x000a__x000a_0 if uninstalled" sqref="C16" xr:uid="{3148150D-5BE4-452A-98E6-B22094796DCD}">
      <formula1>0</formula1>
      <formula2>I6</formula2>
    </dataValidation>
    <dataValidation type="list" allowBlank="1" showInputMessage="1" showErrorMessage="1" sqref="A19 A22 A32" xr:uid="{FA140EF7-8664-463C-A89B-BC94A3B0C677}">
      <formula1>$S$12:$S$13</formula1>
    </dataValidation>
    <dataValidation type="list" allowBlank="1" showInputMessage="1" showErrorMessage="1" sqref="C12 C5" xr:uid="{8E284336-70EB-401C-8FBC-08C4F968C0EC}">
      <formula1>$T$7:$T$8</formula1>
    </dataValidation>
    <dataValidation type="list" allowBlank="1" showInputMessage="1" showErrorMessage="1" sqref="B7" xr:uid="{74C75DA8-8456-4A30-AFC9-FD852F442C0E}">
      <formula1>$S$15:$S$17</formula1>
    </dataValidation>
    <dataValidation type="decimal" allowBlank="1" showInputMessage="1" showErrorMessage="1" sqref="C35" xr:uid="{0BAA11A5-F0D6-402A-842B-9E2E0E631F02}">
      <formula1>0</formula1>
      <formula2>U20</formula2>
    </dataValidation>
    <dataValidation type="list" allowBlank="1" showInputMessage="1" showErrorMessage="1" sqref="B33" xr:uid="{6DF820A2-7F06-47CA-8DE0-18C9EBD0B8E6}">
      <formula1>$S$37:$S$38</formula1>
    </dataValidation>
    <dataValidation type="list" allowBlank="1" showInputMessage="1" showErrorMessage="1" sqref="C28" xr:uid="{B672A0CA-5F44-434F-A98A-63FE88258F73}">
      <formula1>$S$36:$S$38</formula1>
    </dataValidation>
    <dataValidation type="list" allowBlank="1" showInputMessage="1" showErrorMessage="1" sqref="C29 C26:C27" xr:uid="{3B19A760-6D9E-4404-AB64-D2A4B7C17BCC}">
      <formula1>$S$40:$S$41</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F02FA5A7-652E-4DC0-BF0B-B64CCAE3F0AB}">
            <xm:f>SUM('12-Cargo'!$D$18,'12-Cargo'!$D$22,'12-Cargo'!$D$26)=0</xm:f>
            <x14:dxf>
              <fill>
                <patternFill>
                  <bgColor theme="0" tint="-0.499984740745262"/>
                </patternFill>
              </fill>
            </x14:dxf>
          </x14:cfRule>
          <xm:sqref>A22</xm:sqref>
        </x14:conditionalFormatting>
        <x14:conditionalFormatting xmlns:xm="http://schemas.microsoft.com/office/excel/2006/main">
          <x14:cfRule type="expression" priority="29" stopIfTrue="1" id="{B1AEE7C1-8BDB-4AB0-B437-A8EB58395B95}">
            <xm:f>$C$22&gt;SUM('12-Cargo'!$D$18,'12-Cargo'!$D$22,'12-Cargo'!$D$26)</xm:f>
            <x14:dxf>
              <fill>
                <patternFill>
                  <bgColor rgb="FFFF0000"/>
                </patternFill>
              </fill>
            </x14:dxf>
          </x14:cfRule>
          <xm:sqref>A21:C22</xm:sqref>
        </x14:conditionalFormatting>
        <x14:conditionalFormatting xmlns:xm="http://schemas.microsoft.com/office/excel/2006/main">
          <x14:cfRule type="expression" priority="8" id="{6823AB87-6BD5-4540-BC7A-6167D0AE40F1}">
            <xm:f>AND($S$6&lt;&gt;'1-Hull'!$T$4,$B$13=$S$2)</xm:f>
            <x14:dxf>
              <fill>
                <patternFill>
                  <bgColor rgb="FFFF0000"/>
                </patternFill>
              </fill>
            </x14:dxf>
          </x14:cfRule>
          <xm:sqref>B13</xm:sqref>
        </x14:conditionalFormatting>
        <x14:conditionalFormatting xmlns:xm="http://schemas.microsoft.com/office/excel/2006/main">
          <x14:cfRule type="expression" priority="23" id="{0BBECAFE-B293-4AA3-A8A1-B058FB5F3503}">
            <xm:f>AND($A$19=$S$12,SUM('12-Cargo'!$D$18,'12-Cargo'!$D$22,'12-Cargo'!$D$26)=0)</xm:f>
            <x14:dxf>
              <fill>
                <patternFill>
                  <bgColor rgb="FFFFFF00"/>
                </patternFill>
              </fill>
            </x14:dxf>
          </x14:cfRule>
          <x14:cfRule type="expression" priority="41" id="{B79A3AA2-B75A-467A-961E-0DF20052FD5C}">
            <xm:f>AND($A$19=$S$12,SUM('12-Cargo'!$D$18,'12-Cargo'!$D$21,'12-Cargo'!$D$26)&gt;0)</xm:f>
            <x14:dxf>
              <fill>
                <patternFill>
                  <bgColor theme="9" tint="0.59996337778862885"/>
                </patternFill>
              </fill>
            </x14:dxf>
          </x14:cfRule>
          <xm:sqref>B18</xm:sqref>
        </x14:conditionalFormatting>
        <x14:conditionalFormatting xmlns:xm="http://schemas.microsoft.com/office/excel/2006/main">
          <x14:cfRule type="expression" priority="39" id="{8A11A38C-427B-43FE-A1C8-EE34658FDA5C}">
            <xm:f>AND($A$22=$S$12,SUM('12-Cargo'!$D$18,'12-Cargo'!$D$21,'12-Cargo'!$D$26)&gt;0)</xm:f>
            <x14:dxf>
              <fill>
                <patternFill>
                  <bgColor theme="9" tint="0.59996337778862885"/>
                </patternFill>
              </fill>
            </x14:dxf>
          </x14:cfRule>
          <x14:cfRule type="expression" priority="33" id="{C11935BF-D3AE-4537-B587-9157F37478D2}">
            <xm:f>AND($A$22=$S$12,SUM('12-Cargo'!$D$18,'12-Cargo'!$D$22,'12-Cargo'!$D$26)=0)</xm:f>
            <x14:dxf>
              <fill>
                <patternFill>
                  <bgColor rgb="FFFFFF00"/>
                </patternFill>
              </fill>
            </x14:dxf>
          </x14:cfRule>
          <xm:sqref>B21</xm:sqref>
        </x14:conditionalFormatting>
        <x14:conditionalFormatting xmlns:xm="http://schemas.microsoft.com/office/excel/2006/main">
          <x14:cfRule type="expression" priority="17" id="{E8D8E2D7-26FB-4A38-91FB-B5F3C6128DFE}">
            <xm:f>AND('3-Pwr Plant'!$B$11&lt;&gt;'3-Pwr Plant'!$S$3,$C$10&lt;4)</xm:f>
            <x14:dxf>
              <font>
                <color auto="1"/>
              </font>
              <fill>
                <patternFill>
                  <bgColor rgb="FFFFFF00"/>
                </patternFill>
              </fill>
            </x14:dxf>
          </x14:cfRule>
          <xm:sqref>D10:E10</xm:sqref>
        </x14:conditionalFormatting>
      </x14:conditionalFormattings>
    </ext>
    <ext xmlns:x14="http://schemas.microsoft.com/office/spreadsheetml/2009/9/main" uri="{CCE6A557-97BC-4b89-ADB6-D9C93CAAB3DF}">
      <x14:dataValidations xmlns:xm="http://schemas.microsoft.com/office/excel/2006/main" count="2">
        <x14:dataValidation type="whole" allowBlank="1" showInputMessage="1" showErrorMessage="1" xr:uid="{1F9C74BB-16C6-4E3E-9585-07FF3B9A670A}">
          <x14:formula1>
            <xm:f>0</xm:f>
          </x14:formula1>
          <x14:formula2>
            <xm:f>'1-Hull'!B4</xm:f>
          </x14:formula2>
          <xm:sqref>B25</xm:sqref>
        </x14:dataValidation>
        <x14:dataValidation type="decimal" allowBlank="1" showInputMessage="1" showErrorMessage="1" xr:uid="{AFD9341E-9322-4C8B-838E-4AA397CE4929}">
          <x14:formula1>
            <xm:f>0</xm:f>
          </x14:formula1>
          <x14:formula2>
            <xm:f>'1-Hull'!B4/1.05</xm:f>
          </x14:formula2>
          <xm:sqref>C25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C28D5-C238-4210-B9A2-3C2CA09A39A4}">
  <dimension ref="A1:AH58"/>
  <sheetViews>
    <sheetView workbookViewId="0">
      <selection activeCell="A10" sqref="A10"/>
    </sheetView>
  </sheetViews>
  <sheetFormatPr baseColWidth="10" defaultColWidth="8.83203125" defaultRowHeight="15"/>
  <cols>
    <col min="1" max="1" width="24.1640625" customWidth="1"/>
    <col min="2" max="2" width="32.1640625" customWidth="1"/>
    <col min="3" max="3" width="13.33203125" customWidth="1"/>
    <col min="4" max="4" width="17.1640625" customWidth="1"/>
    <col min="5" max="5" width="3.6640625" customWidth="1"/>
    <col min="6" max="6" width="18" customWidth="1"/>
    <col min="8" max="8" width="11.83203125" customWidth="1"/>
    <col min="9" max="9" width="10" customWidth="1"/>
    <col min="11" max="11" width="10" customWidth="1"/>
    <col min="19" max="19" width="18.1640625" hidden="1" customWidth="1"/>
    <col min="20" max="20" width="9.1640625" hidden="1" customWidth="1"/>
    <col min="21" max="21" width="14.1640625" hidden="1" customWidth="1"/>
    <col min="22" max="34" width="9.1640625" hidden="1" customWidth="1"/>
    <col min="35" max="35" width="9.1640625" customWidth="1"/>
  </cols>
  <sheetData>
    <row r="1" spans="1:34">
      <c r="A1" s="3" t="str">
        <f>'Ship Info'!A1</f>
        <v>Ship's Class Name</v>
      </c>
      <c r="B1" t="str">
        <f>'Ship Info'!B1</f>
        <v>Zhodani Long Range Scout</v>
      </c>
      <c r="D1" s="2"/>
      <c r="E1" s="2"/>
      <c r="F1" s="6" t="s">
        <v>1</v>
      </c>
      <c r="S1" t="s">
        <v>78</v>
      </c>
      <c r="T1" t="s">
        <v>2</v>
      </c>
      <c r="U1" t="s">
        <v>1</v>
      </c>
      <c r="V1" t="s">
        <v>80</v>
      </c>
      <c r="AB1" s="2"/>
      <c r="AC1" s="2"/>
      <c r="AD1" s="2"/>
      <c r="AE1" s="2"/>
      <c r="AF1" s="2"/>
      <c r="AG1" s="2"/>
    </row>
    <row r="2" spans="1:34">
      <c r="A2" s="3" t="s">
        <v>432</v>
      </c>
      <c r="B2" t="str">
        <f>'Ship Info'!B2</f>
        <v>Scout</v>
      </c>
      <c r="D2" t="s">
        <v>0</v>
      </c>
      <c r="E2" s="2">
        <f>Tech_Level</f>
        <v>14</v>
      </c>
      <c r="F2" s="4">
        <f>'Ship Info'!G2</f>
        <v>621511800.00000012</v>
      </c>
      <c r="S2" t="str">
        <f>IF('Ship Info'!E6&lt;&gt;"Ship","No Bridge",IF('10-Crew'!J36&gt;='5-Bridge'!T19,"Drone Ship","No Bridge"))</f>
        <v>No Bridge</v>
      </c>
      <c r="T2">
        <v>0</v>
      </c>
      <c r="U2">
        <v>0</v>
      </c>
      <c r="W2" t="str">
        <f>IF('Ship Info'!E6&lt;&gt;"Ship","No Bridge",IF('10-Crew'!J36&gt;='5-Bridge'!T19,"Drone Ship","No Bridge"))</f>
        <v>No Bridge</v>
      </c>
    </row>
    <row r="3" spans="1:34">
      <c r="D3" s="2"/>
      <c r="E3" s="2"/>
      <c r="G3" s="79"/>
      <c r="H3" s="506">
        <f>S17</f>
        <v>20</v>
      </c>
      <c r="S3" t="str">
        <f>IF('Ship Info'!F6,"Command Center (Mil)","")</f>
        <v/>
      </c>
      <c r="T3">
        <f>IF('Ship Info'!F5,0,T4)</f>
        <v>0</v>
      </c>
      <c r="U3">
        <f>200000*ROUNDUP(Tonnage/100,0)</f>
        <v>600000</v>
      </c>
      <c r="W3" t="str">
        <f>IF('Ship Info'!F6,"DM+1 to all Tactics (naval) checks","Error, Wrong selection for type")</f>
        <v>Error, Wrong selection for type</v>
      </c>
    </row>
    <row r="4" spans="1:34">
      <c r="A4" t="s">
        <v>2</v>
      </c>
      <c r="B4" s="263">
        <f>'1-Hull'!B4</f>
        <v>300</v>
      </c>
      <c r="D4" s="2"/>
      <c r="E4" s="2"/>
      <c r="F4" s="504" t="s">
        <v>45</v>
      </c>
      <c r="H4" s="787" t="s">
        <v>46</v>
      </c>
      <c r="I4" s="787"/>
      <c r="K4" s="787" t="s">
        <v>47</v>
      </c>
      <c r="L4" s="787"/>
      <c r="S4" t="str">
        <f>IF('Ship Info'!F6,"Control Center","")</f>
        <v/>
      </c>
      <c r="T4">
        <f>IF('Ship Info'!F5,0,IF(Tonnage&gt;2500000,100,IF(Tonnage&gt;100000,80,IF(Tonnage&gt;20000,60,IF(Tonnage&gt;5000,40,IF(Tonnage&gt;500,20,10))))))</f>
        <v>0</v>
      </c>
      <c r="U4">
        <f>100000*ROUNDUP(Tonnage/100,0)</f>
        <v>300000</v>
      </c>
      <c r="W4" t="str">
        <f>IF('Ship Info'!F6,"No Modifiers","Error, Wrong selection for type")</f>
        <v>Error, Wrong selection for type</v>
      </c>
    </row>
    <row r="5" spans="1:34">
      <c r="F5" s="505">
        <f>SUM(F9:F30)</f>
        <v>1875000</v>
      </c>
      <c r="H5" s="1" t="s">
        <v>403</v>
      </c>
      <c r="I5" s="1" t="s">
        <v>27</v>
      </c>
      <c r="K5" s="1" t="s">
        <v>403</v>
      </c>
      <c r="L5" s="1" t="s">
        <v>27</v>
      </c>
      <c r="S5" t="str">
        <f>IF('Ship Info'!F5,"Cockpit","")</f>
        <v>Cockpit</v>
      </c>
      <c r="T5">
        <f>IF('Ship Info'!F6,0,1.5)</f>
        <v>1.5</v>
      </c>
      <c r="U5">
        <v>10000</v>
      </c>
      <c r="W5" t="str">
        <f>IF('Ship Info'!F5,"24 hours of Life Support","Error, Wrong selection for type")</f>
        <v>24 hours of Life Support</v>
      </c>
      <c r="AA5" t="s">
        <v>89</v>
      </c>
      <c r="AB5" s="2"/>
      <c r="AC5" s="2"/>
      <c r="AD5" s="2"/>
      <c r="AE5" s="2"/>
      <c r="AF5" s="2"/>
      <c r="AG5" s="2"/>
    </row>
    <row r="6" spans="1:34">
      <c r="A6" s="119" t="str">
        <f>"This ship requires "&amp;T19-'10-Crew'!J36&amp;" additional Virtual Crew to be a Drone Ship"</f>
        <v>This ship requires 4 additional Virtual Crew to be a Drone Ship</v>
      </c>
      <c r="B6" s="119"/>
      <c r="H6" s="10">
        <f>'Ship Info'!I3</f>
        <v>2.6000000000000227</v>
      </c>
      <c r="I6" s="270">
        <f>'1-Hull'!I6</f>
        <v>300</v>
      </c>
      <c r="K6" s="270">
        <f>'Ship Info'!L3</f>
        <v>7</v>
      </c>
      <c r="L6" s="270">
        <f>'3-Pwr Plant'!L6</f>
        <v>250</v>
      </c>
      <c r="S6" t="str">
        <f>IF('Ship Info'!F5,"Command Bridge","")</f>
        <v>Command Bridge</v>
      </c>
      <c r="T6">
        <f>IF('Ship Info'!F6,0,T10+40)</f>
        <v>60</v>
      </c>
      <c r="U6">
        <f>U30</f>
        <v>31500000</v>
      </c>
      <c r="W6" t="str">
        <f>IF('Ship Info'!F5,"DM+1 to all Tactics (naval) checks","Error, Wrong selection for type")</f>
        <v>DM+1 to all Tactics (naval) checks</v>
      </c>
      <c r="AA6" t="s">
        <v>82</v>
      </c>
      <c r="AB6" s="2"/>
      <c r="AC6" s="2" t="b">
        <f>OR(A9=S6,A13=AA6)</f>
        <v>0</v>
      </c>
      <c r="AD6" s="2"/>
      <c r="AE6" s="2"/>
      <c r="AF6" s="2"/>
      <c r="AG6" s="2"/>
    </row>
    <row r="7" spans="1:34">
      <c r="H7" s="1" t="s">
        <v>48</v>
      </c>
      <c r="I7" s="2"/>
      <c r="K7" s="2"/>
      <c r="L7" s="2"/>
      <c r="S7" t="str">
        <f>IF('Ship Info'!F5,"Detachable Bridge","")</f>
        <v>Detachable Bridge</v>
      </c>
      <c r="T7">
        <f>IF('Ship Info'!F6,0,T10*1.2)</f>
        <v>24</v>
      </c>
      <c r="U7">
        <f>1.5*U10</f>
        <v>2250000</v>
      </c>
      <c r="V7">
        <f>IF(B4&lt;51,1,IF(B4&lt;100,2,IF(B4&lt;201,3,IF(B4&lt;1001,4,IF(B4&lt;2001,5,IF(B4&lt;100001,6,7))))))</f>
        <v>4</v>
      </c>
      <c r="W7" t="str">
        <f>IF('Ship Info'!F5,"Lifeboat with two weeks of life support and Thrust 0)","Error, Wrong selection for type")</f>
        <v>Lifeboat with two weeks of life support and Thrust 0)</v>
      </c>
      <c r="AB7" s="2"/>
      <c r="AC7" s="2"/>
      <c r="AD7" s="2"/>
      <c r="AE7" s="2"/>
      <c r="AF7" s="2"/>
      <c r="AG7" s="2"/>
    </row>
    <row r="8" spans="1:34" ht="16" thickBot="1">
      <c r="A8" s="5" t="s">
        <v>88</v>
      </c>
      <c r="B8" s="2"/>
      <c r="D8" s="2"/>
      <c r="E8" s="3" t="s">
        <v>26</v>
      </c>
      <c r="F8" s="4"/>
      <c r="I8" s="2"/>
      <c r="J8" s="2"/>
      <c r="L8" s="2"/>
      <c r="S8" t="str">
        <f>IF('Ship Info'!F5,"Dual Cockpit","")</f>
        <v>Dual Cockpit</v>
      </c>
      <c r="T8">
        <f>IF('Ship Info'!F6,0,2.5)</f>
        <v>2.5</v>
      </c>
      <c r="U8">
        <v>15000</v>
      </c>
      <c r="W8" t="str">
        <f>IF('Ship Info'!F5,"24 hours of Life Support","Error, Wrong selection for type")</f>
        <v>24 hours of Life Support</v>
      </c>
      <c r="Z8" t="b">
        <f>OR(A9=S5,A9=S8)</f>
        <v>0</v>
      </c>
      <c r="AA8">
        <v>0</v>
      </c>
      <c r="AB8" s="2">
        <v>1</v>
      </c>
      <c r="AC8" s="2">
        <v>2</v>
      </c>
      <c r="AD8" s="2">
        <v>3</v>
      </c>
      <c r="AE8" s="2">
        <v>4</v>
      </c>
      <c r="AF8" s="2">
        <v>5</v>
      </c>
      <c r="AG8" s="2">
        <v>6</v>
      </c>
      <c r="AH8" s="2">
        <v>7</v>
      </c>
    </row>
    <row r="9" spans="1:34" ht="16" thickBot="1">
      <c r="A9" s="197" t="s">
        <v>79</v>
      </c>
      <c r="B9" s="16" t="str">
        <f>IFERROR(INDEX(S2:W10,MATCH(A9,S2:S10,0),5),"Wrong selection for type")</f>
        <v>No Modifiers</v>
      </c>
      <c r="D9" s="2"/>
      <c r="F9" s="4">
        <f>IFERROR(INDEX(S2:W10,MATCH(A9,S2:S10,0),3),0)</f>
        <v>1500000</v>
      </c>
      <c r="H9" s="270">
        <f>IFERROR(INDEX(S2:W10,MATCH(A9,S2:S10,0),2),IF('Ship Info'!F7,1,0))</f>
        <v>20</v>
      </c>
      <c r="J9" s="2"/>
      <c r="L9" s="2"/>
      <c r="S9" t="str">
        <f>IF('Ship Info'!F5,"Small Bridge","")</f>
        <v>Small Bridge</v>
      </c>
      <c r="T9">
        <f>IF('Ship Info'!F6,0,HLOOKUP(V9,AA8:AH9,2))</f>
        <v>10</v>
      </c>
      <c r="U9">
        <f>ROUNDUP(B4/100,0)*250000</f>
        <v>750000</v>
      </c>
      <c r="V9">
        <f>V10-1</f>
        <v>3</v>
      </c>
      <c r="W9" t="str">
        <f>IF('Ship Info'!F5,"DM-1 for all Ship's Ops checks from Bridge","Error, Wrong selection for type")</f>
        <v>DM-1 for all Ship's Ops checks from Bridge</v>
      </c>
      <c r="AA9">
        <v>3</v>
      </c>
      <c r="AB9" s="2">
        <v>3</v>
      </c>
      <c r="AC9" s="2">
        <v>6</v>
      </c>
      <c r="AD9" s="2">
        <v>10</v>
      </c>
      <c r="AE9" s="2">
        <v>20</v>
      </c>
      <c r="AF9" s="2">
        <v>40</v>
      </c>
      <c r="AG9" s="2">
        <v>60</v>
      </c>
      <c r="AH9">
        <f>40+(20*ROUNDUP(Tonnage/100000,0))</f>
        <v>60</v>
      </c>
    </row>
    <row r="10" spans="1:34" ht="16" thickBot="1">
      <c r="A10" s="197" t="s">
        <v>132</v>
      </c>
      <c r="B10" s="16" t="str">
        <f>VLOOKUP(A10,S13:W14,5)</f>
        <v>DM+2 to Initiative</v>
      </c>
      <c r="D10" s="2"/>
      <c r="E10">
        <f>VLOOKUP(A10,S13:U14,2)</f>
        <v>9</v>
      </c>
      <c r="F10" s="4">
        <f>VLOOKUP(A10,S13:U14,3)</f>
        <v>375000</v>
      </c>
      <c r="H10" s="2"/>
      <c r="J10" s="2"/>
      <c r="L10" s="2"/>
      <c r="S10" t="str">
        <f>IF('Ship Info'!F5,"Standard Bridge","")</f>
        <v>Standard Bridge</v>
      </c>
      <c r="T10">
        <f>IF('Ship Info'!F6,0,HLOOKUP(V10,AB8:AH9,2))</f>
        <v>20</v>
      </c>
      <c r="U10">
        <f>ROUNDUP(B4/100,0)*500000</f>
        <v>1500000</v>
      </c>
      <c r="V10">
        <f>IF(B4&lt;51,1,IF(B4&lt;100,2,IF(B4&lt;201,3,IF(B4&lt;1001,4,IF(B4&lt;2001,5,IF(B4&lt;100001,6,7))))))</f>
        <v>4</v>
      </c>
      <c r="W10" t="str">
        <f>IF('Ship Info'!F5,"No Modifiers","Error Wrong selection for type")</f>
        <v>No Modifiers</v>
      </c>
      <c r="Y10" t="b">
        <f>AND(OR(A9=S7,A9=S10),A13=AA5)</f>
        <v>1</v>
      </c>
    </row>
    <row r="11" spans="1:34">
      <c r="J11" s="2"/>
      <c r="L11" s="2"/>
      <c r="S11" t="str">
        <f>IFERROR(INDEX(S2:S10,MATCH(A9,S2:S10,0),1),1)</f>
        <v>Standard Bridge</v>
      </c>
    </row>
    <row r="12" spans="1:34" ht="16" thickBot="1">
      <c r="A12" s="3" t="s">
        <v>1644</v>
      </c>
      <c r="C12" s="2" t="s">
        <v>308</v>
      </c>
      <c r="J12" s="2"/>
      <c r="L12" s="2"/>
    </row>
    <row r="13" spans="1:34" ht="16" thickBot="1">
      <c r="A13" s="210" t="s">
        <v>89</v>
      </c>
      <c r="B13" s="112" t="str">
        <f>IF(A13=AA6,W6," ")</f>
        <v xml:space="preserve"> </v>
      </c>
      <c r="C13" s="235">
        <v>0</v>
      </c>
      <c r="D13" s="2"/>
      <c r="F13" s="4">
        <f>C13*IF(B4&lt;5000,0,IF(A13=AA6,30000000,0))</f>
        <v>0</v>
      </c>
      <c r="H13" s="270">
        <f>C13*IF(B4&lt;5000,0,IF(A13=AA6,40,0))</f>
        <v>0</v>
      </c>
      <c r="S13" t="s">
        <v>132</v>
      </c>
      <c r="T13">
        <v>9</v>
      </c>
      <c r="U13">
        <f>0.25*F9</f>
        <v>375000</v>
      </c>
      <c r="W13" t="s">
        <v>133</v>
      </c>
      <c r="Y13">
        <f>0.25*F13</f>
        <v>0</v>
      </c>
      <c r="Z13">
        <f>0.25*F17</f>
        <v>0</v>
      </c>
    </row>
    <row r="14" spans="1:34" ht="16" thickBot="1">
      <c r="A14" s="197" t="s">
        <v>131</v>
      </c>
      <c r="B14" s="16" t="str">
        <f>VLOOKUP(A14,S13:W14,5)</f>
        <v>No Modifiers</v>
      </c>
      <c r="C14" s="2" t="str">
        <f>"Max = "&amp;C17+1</f>
        <v>Max = 1</v>
      </c>
      <c r="E14">
        <f>VLOOKUP(A14,S13:U14,2)</f>
        <v>7</v>
      </c>
      <c r="F14" s="4">
        <f>IF(A13=AA5,0,VLOOKUP(A14,S13:Y14,7))*C13</f>
        <v>0</v>
      </c>
      <c r="H14" s="2"/>
      <c r="S14" t="s">
        <v>131</v>
      </c>
      <c r="T14">
        <v>7</v>
      </c>
      <c r="U14">
        <v>0</v>
      </c>
      <c r="W14" t="s">
        <v>87</v>
      </c>
    </row>
    <row r="15" spans="1:34">
      <c r="B15" s="2"/>
    </row>
    <row r="16" spans="1:34" ht="16" thickBot="1">
      <c r="A16" s="3" t="s">
        <v>792</v>
      </c>
      <c r="B16" s="2"/>
      <c r="C16" s="2" t="s">
        <v>308</v>
      </c>
      <c r="H16" s="2"/>
      <c r="S16" t="s">
        <v>399</v>
      </c>
    </row>
    <row r="17" spans="1:23" ht="16" thickBot="1">
      <c r="A17" s="197" t="s">
        <v>793</v>
      </c>
      <c r="B17" s="111" t="str">
        <f>VLOOKUP(A17,S29:W33,5)</f>
        <v>No Aux Con</v>
      </c>
      <c r="C17" s="235">
        <v>0</v>
      </c>
      <c r="F17" s="4">
        <f>VLOOKUP(A17,S29:X35,3)*C17</f>
        <v>0</v>
      </c>
      <c r="H17" s="270">
        <f>VLOOKUP(A17,S29:T33,2)*C17</f>
        <v>0</v>
      </c>
      <c r="S17">
        <f>SUM(H9:H22)</f>
        <v>20</v>
      </c>
    </row>
    <row r="18" spans="1:23" ht="16" thickBot="1">
      <c r="A18" s="197" t="s">
        <v>131</v>
      </c>
      <c r="B18" s="16" t="str">
        <f>VLOOKUP(A18,S13:W14,5)</f>
        <v>No Modifiers</v>
      </c>
      <c r="E18">
        <f>VLOOKUP(A18,S13:U14,2)</f>
        <v>7</v>
      </c>
      <c r="F18" s="4">
        <f>IF(A17=S29,0,VLOOKUP(A18,S13:Z14,8))*C17</f>
        <v>0</v>
      </c>
    </row>
    <row r="19" spans="1:23" ht="16" thickBot="1">
      <c r="C19" s="75" t="s">
        <v>2127</v>
      </c>
      <c r="S19" t="s">
        <v>2322</v>
      </c>
      <c r="T19" s="263">
        <f>'10-Crew'!F11-'10-Crew'!H11-'10-Crew'!K11+'10-Crew'!F12-'10-Crew'!K12+'10-Crew'!F17-'10-Crew'!K17</f>
        <v>4</v>
      </c>
    </row>
    <row r="20" spans="1:23" ht="16" thickBot="1">
      <c r="B20" s="7" t="s">
        <v>2124</v>
      </c>
      <c r="C20" s="235">
        <v>0</v>
      </c>
    </row>
    <row r="21" spans="1:23" ht="16" thickBot="1">
      <c r="B21" s="9" t="s">
        <v>2125</v>
      </c>
    </row>
    <row r="22" spans="1:23" ht="16" thickBot="1">
      <c r="B22" s="7" t="s">
        <v>671</v>
      </c>
      <c r="C22" s="255" t="s">
        <v>99</v>
      </c>
      <c r="F22" s="4">
        <f>200000*H22</f>
        <v>0</v>
      </c>
      <c r="H22" s="270">
        <f>IF(C22="No",0,0.1*SUM(H8:H19))</f>
        <v>0</v>
      </c>
      <c r="S22" t="str">
        <f>IF(A9=S9,"Small ","")&amp;"Bridge: "&amp;IF(A10=S13,"Initiative+2",IF(Y10=TRUE,W10,""))&amp;""&amp;IF(AC6=TRUE," Tactics+1","")&amp;""&amp;IF(A9=S9,"DM -1 All Bridge Checks","")&amp;""&amp;IF(Z8=TRUE,"Cockpit","")</f>
        <v>Bridge: Initiative+2</v>
      </c>
    </row>
    <row r="23" spans="1:23" ht="16" thickBot="1"/>
    <row r="24" spans="1:23" ht="16" thickBot="1">
      <c r="A24" s="844" t="s">
        <v>1757</v>
      </c>
      <c r="B24" s="845"/>
      <c r="F24" s="4">
        <f>IF(A24=S47,0,IF(A24=S48,Tonnage*5000,Tonnage*7000))</f>
        <v>0</v>
      </c>
    </row>
    <row r="25" spans="1:23">
      <c r="F25" s="4"/>
      <c r="S25" t="s">
        <v>99</v>
      </c>
    </row>
    <row r="26" spans="1:23" ht="16" thickBot="1">
      <c r="A26" t="s">
        <v>1765</v>
      </c>
      <c r="F26" s="4"/>
      <c r="S26" t="s">
        <v>100</v>
      </c>
    </row>
    <row r="27" spans="1:23" ht="16" thickBot="1">
      <c r="A27" s="197" t="s">
        <v>1103</v>
      </c>
      <c r="B27" t="str">
        <f>INDEX(S50:V53,MATCH(A27,S50:S53,0),4)</f>
        <v/>
      </c>
      <c r="E27">
        <f>INDEX(S50:V53,MATCH(A27,S50:S53,0),2)</f>
        <v>0</v>
      </c>
      <c r="F27" s="4">
        <f>INDEX(S50:V53,MATCH(A27,S50:S53,0),3)</f>
        <v>0</v>
      </c>
    </row>
    <row r="28" spans="1:23">
      <c r="F28" s="4"/>
      <c r="S28" t="s">
        <v>78</v>
      </c>
      <c r="T28" t="s">
        <v>2</v>
      </c>
      <c r="U28" t="s">
        <v>1</v>
      </c>
      <c r="V28" t="s">
        <v>80</v>
      </c>
    </row>
    <row r="29" spans="1:23" ht="16" thickBot="1">
      <c r="A29" t="s">
        <v>1759</v>
      </c>
      <c r="B29" t="s">
        <v>171</v>
      </c>
      <c r="F29" s="4"/>
      <c r="S29" t="s">
        <v>793</v>
      </c>
      <c r="T29">
        <v>0</v>
      </c>
      <c r="U29">
        <v>0</v>
      </c>
      <c r="V29">
        <v>0</v>
      </c>
      <c r="W29" t="s">
        <v>798</v>
      </c>
    </row>
    <row r="30" spans="1:23" ht="16" thickBot="1">
      <c r="A30" s="433"/>
      <c r="B30" s="846"/>
      <c r="C30" s="847"/>
      <c r="D30" s="377"/>
      <c r="E30" s="433"/>
      <c r="F30" s="434"/>
      <c r="S30" t="s">
        <v>82</v>
      </c>
      <c r="T30">
        <f>T6</f>
        <v>60</v>
      </c>
      <c r="U30">
        <f>U33+30000000</f>
        <v>31500000</v>
      </c>
      <c r="W30" t="s">
        <v>83</v>
      </c>
    </row>
    <row r="31" spans="1:23">
      <c r="S31" t="s">
        <v>129</v>
      </c>
      <c r="T31">
        <f>T33*1.2</f>
        <v>24</v>
      </c>
      <c r="U31">
        <f>1.5*U33</f>
        <v>2250000</v>
      </c>
      <c r="V31">
        <f>IF(B4&lt;51,1,IF(B4&lt;100,2,IF(B4&lt;201,3,IF(B4&lt;1001,4,IF(B4&lt;2001,5,IF(B4&lt;100001,6,7))))))</f>
        <v>4</v>
      </c>
      <c r="W31" t="s">
        <v>130</v>
      </c>
    </row>
    <row r="32" spans="1:23">
      <c r="S32" t="s">
        <v>85</v>
      </c>
      <c r="T32">
        <f>HLOOKUP(V32,AA8:AH9,2)</f>
        <v>10</v>
      </c>
      <c r="U32">
        <f>ROUNDUP(B4/100,0)*250000</f>
        <v>750000</v>
      </c>
      <c r="V32">
        <f>V33-1</f>
        <v>3</v>
      </c>
      <c r="W32" t="s">
        <v>86</v>
      </c>
    </row>
    <row r="33" spans="19:23">
      <c r="S33" t="s">
        <v>79</v>
      </c>
      <c r="T33">
        <f>HLOOKUP(V33,AB8:AH9,2)</f>
        <v>20</v>
      </c>
      <c r="U33">
        <f>ROUNDUP(B4/100,0)*500000</f>
        <v>1500000</v>
      </c>
      <c r="V33">
        <f>IF(B4&lt;51,1,IF(B4&lt;100,2,IF(B4&lt;201,3,IF(B4&lt;1001,4,IF(B4&lt;2001,5,IF(B4&lt;100001,6,7))))))</f>
        <v>4</v>
      </c>
      <c r="W33" t="s">
        <v>87</v>
      </c>
    </row>
    <row r="37" spans="19:23">
      <c r="S37" t="s">
        <v>794</v>
      </c>
      <c r="T37">
        <f>IFERROR(SUM(T38:T45),1)</f>
        <v>0</v>
      </c>
    </row>
    <row r="38" spans="19:23">
      <c r="S38" t="s">
        <v>795</v>
      </c>
      <c r="T38">
        <f>IF(AND(B4&lt;5000,A9=S6),1,0)</f>
        <v>0</v>
      </c>
    </row>
    <row r="39" spans="19:23">
      <c r="S39" t="s">
        <v>796</v>
      </c>
      <c r="T39">
        <f>IF(AND(B4&lt;5000,A13=AA6),1,0)</f>
        <v>0</v>
      </c>
    </row>
    <row r="40" spans="19:23">
      <c r="S40" t="s">
        <v>797</v>
      </c>
      <c r="T40">
        <f>IF(AND(B4&lt;5000,A17=S30),1,0)</f>
        <v>0</v>
      </c>
    </row>
    <row r="41" spans="19:23">
      <c r="S41" t="s">
        <v>799</v>
      </c>
      <c r="T41">
        <f>IF(OR(AND(B4&gt;99,A9=S5),AND(B4&gt;99,A9=S8)),1,0)</f>
        <v>0</v>
      </c>
    </row>
    <row r="42" spans="19:23">
      <c r="S42" t="s">
        <v>927</v>
      </c>
      <c r="T42">
        <f>IFERROR(IF(AND(H9=0,'Ship Info'!F7),0,IF(AND(,S2="No Bridge",H9=0),1,0)),1)</f>
        <v>0</v>
      </c>
    </row>
    <row r="43" spans="19:23">
      <c r="S43" t="s">
        <v>1465</v>
      </c>
      <c r="T43">
        <f>IF(AND(H17=S17,C17=C20),0,IFERROR(IF(AND(S17&gt;0,'Ship Info'!F7),1,0),1))</f>
        <v>0</v>
      </c>
    </row>
    <row r="44" spans="19:23">
      <c r="S44" t="s">
        <v>1466</v>
      </c>
      <c r="T44">
        <f>IF(S11=A9,0,1)</f>
        <v>0</v>
      </c>
    </row>
    <row r="45" spans="19:23">
      <c r="S45" t="s">
        <v>26</v>
      </c>
      <c r="T45">
        <f>IF(OR(E27&gt;TL,E30&gt;TL),1,0)</f>
        <v>0</v>
      </c>
    </row>
    <row r="47" spans="19:23">
      <c r="S47" t="s">
        <v>1757</v>
      </c>
    </row>
    <row r="48" spans="19:23">
      <c r="S48" t="s">
        <v>1758</v>
      </c>
    </row>
    <row r="49" spans="19:22">
      <c r="S49" t="s">
        <v>1764</v>
      </c>
    </row>
    <row r="50" spans="19:22">
      <c r="S50" t="str">
        <f>""</f>
        <v/>
      </c>
      <c r="V50" t="str">
        <f>""</f>
        <v/>
      </c>
    </row>
    <row r="51" spans="19:22">
      <c r="S51" t="s">
        <v>1755</v>
      </c>
      <c r="T51">
        <v>10</v>
      </c>
      <c r="U51" s="4">
        <f>IF(TL&gt;11,40000,IF(TL&gt;10,80000,130000))</f>
        <v>40000</v>
      </c>
      <c r="V51" t="s">
        <v>1760</v>
      </c>
    </row>
    <row r="52" spans="19:22">
      <c r="S52" t="s">
        <v>1763</v>
      </c>
      <c r="T52">
        <v>12</v>
      </c>
      <c r="U52" s="4">
        <v>1000000</v>
      </c>
      <c r="V52" t="s">
        <v>1761</v>
      </c>
    </row>
    <row r="53" spans="19:22">
      <c r="S53" t="s">
        <v>1756</v>
      </c>
      <c r="T53">
        <v>12</v>
      </c>
      <c r="U53" s="4">
        <v>10000000</v>
      </c>
      <c r="V53" t="s">
        <v>1762</v>
      </c>
    </row>
    <row r="56" spans="19:22">
      <c r="S56">
        <f>IF(A27="",0,A27)</f>
        <v>0</v>
      </c>
      <c r="T56" t="s">
        <v>1766</v>
      </c>
      <c r="U56" t="str">
        <f>IF(S56=0,"",S56)</f>
        <v/>
      </c>
    </row>
    <row r="57" spans="19:22">
      <c r="S57">
        <f>A30</f>
        <v>0</v>
      </c>
      <c r="T57" t="s">
        <v>1767</v>
      </c>
      <c r="U57" t="str">
        <f>IF(S57=0,"",S57)</f>
        <v/>
      </c>
    </row>
    <row r="58" spans="19:22">
      <c r="S58" s="107" t="str">
        <f>IF(AND(S56=0,S57=0),"",IF(OR(S56=0,S57=0),U56&amp;U57,U56&amp;"/"&amp;U57))</f>
        <v/>
      </c>
    </row>
  </sheetData>
  <sheetProtection algorithmName="SHA-512" hashValue="KPhzrdM9ZU8a9qwuK8bwNOfMNTZPuhVt7tnv0jxBE4Q2ej/PrbRm5LurmlVG6ReGumfk4F+ZWGQsqRhRbsnr9g==" saltValue="7Sd5bpaGnTsrDw8Nx3TwnQ==" spinCount="100000" sheet="1" selectLockedCells="1"/>
  <mergeCells count="4">
    <mergeCell ref="H4:I4"/>
    <mergeCell ref="K4:L4"/>
    <mergeCell ref="A24:B24"/>
    <mergeCell ref="B30:C30"/>
  </mergeCells>
  <conditionalFormatting sqref="A9 A13 A17">
    <cfRule type="expression" dxfId="531" priority="10">
      <formula>$T$43</formula>
    </cfRule>
  </conditionalFormatting>
  <conditionalFormatting sqref="A9">
    <cfRule type="expression" dxfId="529" priority="11">
      <formula>$T$44</formula>
    </cfRule>
    <cfRule type="expression" dxfId="528" priority="864">
      <formula>AND(B4&lt;5000,A9=S6)</formula>
    </cfRule>
    <cfRule type="expression" dxfId="527" priority="863">
      <formula>AND($B$4&gt;99,$A$9=$S$5)</formula>
    </cfRule>
    <cfRule type="expression" dxfId="526" priority="862">
      <formula>AND($B$4&gt;99,$A$9=$S$8)</formula>
    </cfRule>
  </conditionalFormatting>
  <conditionalFormatting sqref="A13 C13">
    <cfRule type="expression" dxfId="525" priority="160">
      <formula>$B$4&lt;5000</formula>
    </cfRule>
  </conditionalFormatting>
  <conditionalFormatting sqref="A13">
    <cfRule type="expression" dxfId="524" priority="866" stopIfTrue="1">
      <formula>AND(B4&lt;5000,$A$13=$AA$6)</formula>
    </cfRule>
  </conditionalFormatting>
  <conditionalFormatting sqref="A14 C13">
    <cfRule type="expression" dxfId="523" priority="870">
      <formula>$A$13=$AA$5</formula>
    </cfRule>
  </conditionalFormatting>
  <conditionalFormatting sqref="A14">
    <cfRule type="expression" dxfId="522" priority="865" stopIfTrue="1">
      <formula>AND($A$13=$AA$5,$A$14=$S$13)</formula>
    </cfRule>
  </conditionalFormatting>
  <conditionalFormatting sqref="A17">
    <cfRule type="expression" dxfId="521" priority="867">
      <formula>AND(B4&lt;5000,$A$17=$S$30)</formula>
    </cfRule>
  </conditionalFormatting>
  <conditionalFormatting sqref="A18">
    <cfRule type="expression" dxfId="520" priority="869">
      <formula>AND($A$17=$S$29,$A$18=$S$13)</formula>
    </cfRule>
    <cfRule type="expression" dxfId="519" priority="868">
      <formula>$A$17=$S$29</formula>
    </cfRule>
  </conditionalFormatting>
  <conditionalFormatting sqref="A24">
    <cfRule type="expression" dxfId="518" priority="8">
      <formula>$F$24&gt;0</formula>
    </cfRule>
  </conditionalFormatting>
  <conditionalFormatting sqref="A30:F30">
    <cfRule type="expression" dxfId="516" priority="1060">
      <formula>$A$27=$S$50</formula>
    </cfRule>
  </conditionalFormatting>
  <conditionalFormatting sqref="C17">
    <cfRule type="expression" dxfId="515" priority="15">
      <formula>$A$17=" N/A"</formula>
    </cfRule>
    <cfRule type="expression" dxfId="514" priority="9" stopIfTrue="1">
      <formula>AND($C$17&gt;0,$H$17=0)</formula>
    </cfRule>
  </conditionalFormatting>
  <conditionalFormatting sqref="C20">
    <cfRule type="expression" dxfId="512" priority="5">
      <formula>$A$17=" N/A"</formula>
    </cfRule>
    <cfRule type="expression" dxfId="511" priority="4" stopIfTrue="1">
      <formula>AND($C$17&gt;0,$H$17=0)</formula>
    </cfRule>
    <cfRule type="expression" dxfId="510" priority="3">
      <formula>$C$20&gt;$C$17</formula>
    </cfRule>
  </conditionalFormatting>
  <conditionalFormatting sqref="C22">
    <cfRule type="cellIs" dxfId="509" priority="872" operator="equal">
      <formula>$S$25</formula>
    </cfRule>
    <cfRule type="cellIs" dxfId="508" priority="873" operator="equal">
      <formula>"""No"""</formula>
    </cfRule>
  </conditionalFormatting>
  <conditionalFormatting sqref="E27 E30">
    <cfRule type="expression" dxfId="507" priority="7">
      <formula>$E27&gt;TL</formula>
    </cfRule>
  </conditionalFormatting>
  <conditionalFormatting sqref="H6">
    <cfRule type="expression" dxfId="506" priority="30">
      <formula>$H$6&lt;0</formula>
    </cfRule>
  </conditionalFormatting>
  <conditionalFormatting sqref="K6">
    <cfRule type="expression" dxfId="505" priority="29">
      <formula>$K$6&lt;0</formula>
    </cfRule>
  </conditionalFormatting>
  <dataValidations count="11">
    <dataValidation type="whole" operator="greaterThanOrEqual" allowBlank="1" showInputMessage="1" showErrorMessage="1" sqref="C17 C20" xr:uid="{81346A54-24E3-45DA-B62F-112BBE850193}">
      <formula1>0</formula1>
    </dataValidation>
    <dataValidation type="list" allowBlank="1" showInputMessage="1" showErrorMessage="1" sqref="A13" xr:uid="{49CB8F57-ADCE-4ED7-BD23-132769D25A28}">
      <formula1>$AA$5:$AA$6</formula1>
    </dataValidation>
    <dataValidation type="list" allowBlank="1" showInputMessage="1" showErrorMessage="1" sqref="A9" xr:uid="{F6BF235A-9639-42D6-95AD-FEB743ADD562}">
      <formula1>$S$2:$S$10</formula1>
    </dataValidation>
    <dataValidation type="list" allowBlank="1" showInputMessage="1" showErrorMessage="1" sqref="A10 A14 A18" xr:uid="{2CB58F0B-EDE2-49A3-9DBF-62B4DB99439B}">
      <formula1>$S$13:$S$14</formula1>
    </dataValidation>
    <dataValidation type="list" allowBlank="1" showInputMessage="1" showErrorMessage="1" sqref="C22" xr:uid="{834C46B9-5035-4F09-B69C-1388F72BB09B}">
      <formula1>$S$25:$S$26</formula1>
    </dataValidation>
    <dataValidation type="list" allowBlank="1" showInputMessage="1" showErrorMessage="1" sqref="A17" xr:uid="{DBC45B8C-DC23-4B73-A377-845AB0835A00}">
      <formula1>$S$29:$S$33</formula1>
    </dataValidation>
    <dataValidation type="whole" allowBlank="1" showInputMessage="1" showErrorMessage="1" prompt="Must be added to an existing bridge." sqref="C13" xr:uid="{BAE5B2AF-7D79-4F54-96F5-7DD6F26893A3}">
      <formula1>0</formula1>
      <formula2>C17+1</formula2>
    </dataValidation>
    <dataValidation type="list" allowBlank="1" showInputMessage="1" showErrorMessage="1" sqref="A24:B24" xr:uid="{08ABFEC7-B440-48F6-906B-122C13CC301A}">
      <formula1>$S$47:$S$49</formula1>
    </dataValidation>
    <dataValidation type="whole" allowBlank="1" showInputMessage="1" showErrorMessage="1" prompt="Whole Number_x000a_7-30_x000a_or delete entry to clear" sqref="E30" xr:uid="{781FF70C-AA64-4C19-94D5-1CBDD48568D5}">
      <formula1>7</formula1>
      <formula2>30</formula2>
    </dataValidation>
    <dataValidation type="decimal" operator="greaterThanOrEqual" allowBlank="1" showInputMessage="1" showErrorMessage="1" sqref="F30" xr:uid="{0FDEA18D-F0F4-444F-AB9E-A36E41B26462}">
      <formula1>0</formula1>
    </dataValidation>
    <dataValidation type="list" allowBlank="1" showInputMessage="1" showErrorMessage="1" sqref="A27" xr:uid="{7F10E181-2454-48B3-9017-6762384B35F5}">
      <formula1>$S$50:$S$53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61" id="{00000000-000E-0000-0800-000006000000}">
            <xm:f>AND(OR('Ship Info'!$F$5,'Ship Info'!$F$6),AND($H$9=0,$S$2="No Bridge"))</xm:f>
            <x14:dxf>
              <fill>
                <patternFill>
                  <bgColor rgb="FFFF0000"/>
                </patternFill>
              </fill>
            </x14:dxf>
          </x14:cfRule>
          <xm:sqref>A9</xm:sqref>
        </x14:conditionalFormatting>
        <x14:conditionalFormatting xmlns:xm="http://schemas.microsoft.com/office/excel/2006/main">
          <x14:cfRule type="expression" priority="1" id="{F4475CA7-D5DF-4241-B4BC-8A90D431B00C}">
            <xm:f>AND('Ship Info'!F5,$S$2="No Bridge",OR($A$9="Drone Ship",$A$9="No Bridge"))</xm:f>
            <x14:dxf>
              <font>
                <color auto="1"/>
              </font>
              <fill>
                <patternFill patternType="solid">
                  <bgColor rgb="FFFF0000"/>
                </patternFill>
              </fill>
            </x14:dxf>
          </x14:cfRule>
          <xm:sqref>A6:B6</xm:sqref>
        </x14:conditionalFormatting>
        <x14:conditionalFormatting xmlns:xm="http://schemas.microsoft.com/office/excel/2006/main">
          <x14:cfRule type="expression" priority="2" id="{8029C387-5FA1-430F-A791-EBF8DC0F0930}">
            <xm:f>AND('Ship Info'!F7,$C$17&gt;0)</xm:f>
            <x14:dxf>
              <font>
                <color theme="1"/>
              </font>
            </x14:dxf>
          </x14:cfRule>
          <xm:sqref>C19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X T 1 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V d P V 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X T 1 V i i K R 7 g O A A A A E Q A A A B M A H A B G b 3 J t d W x h c y 9 T Z W N 0 a W 9 u M S 5 t I K I Y A C i g F A A A A A A A A A A A A A A A A A A A A A A A A A A A A C t O T S 7 J z M 9 T C I b Q h t Y A U E s B A i 0 A F A A C A A g A V X T 1 V h D x G L 2 j A A A A 9 g A A A B I A A A A A A A A A A A A A A A A A A A A A A E N v b m Z p Z y 9 Q Y W N r Y W d l L n h t b F B L A Q I t A B Q A A g A I A F V 0 9 V Y P y u m r p A A A A O k A A A A T A A A A A A A A A A A A A A A A A O 8 A A A B b Q 2 9 u d G V u d F 9 U e X B l c 1 0 u e G 1 s U E s B A i 0 A F A A C A A g A V X T 1 V 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w I / F C G u V J p r h m d m a j C Q 0 A A A A A A g A A A A A A E G Y A A A A B A A A g A A A A R h H 5 r 1 / W W x K y T / 4 s 2 w P N R u 8 6 d E y k U 3 Z z x K j I 2 z E a 2 j I A A A A A D o A A A A A C A A A g A A A A 6 1 / i R F N N Z A z 5 z K w 4 + B d 9 e D j k U H R Z 2 O y 0 i h b c U v 6 Z 2 5 V Q A A A A f a a 5 a 0 8 R 7 s v w O v A e c 3 7 Q + X P P o Q e t S O Q t a S 8 a L V Q U G U + q G X 2 i L k p j I x H M O f z V G G N w 1 z n J + x v M w l s I A 3 6 S q z F 1 c R G E p a 7 0 Z M P x V 8 i t 7 S T U / E R A A A A A N a Z K S y d k G 5 0 X y E i T k H 5 H o 5 8 1 E G s C j U V 2 H C c N k D 1 D f g F z S q S 4 A 8 d B f 1 l f c d S E 4 X F 6 I p U X y 9 v S 8 p C U J O m K 4 O A + j A = = < / D a t a M a s h u p > 
</file>

<file path=customXml/itemProps1.xml><?xml version="1.0" encoding="utf-8"?>
<ds:datastoreItem xmlns:ds="http://schemas.openxmlformats.org/officeDocument/2006/customXml" ds:itemID="{AADEAA91-4E55-4E9F-832B-98711777DF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Instructions</vt:lpstr>
      <vt:lpstr>Summary</vt:lpstr>
      <vt:lpstr>SSD</vt:lpstr>
      <vt:lpstr>Ship Info</vt:lpstr>
      <vt:lpstr>1-Hull</vt:lpstr>
      <vt:lpstr>2-Drives</vt:lpstr>
      <vt:lpstr>3-Pwr Plant</vt:lpstr>
      <vt:lpstr>4-Fuel</vt:lpstr>
      <vt:lpstr>5-Bridge</vt:lpstr>
      <vt:lpstr>6-Comp</vt:lpstr>
      <vt:lpstr>7-Sensors</vt:lpstr>
      <vt:lpstr>8a-Weapons</vt:lpstr>
      <vt:lpstr>8b-Screens</vt:lpstr>
      <vt:lpstr>9a-Optional</vt:lpstr>
      <vt:lpstr>9b-Optional</vt:lpstr>
      <vt:lpstr>10-Crew</vt:lpstr>
      <vt:lpstr>11-Staterooms</vt:lpstr>
      <vt:lpstr>12-Cargo</vt:lpstr>
      <vt:lpstr>Capital SSD</vt:lpstr>
      <vt:lpstr>FtrArmr</vt:lpstr>
      <vt:lpstr>Tech_Level</vt:lpstr>
      <vt:lpstr>TL</vt:lpstr>
      <vt:lpstr>Tonnage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Nabors</dc:creator>
  <cp:lastModifiedBy>Kazmierski, Jeffrey (Omaha)</cp:lastModifiedBy>
  <cp:lastPrinted>2024-12-07T02:01:19Z</cp:lastPrinted>
  <dcterms:created xsi:type="dcterms:W3CDTF">2021-03-17T18:55:02Z</dcterms:created>
  <dcterms:modified xsi:type="dcterms:W3CDTF">2025-01-16T15:29:41Z</dcterms:modified>
</cp:coreProperties>
</file>